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C:\Mayis\POA\Seguimiento Trimestre 3-2020\Publicacion\"/>
    </mc:Choice>
  </mc:AlternateContent>
  <xr:revisionPtr revIDLastSave="0" documentId="8_{1E64570F-48C1-45EA-ABEF-667A444709AC}" xr6:coauthVersionLast="45" xr6:coauthVersionMax="45" xr10:uidLastSave="{00000000-0000-0000-0000-000000000000}"/>
  <workbookProtection workbookAlgorithmName="SHA-512" workbookHashValue="7WpbACQpTN/1m66yzzPI/zBiecX1LaWZN5DOd0lPBwrOolnfKmsBvJtYj6XQ4EJuxWE1zrOFdTdqfGroWMyEaA==" workbookSaltValue="qhAplibU+6sB/ea+RTvOjA==" workbookSpinCount="100000" lockStructure="1"/>
  <bookViews>
    <workbookView xWindow="-120" yWindow="-120" windowWidth="20730" windowHeight="11160" firstSheet="3" activeTab="20" xr2:uid="{00000000-000D-0000-FFFF-FFFF00000000}"/>
  </bookViews>
  <sheets>
    <sheet name="Listas" sheetId="58" state="hidden" r:id="rId1"/>
    <sheet name="Rango en indicadores" sheetId="57" state="hidden" r:id="rId2"/>
    <sheet name="Cont. Procesos a Política SGC" sheetId="59" state="hidden" r:id="rId3"/>
    <sheet name="Resúmen Desempeño de Procesos" sheetId="56" r:id="rId4"/>
    <sheet name="Informe Cons. Desempeño - Sgto." sheetId="55" r:id="rId5"/>
    <sheet name="01 Direcc Estratégico POA 2020 " sheetId="39" r:id="rId6"/>
    <sheet name="02 G. Conoc Innovación POA 2020" sheetId="40" r:id="rId7"/>
    <sheet name="03 Direccionamient TIC POA 2020" sheetId="38" r:id="rId8"/>
    <sheet name="04 Comunicación Estrat POA 2020" sheetId="2" r:id="rId9"/>
    <sheet name="05 Prom Defen Derechos POA 2020" sheetId="41" r:id="rId10"/>
    <sheet name="06 Prev Ctrl Func Públ POA 2020" sheetId="43" r:id="rId11"/>
    <sheet name="07 Potestad Discip POA 2020" sheetId="44" r:id="rId12"/>
    <sheet name="08 Gestión Talento Hum POA 2020" sheetId="47" r:id="rId13"/>
    <sheet name="09 Gestión Admin POA 2020" sheetId="48" r:id="rId14"/>
    <sheet name="10 Gestión Financiera POA 2020" sheetId="49" r:id="rId15"/>
    <sheet name="11 Gestión Contractual POA 2020" sheetId="50" r:id="rId16"/>
    <sheet name="12 Gestión Documental POA 2020" sheetId="51" r:id="rId17"/>
    <sheet name="13 Gestión Jurídica POA 2020 " sheetId="52" r:id="rId18"/>
    <sheet name="14 Servicio al Usuario POA 2020" sheetId="53" r:id="rId19"/>
    <sheet name="15 Ctr Disc Interno POA 2020" sheetId="45" r:id="rId20"/>
    <sheet name="16 Evaluacion y Segto POA 2020" sheetId="54" r:id="rId21"/>
    <sheet name="INSTRUCTIVO PL (Pág 3 de 3)" sheetId="36" r:id="rId22"/>
    <sheet name="CONTROL CAMBIOS FR" sheetId="37" r:id="rId23"/>
  </sheets>
  <externalReferences>
    <externalReference r:id="rId24"/>
    <externalReference r:id="rId25"/>
  </externalReferences>
  <definedNames>
    <definedName name="_xlnm._FilterDatabase" localSheetId="8" hidden="1">'04 Comunicación Estrat POA 2020'!$B$9:$J$18</definedName>
    <definedName name="_xlnm._FilterDatabase" localSheetId="1" hidden="1">'Rango en indicadores'!$B$4:$N$109</definedName>
    <definedName name="_xlnm.Print_Area" localSheetId="8">'04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8">'04 Comunicación Estrat POA 2020'!$9:$9</definedName>
    <definedName name="_xlnm.Print_Titles" localSheetId="21">'INSTRUCTIVO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6" l="1"/>
  <c r="I141" i="55"/>
  <c r="I140" i="55"/>
  <c r="I134" i="55"/>
  <c r="I133" i="55"/>
  <c r="I132" i="55"/>
  <c r="I131" i="55"/>
  <c r="I129" i="55"/>
  <c r="I130" i="55"/>
  <c r="AH17" i="43" l="1"/>
  <c r="AR22" i="41"/>
  <c r="G103" i="55"/>
  <c r="G102" i="55"/>
  <c r="G101" i="55"/>
  <c r="G100" i="55"/>
  <c r="G99" i="55"/>
  <c r="G98" i="55"/>
  <c r="G97" i="55"/>
  <c r="G96" i="55"/>
  <c r="G95" i="55"/>
  <c r="G94" i="55"/>
  <c r="G93" i="55"/>
  <c r="G92" i="55"/>
  <c r="G90" i="55"/>
  <c r="G89" i="55"/>
  <c r="G88" i="55"/>
  <c r="G87" i="55"/>
  <c r="G86" i="55"/>
  <c r="G85" i="55"/>
  <c r="G84" i="55"/>
  <c r="G83" i="55"/>
  <c r="G91" i="55"/>
  <c r="F66" i="55" l="1"/>
  <c r="F67" i="55"/>
  <c r="F68" i="55"/>
  <c r="F69" i="55"/>
  <c r="F65" i="55"/>
  <c r="AF18" i="48" l="1"/>
  <c r="AD18" i="48"/>
  <c r="AB18" i="48"/>
  <c r="AF21" i="41" l="1"/>
  <c r="AD21" i="41"/>
  <c r="AB21" i="41"/>
  <c r="AF18" i="38" l="1"/>
  <c r="AD18" i="38"/>
  <c r="AB18" i="38"/>
  <c r="G198" i="55" l="1"/>
  <c r="F198" i="55"/>
  <c r="H113" i="55"/>
  <c r="F113" i="55"/>
  <c r="F8" i="55" l="1"/>
  <c r="G128" i="55" l="1"/>
  <c r="L196" i="55"/>
  <c r="L187" i="55"/>
  <c r="L177" i="55"/>
  <c r="L169" i="55"/>
  <c r="L163" i="55"/>
  <c r="L157" i="55"/>
  <c r="L146" i="55"/>
  <c r="L128" i="55"/>
  <c r="L119" i="55"/>
  <c r="L108" i="55"/>
  <c r="L82" i="55"/>
  <c r="L74" i="55"/>
  <c r="L64" i="55"/>
  <c r="I195" i="55"/>
  <c r="I186" i="55"/>
  <c r="I176" i="55"/>
  <c r="I168" i="55"/>
  <c r="I162" i="55"/>
  <c r="I156" i="55"/>
  <c r="I145" i="55"/>
  <c r="I127" i="55"/>
  <c r="I118" i="55"/>
  <c r="I107" i="55"/>
  <c r="I81" i="55"/>
  <c r="I73" i="55"/>
  <c r="I63" i="55"/>
  <c r="I52" i="55"/>
  <c r="I44" i="55"/>
  <c r="G196" i="55"/>
  <c r="G187" i="55"/>
  <c r="G177" i="55"/>
  <c r="G169" i="55"/>
  <c r="G163" i="55"/>
  <c r="G157" i="55"/>
  <c r="G146" i="55"/>
  <c r="G119" i="55"/>
  <c r="G108" i="55"/>
  <c r="G82" i="55"/>
  <c r="G74" i="55"/>
  <c r="G64" i="55"/>
  <c r="G53" i="55"/>
  <c r="G45" i="55"/>
  <c r="L34" i="55"/>
  <c r="I33" i="55"/>
  <c r="G34" i="55"/>
  <c r="K53" i="55"/>
  <c r="F53" i="55"/>
  <c r="K34" i="55"/>
  <c r="F34" i="55"/>
  <c r="E8" i="55" l="1"/>
  <c r="Z19" i="47" l="1"/>
  <c r="Y31" i="41" l="1"/>
  <c r="B34" i="57" l="1"/>
  <c r="W29" i="41"/>
  <c r="W19" i="41"/>
  <c r="AO17" i="2" l="1"/>
  <c r="AO14" i="2"/>
  <c r="AO15" i="2"/>
  <c r="AO16" i="2"/>
  <c r="AO13" i="2"/>
  <c r="AG16" i="2"/>
  <c r="AG17" i="2"/>
  <c r="AG14" i="2"/>
  <c r="AG15" i="2"/>
  <c r="AG13" i="2"/>
  <c r="Y17" i="2"/>
  <c r="Y16" i="2"/>
  <c r="Y14" i="2"/>
  <c r="Y15" i="2"/>
  <c r="D47" i="56" l="1"/>
  <c r="E47" i="56"/>
  <c r="F47" i="56"/>
  <c r="N198" i="55" l="1"/>
  <c r="O198" i="55"/>
  <c r="U198" i="55"/>
  <c r="N199" i="55"/>
  <c r="O199" i="55"/>
  <c r="U199" i="55"/>
  <c r="N200" i="55"/>
  <c r="O200" i="55"/>
  <c r="U200" i="55"/>
  <c r="N201" i="55"/>
  <c r="O201" i="55"/>
  <c r="U201" i="55"/>
  <c r="N202" i="55"/>
  <c r="O202" i="55"/>
  <c r="U202" i="55"/>
  <c r="N203" i="55"/>
  <c r="O203" i="55"/>
  <c r="U203" i="55"/>
  <c r="N204" i="55"/>
  <c r="O204" i="55"/>
  <c r="U204" i="55"/>
  <c r="O197" i="55"/>
  <c r="U197" i="55"/>
  <c r="N197" i="55"/>
  <c r="D198" i="55"/>
  <c r="D199" i="55"/>
  <c r="D200" i="55"/>
  <c r="D201" i="55"/>
  <c r="D202" i="55"/>
  <c r="D203" i="55"/>
  <c r="D204" i="55"/>
  <c r="D197" i="55"/>
  <c r="N189" i="55"/>
  <c r="O189" i="55"/>
  <c r="U189" i="55"/>
  <c r="N190" i="55"/>
  <c r="O190" i="55"/>
  <c r="U190" i="55"/>
  <c r="N191" i="55"/>
  <c r="O191" i="55"/>
  <c r="U191" i="55"/>
  <c r="O188" i="55"/>
  <c r="U188" i="55"/>
  <c r="N188" i="55"/>
  <c r="D189" i="55"/>
  <c r="D190" i="55"/>
  <c r="D191" i="55"/>
  <c r="D188" i="55"/>
  <c r="N76" i="55"/>
  <c r="O76" i="55"/>
  <c r="U76" i="55"/>
  <c r="N77" i="55"/>
  <c r="O77" i="55"/>
  <c r="U77" i="55"/>
  <c r="O75" i="55"/>
  <c r="U75" i="55"/>
  <c r="N75" i="55"/>
  <c r="D76" i="55"/>
  <c r="D77" i="55"/>
  <c r="D75" i="55"/>
  <c r="K74" i="55"/>
  <c r="F74" i="55"/>
  <c r="N179" i="55"/>
  <c r="O179" i="55"/>
  <c r="U179" i="55"/>
  <c r="N180" i="55"/>
  <c r="O180" i="55"/>
  <c r="U180" i="55"/>
  <c r="N181" i="55"/>
  <c r="O181" i="55"/>
  <c r="U181" i="55"/>
  <c r="N182" i="55"/>
  <c r="O182" i="55"/>
  <c r="U182" i="55"/>
  <c r="O178" i="55"/>
  <c r="U178" i="55"/>
  <c r="N178" i="55"/>
  <c r="D179" i="55"/>
  <c r="D180" i="55"/>
  <c r="D181" i="55"/>
  <c r="D182" i="55"/>
  <c r="D178" i="55"/>
  <c r="N171" i="55"/>
  <c r="O171" i="55"/>
  <c r="U171" i="55"/>
  <c r="N172" i="55"/>
  <c r="O172" i="55"/>
  <c r="U172" i="55"/>
  <c r="O170" i="55"/>
  <c r="U170" i="55"/>
  <c r="N170" i="55"/>
  <c r="D171" i="55"/>
  <c r="D172" i="55"/>
  <c r="D170" i="55"/>
  <c r="O164" i="55"/>
  <c r="U164" i="55"/>
  <c r="N164" i="55"/>
  <c r="D164" i="55"/>
  <c r="O158" i="55"/>
  <c r="U158" i="55"/>
  <c r="N158" i="55"/>
  <c r="D158" i="55"/>
  <c r="N148" i="55"/>
  <c r="O148" i="55"/>
  <c r="U148" i="55"/>
  <c r="N149" i="55"/>
  <c r="O149" i="55"/>
  <c r="U149" i="55"/>
  <c r="N150" i="55"/>
  <c r="O150" i="55"/>
  <c r="U150" i="55"/>
  <c r="N151" i="55"/>
  <c r="O151" i="55"/>
  <c r="U151" i="55"/>
  <c r="N152" i="55"/>
  <c r="O152" i="55"/>
  <c r="U152" i="55"/>
  <c r="O147" i="55"/>
  <c r="U147" i="55"/>
  <c r="N147" i="55"/>
  <c r="D148" i="55"/>
  <c r="D149" i="55"/>
  <c r="D150" i="55"/>
  <c r="D151" i="55"/>
  <c r="D152" i="55"/>
  <c r="D147" i="55"/>
  <c r="N130" i="55"/>
  <c r="O130" i="55"/>
  <c r="U130" i="55"/>
  <c r="N131" i="55"/>
  <c r="O131" i="55"/>
  <c r="U131" i="55"/>
  <c r="N132" i="55"/>
  <c r="O132" i="55"/>
  <c r="U132" i="55"/>
  <c r="N133" i="55"/>
  <c r="O133" i="55"/>
  <c r="U133" i="55"/>
  <c r="N134" i="55"/>
  <c r="O134" i="55"/>
  <c r="U134" i="55"/>
  <c r="N135" i="55"/>
  <c r="O135" i="55"/>
  <c r="U135" i="55"/>
  <c r="N136" i="55"/>
  <c r="O136" i="55"/>
  <c r="U136" i="55"/>
  <c r="N137" i="55"/>
  <c r="O137" i="55"/>
  <c r="U137" i="55"/>
  <c r="N138" i="55"/>
  <c r="O138" i="55"/>
  <c r="U138" i="55"/>
  <c r="N139" i="55"/>
  <c r="O139" i="55"/>
  <c r="U139" i="55"/>
  <c r="N140" i="55"/>
  <c r="O140" i="55"/>
  <c r="U140" i="55"/>
  <c r="N141" i="55"/>
  <c r="O141" i="55"/>
  <c r="U141" i="55"/>
  <c r="O129" i="55"/>
  <c r="U129" i="55"/>
  <c r="N129" i="55"/>
  <c r="D130" i="55"/>
  <c r="D131" i="55"/>
  <c r="D132" i="55"/>
  <c r="D133" i="55"/>
  <c r="D134" i="55"/>
  <c r="D135" i="55"/>
  <c r="D136" i="55"/>
  <c r="D137" i="55"/>
  <c r="D138" i="55"/>
  <c r="D139" i="55"/>
  <c r="D140" i="55"/>
  <c r="D141" i="55"/>
  <c r="D129" i="55"/>
  <c r="O121" i="55"/>
  <c r="U121" i="55"/>
  <c r="O122" i="55"/>
  <c r="U122" i="55"/>
  <c r="O123" i="55"/>
  <c r="U123" i="55"/>
  <c r="O120" i="55"/>
  <c r="U120" i="55"/>
  <c r="N121" i="55"/>
  <c r="N122" i="55"/>
  <c r="N123" i="55"/>
  <c r="N120" i="55"/>
  <c r="D121" i="55"/>
  <c r="D122" i="55"/>
  <c r="D123" i="55"/>
  <c r="D120" i="55"/>
  <c r="M109" i="57"/>
  <c r="L109" i="57"/>
  <c r="K109" i="57"/>
  <c r="J109" i="57"/>
  <c r="I109" i="57"/>
  <c r="M108" i="57"/>
  <c r="L108" i="57"/>
  <c r="K108" i="57"/>
  <c r="J108" i="57"/>
  <c r="I108" i="57"/>
  <c r="M107" i="57"/>
  <c r="L107" i="57"/>
  <c r="K107" i="57"/>
  <c r="J107" i="57"/>
  <c r="I107" i="57"/>
  <c r="M106" i="57"/>
  <c r="L106" i="57"/>
  <c r="K106" i="57"/>
  <c r="J106" i="57"/>
  <c r="I106" i="57"/>
  <c r="M105" i="57"/>
  <c r="L105" i="57"/>
  <c r="K105" i="57"/>
  <c r="J105" i="57"/>
  <c r="I105" i="57"/>
  <c r="M104" i="57"/>
  <c r="L104" i="57"/>
  <c r="K104" i="57"/>
  <c r="J104" i="57"/>
  <c r="I104" i="57"/>
  <c r="M103" i="57"/>
  <c r="L103" i="57"/>
  <c r="K103" i="57"/>
  <c r="J103" i="57"/>
  <c r="I103" i="57"/>
  <c r="M102" i="57"/>
  <c r="L102" i="57"/>
  <c r="K102" i="57"/>
  <c r="J102" i="57"/>
  <c r="I102" i="57"/>
  <c r="M101" i="57"/>
  <c r="L101" i="57"/>
  <c r="K101" i="57"/>
  <c r="J101" i="57"/>
  <c r="I101" i="57"/>
  <c r="M100" i="57"/>
  <c r="L100" i="57"/>
  <c r="K100" i="57"/>
  <c r="J100" i="57"/>
  <c r="I100" i="57"/>
  <c r="U114" i="55"/>
  <c r="O114" i="55"/>
  <c r="N114" i="55"/>
  <c r="U113" i="55"/>
  <c r="O113" i="55"/>
  <c r="N113" i="55"/>
  <c r="U112" i="55"/>
  <c r="O112" i="55"/>
  <c r="N112" i="55"/>
  <c r="U111" i="55"/>
  <c r="O111" i="55"/>
  <c r="N111" i="55"/>
  <c r="U110" i="55"/>
  <c r="O110" i="55"/>
  <c r="N110" i="55"/>
  <c r="O109" i="55"/>
  <c r="U109" i="55"/>
  <c r="N109" i="55"/>
  <c r="D110" i="55"/>
  <c r="D111" i="55"/>
  <c r="D112" i="55"/>
  <c r="D113" i="55"/>
  <c r="D114" i="55"/>
  <c r="D109" i="55"/>
  <c r="N84" i="55"/>
  <c r="O84" i="55"/>
  <c r="U84" i="55"/>
  <c r="N85" i="55"/>
  <c r="O85" i="55"/>
  <c r="U85" i="55"/>
  <c r="N86" i="55"/>
  <c r="O86" i="55"/>
  <c r="U86" i="55"/>
  <c r="N87" i="55"/>
  <c r="O87" i="55"/>
  <c r="U87" i="55"/>
  <c r="N88" i="55"/>
  <c r="O88" i="55"/>
  <c r="U88" i="55"/>
  <c r="N89" i="55"/>
  <c r="O89" i="55"/>
  <c r="U89" i="55"/>
  <c r="N90" i="55"/>
  <c r="O90" i="55"/>
  <c r="U90" i="55"/>
  <c r="N91" i="55"/>
  <c r="O91" i="55"/>
  <c r="U91" i="55"/>
  <c r="N92" i="55"/>
  <c r="O92" i="55"/>
  <c r="U92" i="55"/>
  <c r="N93" i="55"/>
  <c r="O93" i="55"/>
  <c r="U93" i="55"/>
  <c r="N94" i="55"/>
  <c r="O94" i="55"/>
  <c r="U94" i="55"/>
  <c r="N95" i="55"/>
  <c r="O95" i="55"/>
  <c r="U95" i="55"/>
  <c r="N96" i="55"/>
  <c r="O96" i="55"/>
  <c r="U96" i="55"/>
  <c r="N97" i="55"/>
  <c r="O97" i="55"/>
  <c r="U97" i="55"/>
  <c r="N98" i="55"/>
  <c r="O98" i="55"/>
  <c r="U98" i="55"/>
  <c r="N99" i="55"/>
  <c r="O99" i="55"/>
  <c r="U99" i="55"/>
  <c r="N100" i="55"/>
  <c r="O100" i="55"/>
  <c r="U100" i="55"/>
  <c r="N101" i="55"/>
  <c r="O101" i="55"/>
  <c r="U101" i="55"/>
  <c r="N102" i="55"/>
  <c r="O102" i="55"/>
  <c r="U102" i="55"/>
  <c r="N103" i="55"/>
  <c r="O103" i="55"/>
  <c r="U103" i="55"/>
  <c r="O83" i="55"/>
  <c r="U83" i="55"/>
  <c r="N83" i="55"/>
  <c r="D102" i="55"/>
  <c r="D103" i="55"/>
  <c r="D84" i="55"/>
  <c r="D85" i="55"/>
  <c r="D86" i="55"/>
  <c r="D87" i="55"/>
  <c r="D88" i="55"/>
  <c r="D89" i="55"/>
  <c r="D90" i="55"/>
  <c r="D91" i="55"/>
  <c r="D92" i="55"/>
  <c r="D93" i="55"/>
  <c r="D94" i="55"/>
  <c r="D95" i="55"/>
  <c r="D96" i="55"/>
  <c r="D97" i="55"/>
  <c r="D98" i="55"/>
  <c r="D99" i="55"/>
  <c r="D100" i="55"/>
  <c r="D101" i="55"/>
  <c r="D83" i="55"/>
  <c r="U69" i="55"/>
  <c r="O69" i="55"/>
  <c r="N69" i="55"/>
  <c r="U68" i="55"/>
  <c r="O68" i="55"/>
  <c r="N68" i="55"/>
  <c r="U67" i="55"/>
  <c r="O67" i="55"/>
  <c r="N67" i="55"/>
  <c r="U66" i="55"/>
  <c r="O66" i="55"/>
  <c r="N66" i="55"/>
  <c r="O65" i="55"/>
  <c r="U65" i="55"/>
  <c r="N65" i="55"/>
  <c r="D66" i="55"/>
  <c r="D67" i="55"/>
  <c r="D68" i="55"/>
  <c r="D69" i="55"/>
  <c r="D65" i="55"/>
  <c r="N55" i="55"/>
  <c r="O55" i="55"/>
  <c r="U55" i="55"/>
  <c r="N56" i="55"/>
  <c r="O56" i="55"/>
  <c r="U56" i="55"/>
  <c r="N57" i="55"/>
  <c r="O57" i="55"/>
  <c r="U57" i="55"/>
  <c r="N58" i="55"/>
  <c r="O58" i="55"/>
  <c r="U58" i="55"/>
  <c r="N59" i="55"/>
  <c r="O59" i="55"/>
  <c r="U59" i="55"/>
  <c r="O54" i="55"/>
  <c r="U54" i="55"/>
  <c r="N54" i="55"/>
  <c r="D55" i="55"/>
  <c r="D56" i="55"/>
  <c r="D57" i="55"/>
  <c r="D58" i="55"/>
  <c r="D59" i="55"/>
  <c r="D54" i="55"/>
  <c r="N47" i="55" l="1"/>
  <c r="O47" i="55"/>
  <c r="U47" i="55"/>
  <c r="N48" i="55"/>
  <c r="O48" i="55"/>
  <c r="U48" i="55"/>
  <c r="O46" i="55"/>
  <c r="U46" i="55"/>
  <c r="N46" i="55"/>
  <c r="D47" i="55"/>
  <c r="D48" i="55"/>
  <c r="D46" i="55"/>
  <c r="N36" i="55"/>
  <c r="O36" i="55"/>
  <c r="U36" i="55"/>
  <c r="N37" i="55"/>
  <c r="O37" i="55"/>
  <c r="U37" i="55"/>
  <c r="N38" i="55"/>
  <c r="O38" i="55"/>
  <c r="U38" i="55"/>
  <c r="N39" i="55"/>
  <c r="O39" i="55"/>
  <c r="U39" i="55"/>
  <c r="N40" i="55"/>
  <c r="O40" i="55"/>
  <c r="U40" i="55"/>
  <c r="O35" i="55"/>
  <c r="U35" i="55"/>
  <c r="N35" i="55"/>
  <c r="D36" i="55"/>
  <c r="D37" i="55"/>
  <c r="D38" i="55"/>
  <c r="D39" i="55"/>
  <c r="D40" i="55"/>
  <c r="D35" i="55"/>
  <c r="M99" i="57" l="1"/>
  <c r="T204" i="55" s="1"/>
  <c r="L99" i="57"/>
  <c r="S204" i="55" s="1"/>
  <c r="K99" i="57"/>
  <c r="R204" i="55" s="1"/>
  <c r="J99" i="57"/>
  <c r="Q204" i="55" s="1"/>
  <c r="I99" i="57"/>
  <c r="P204" i="55" s="1"/>
  <c r="M98" i="57"/>
  <c r="T203" i="55" s="1"/>
  <c r="L98" i="57"/>
  <c r="S203" i="55" s="1"/>
  <c r="K98" i="57"/>
  <c r="R203" i="55" s="1"/>
  <c r="J98" i="57"/>
  <c r="Q203" i="55" s="1"/>
  <c r="I98" i="57"/>
  <c r="P203" i="55" s="1"/>
  <c r="M97" i="57"/>
  <c r="T202" i="55" s="1"/>
  <c r="L97" i="57"/>
  <c r="S202" i="55" s="1"/>
  <c r="K97" i="57"/>
  <c r="R202" i="55" s="1"/>
  <c r="J97" i="57"/>
  <c r="Q202" i="55" s="1"/>
  <c r="I97" i="57"/>
  <c r="P202" i="55" s="1"/>
  <c r="M96" i="57"/>
  <c r="T201" i="55" s="1"/>
  <c r="L96" i="57"/>
  <c r="S201" i="55" s="1"/>
  <c r="K96" i="57"/>
  <c r="R201" i="55" s="1"/>
  <c r="J96" i="57"/>
  <c r="Q201" i="55" s="1"/>
  <c r="I96" i="57"/>
  <c r="P201" i="55" s="1"/>
  <c r="M95" i="57"/>
  <c r="T200" i="55" s="1"/>
  <c r="L95" i="57"/>
  <c r="S200" i="55" s="1"/>
  <c r="K95" i="57"/>
  <c r="R200" i="55" s="1"/>
  <c r="J95" i="57"/>
  <c r="Q200" i="55" s="1"/>
  <c r="I95" i="57"/>
  <c r="P200" i="55" s="1"/>
  <c r="M94" i="57"/>
  <c r="T199" i="55" s="1"/>
  <c r="L94" i="57"/>
  <c r="S199" i="55" s="1"/>
  <c r="K94" i="57"/>
  <c r="R199" i="55" s="1"/>
  <c r="J94" i="57"/>
  <c r="Q199" i="55" s="1"/>
  <c r="I94" i="57"/>
  <c r="P199" i="55" s="1"/>
  <c r="M93" i="57"/>
  <c r="T198" i="55" s="1"/>
  <c r="L93" i="57"/>
  <c r="S198" i="55" s="1"/>
  <c r="K93" i="57"/>
  <c r="R198" i="55" s="1"/>
  <c r="J93" i="57"/>
  <c r="Q198" i="55" s="1"/>
  <c r="I93" i="57"/>
  <c r="P198" i="55" s="1"/>
  <c r="M92" i="57"/>
  <c r="T197" i="55" s="1"/>
  <c r="L92" i="57"/>
  <c r="S197" i="55" s="1"/>
  <c r="K92" i="57"/>
  <c r="R197" i="55" s="1"/>
  <c r="J92" i="57"/>
  <c r="Q197" i="55" s="1"/>
  <c r="I92" i="57"/>
  <c r="P197" i="55" s="1"/>
  <c r="M91" i="57"/>
  <c r="T191" i="55" s="1"/>
  <c r="L91" i="57"/>
  <c r="S191" i="55" s="1"/>
  <c r="K91" i="57"/>
  <c r="R191" i="55" s="1"/>
  <c r="J91" i="57"/>
  <c r="Q191" i="55" s="1"/>
  <c r="I91" i="57"/>
  <c r="P191" i="55" s="1"/>
  <c r="M90" i="57"/>
  <c r="T190" i="55" s="1"/>
  <c r="L90" i="57"/>
  <c r="S190" i="55" s="1"/>
  <c r="K90" i="57"/>
  <c r="R190" i="55" s="1"/>
  <c r="J90" i="57"/>
  <c r="Q190" i="55" s="1"/>
  <c r="I90" i="57"/>
  <c r="P190" i="55" s="1"/>
  <c r="M89" i="57"/>
  <c r="T189" i="55" s="1"/>
  <c r="L89" i="57"/>
  <c r="S189" i="55" s="1"/>
  <c r="K89" i="57"/>
  <c r="R189" i="55" s="1"/>
  <c r="J89" i="57"/>
  <c r="Q189" i="55" s="1"/>
  <c r="I89" i="57"/>
  <c r="P189" i="55" s="1"/>
  <c r="M88" i="57"/>
  <c r="T188" i="55" s="1"/>
  <c r="L88" i="57"/>
  <c r="S188" i="55" s="1"/>
  <c r="K88" i="57"/>
  <c r="R188" i="55" s="1"/>
  <c r="J88" i="57"/>
  <c r="Q188" i="55" s="1"/>
  <c r="I88" i="57"/>
  <c r="P188" i="55" s="1"/>
  <c r="M87" i="57"/>
  <c r="T77" i="55" s="1"/>
  <c r="L87" i="57"/>
  <c r="S77" i="55" s="1"/>
  <c r="K87" i="57"/>
  <c r="R77" i="55" s="1"/>
  <c r="J87" i="57"/>
  <c r="Q77" i="55" s="1"/>
  <c r="I87" i="57"/>
  <c r="P77" i="55" s="1"/>
  <c r="M86" i="57"/>
  <c r="T76" i="55" s="1"/>
  <c r="L86" i="57"/>
  <c r="S76" i="55" s="1"/>
  <c r="K86" i="57"/>
  <c r="R76" i="55" s="1"/>
  <c r="J86" i="57"/>
  <c r="Q76" i="55" s="1"/>
  <c r="I86" i="57"/>
  <c r="P76" i="55" s="1"/>
  <c r="M85" i="57"/>
  <c r="T75" i="55" s="1"/>
  <c r="L85" i="57"/>
  <c r="S75" i="55" s="1"/>
  <c r="K85" i="57"/>
  <c r="R75" i="55" s="1"/>
  <c r="J85" i="57"/>
  <c r="Q75" i="55" s="1"/>
  <c r="I85" i="57"/>
  <c r="P75" i="55" s="1"/>
  <c r="M84" i="57"/>
  <c r="T182" i="55" s="1"/>
  <c r="L84" i="57"/>
  <c r="S182" i="55" s="1"/>
  <c r="K84" i="57"/>
  <c r="R182" i="55" s="1"/>
  <c r="J84" i="57"/>
  <c r="Q182" i="55" s="1"/>
  <c r="I84" i="57"/>
  <c r="P182" i="55" s="1"/>
  <c r="M83" i="57"/>
  <c r="T181" i="55" s="1"/>
  <c r="L83" i="57"/>
  <c r="S181" i="55" s="1"/>
  <c r="K83" i="57"/>
  <c r="R181" i="55" s="1"/>
  <c r="J83" i="57"/>
  <c r="Q181" i="55" s="1"/>
  <c r="I83" i="57"/>
  <c r="P181" i="55" s="1"/>
  <c r="M82" i="57"/>
  <c r="T180" i="55" s="1"/>
  <c r="L82" i="57"/>
  <c r="S180" i="55" s="1"/>
  <c r="K82" i="57"/>
  <c r="R180" i="55" s="1"/>
  <c r="J82" i="57"/>
  <c r="Q180" i="55" s="1"/>
  <c r="I82" i="57"/>
  <c r="P180" i="55" s="1"/>
  <c r="M81" i="57"/>
  <c r="T179" i="55" s="1"/>
  <c r="L81" i="57"/>
  <c r="S179" i="55" s="1"/>
  <c r="K81" i="57"/>
  <c r="R179" i="55" s="1"/>
  <c r="J81" i="57"/>
  <c r="Q179" i="55" s="1"/>
  <c r="I81" i="57"/>
  <c r="P179" i="55" s="1"/>
  <c r="M80" i="57"/>
  <c r="T178" i="55" s="1"/>
  <c r="L80" i="57"/>
  <c r="S178" i="55" s="1"/>
  <c r="K80" i="57"/>
  <c r="R178" i="55" s="1"/>
  <c r="J80" i="57"/>
  <c r="Q178" i="55" s="1"/>
  <c r="I80" i="57"/>
  <c r="P178" i="55" s="1"/>
  <c r="M79" i="57"/>
  <c r="T172" i="55" s="1"/>
  <c r="L79" i="57"/>
  <c r="S172" i="55" s="1"/>
  <c r="K79" i="57"/>
  <c r="R172" i="55" s="1"/>
  <c r="J79" i="57"/>
  <c r="Q172" i="55" s="1"/>
  <c r="I79" i="57"/>
  <c r="P172" i="55" s="1"/>
  <c r="M78" i="57"/>
  <c r="T171" i="55" s="1"/>
  <c r="L78" i="57"/>
  <c r="S171" i="55" s="1"/>
  <c r="K78" i="57"/>
  <c r="R171" i="55" s="1"/>
  <c r="J78" i="57"/>
  <c r="Q171" i="55" s="1"/>
  <c r="I78" i="57"/>
  <c r="P171" i="55" s="1"/>
  <c r="M77" i="57"/>
  <c r="T170" i="55" s="1"/>
  <c r="L77" i="57"/>
  <c r="S170" i="55" s="1"/>
  <c r="K77" i="57"/>
  <c r="R170" i="55" s="1"/>
  <c r="J77" i="57"/>
  <c r="Q170" i="55" s="1"/>
  <c r="I77" i="57"/>
  <c r="P170" i="55" s="1"/>
  <c r="M76" i="57"/>
  <c r="T164" i="55" s="1"/>
  <c r="L76" i="57"/>
  <c r="S164" i="55" s="1"/>
  <c r="K76" i="57"/>
  <c r="R164" i="55" s="1"/>
  <c r="J76" i="57"/>
  <c r="Q164" i="55" s="1"/>
  <c r="I76" i="57"/>
  <c r="P164" i="55" s="1"/>
  <c r="M75" i="57"/>
  <c r="T158" i="55" s="1"/>
  <c r="L75" i="57"/>
  <c r="S158" i="55" s="1"/>
  <c r="K75" i="57"/>
  <c r="R158" i="55" s="1"/>
  <c r="J75" i="57"/>
  <c r="Q158" i="55" s="1"/>
  <c r="I75" i="57"/>
  <c r="P158" i="55" s="1"/>
  <c r="M74" i="57"/>
  <c r="T152" i="55" s="1"/>
  <c r="L74" i="57"/>
  <c r="S152" i="55" s="1"/>
  <c r="K74" i="57"/>
  <c r="R152" i="55" s="1"/>
  <c r="J74" i="57"/>
  <c r="Q152" i="55" s="1"/>
  <c r="I74" i="57"/>
  <c r="P152" i="55" s="1"/>
  <c r="M73" i="57"/>
  <c r="T151" i="55" s="1"/>
  <c r="L73" i="57"/>
  <c r="S151" i="55" s="1"/>
  <c r="K73" i="57"/>
  <c r="R151" i="55" s="1"/>
  <c r="J73" i="57"/>
  <c r="Q151" i="55" s="1"/>
  <c r="I73" i="57"/>
  <c r="P151" i="55" s="1"/>
  <c r="M72" i="57"/>
  <c r="T150" i="55" s="1"/>
  <c r="L72" i="57"/>
  <c r="S150" i="55" s="1"/>
  <c r="K72" i="57"/>
  <c r="R150" i="55" s="1"/>
  <c r="J72" i="57"/>
  <c r="Q150" i="55" s="1"/>
  <c r="I72" i="57"/>
  <c r="P150" i="55" s="1"/>
  <c r="M71" i="57"/>
  <c r="T149" i="55" s="1"/>
  <c r="L71" i="57"/>
  <c r="S149" i="55" s="1"/>
  <c r="K71" i="57"/>
  <c r="R149" i="55" s="1"/>
  <c r="J71" i="57"/>
  <c r="Q149" i="55" s="1"/>
  <c r="I71" i="57"/>
  <c r="P149" i="55" s="1"/>
  <c r="M70" i="57"/>
  <c r="T148" i="55" s="1"/>
  <c r="L70" i="57"/>
  <c r="S148" i="55" s="1"/>
  <c r="K70" i="57"/>
  <c r="R148" i="55" s="1"/>
  <c r="J70" i="57"/>
  <c r="Q148" i="55" s="1"/>
  <c r="I70" i="57"/>
  <c r="P148" i="55" s="1"/>
  <c r="M69" i="57"/>
  <c r="T147" i="55" s="1"/>
  <c r="L69" i="57"/>
  <c r="S147" i="55" s="1"/>
  <c r="K69" i="57"/>
  <c r="R147" i="55" s="1"/>
  <c r="J69" i="57"/>
  <c r="Q147" i="55" s="1"/>
  <c r="I69" i="57"/>
  <c r="P147" i="55" s="1"/>
  <c r="M68" i="57"/>
  <c r="T141" i="55" s="1"/>
  <c r="L68" i="57"/>
  <c r="S141" i="55" s="1"/>
  <c r="K68" i="57"/>
  <c r="R141" i="55" s="1"/>
  <c r="J68" i="57"/>
  <c r="Q141" i="55" s="1"/>
  <c r="I68" i="57"/>
  <c r="P141" i="55" s="1"/>
  <c r="M67" i="57"/>
  <c r="T140" i="55" s="1"/>
  <c r="L67" i="57"/>
  <c r="S140" i="55" s="1"/>
  <c r="K67" i="57"/>
  <c r="R140" i="55" s="1"/>
  <c r="J67" i="57"/>
  <c r="Q140" i="55" s="1"/>
  <c r="I67" i="57"/>
  <c r="P140" i="55" s="1"/>
  <c r="M66" i="57"/>
  <c r="T139" i="55" s="1"/>
  <c r="L66" i="57"/>
  <c r="S139" i="55" s="1"/>
  <c r="K66" i="57"/>
  <c r="R139" i="55" s="1"/>
  <c r="J66" i="57"/>
  <c r="Q139" i="55" s="1"/>
  <c r="I66" i="57"/>
  <c r="P139" i="55" s="1"/>
  <c r="M65" i="57"/>
  <c r="T138" i="55" s="1"/>
  <c r="L65" i="57"/>
  <c r="S138" i="55" s="1"/>
  <c r="K65" i="57"/>
  <c r="R138" i="55" s="1"/>
  <c r="J65" i="57"/>
  <c r="Q138" i="55" s="1"/>
  <c r="I65" i="57"/>
  <c r="P138" i="55" s="1"/>
  <c r="M64" i="57"/>
  <c r="T137" i="55" s="1"/>
  <c r="L64" i="57"/>
  <c r="S137" i="55" s="1"/>
  <c r="K64" i="57"/>
  <c r="R137" i="55" s="1"/>
  <c r="J64" i="57"/>
  <c r="Q137" i="55" s="1"/>
  <c r="I64" i="57"/>
  <c r="P137" i="55" s="1"/>
  <c r="M63" i="57"/>
  <c r="T136" i="55" s="1"/>
  <c r="L63" i="57"/>
  <c r="S136" i="55" s="1"/>
  <c r="K63" i="57"/>
  <c r="R136" i="55" s="1"/>
  <c r="J63" i="57"/>
  <c r="Q136" i="55" s="1"/>
  <c r="I63" i="57"/>
  <c r="P136" i="55" s="1"/>
  <c r="M62" i="57"/>
  <c r="T135" i="55" s="1"/>
  <c r="L62" i="57"/>
  <c r="S135" i="55" s="1"/>
  <c r="K62" i="57"/>
  <c r="R135" i="55" s="1"/>
  <c r="J62" i="57"/>
  <c r="Q135" i="55" s="1"/>
  <c r="I62" i="57"/>
  <c r="P135" i="55" s="1"/>
  <c r="M61" i="57"/>
  <c r="T134" i="55" s="1"/>
  <c r="L61" i="57"/>
  <c r="S134" i="55" s="1"/>
  <c r="K61" i="57"/>
  <c r="R134" i="55" s="1"/>
  <c r="J61" i="57"/>
  <c r="Q134" i="55" s="1"/>
  <c r="I61" i="57"/>
  <c r="P134" i="55" s="1"/>
  <c r="M60" i="57"/>
  <c r="T133" i="55" s="1"/>
  <c r="L60" i="57"/>
  <c r="S133" i="55" s="1"/>
  <c r="K60" i="57"/>
  <c r="R133" i="55" s="1"/>
  <c r="J60" i="57"/>
  <c r="Q133" i="55" s="1"/>
  <c r="I60" i="57"/>
  <c r="P133" i="55" s="1"/>
  <c r="M59" i="57"/>
  <c r="T132" i="55" s="1"/>
  <c r="L59" i="57"/>
  <c r="S132" i="55" s="1"/>
  <c r="K59" i="57"/>
  <c r="R132" i="55" s="1"/>
  <c r="J59" i="57"/>
  <c r="Q132" i="55" s="1"/>
  <c r="I59" i="57"/>
  <c r="P132" i="55" s="1"/>
  <c r="M58" i="57"/>
  <c r="T131" i="55" s="1"/>
  <c r="L58" i="57"/>
  <c r="S131" i="55" s="1"/>
  <c r="K58" i="57"/>
  <c r="R131" i="55" s="1"/>
  <c r="J58" i="57"/>
  <c r="Q131" i="55" s="1"/>
  <c r="I58" i="57"/>
  <c r="P131" i="55" s="1"/>
  <c r="M57" i="57"/>
  <c r="T130" i="55" s="1"/>
  <c r="L57" i="57"/>
  <c r="S130" i="55" s="1"/>
  <c r="K57" i="57"/>
  <c r="R130" i="55" s="1"/>
  <c r="J57" i="57"/>
  <c r="Q130" i="55" s="1"/>
  <c r="I57" i="57"/>
  <c r="P130" i="55" s="1"/>
  <c r="M56" i="57"/>
  <c r="T129" i="55" s="1"/>
  <c r="L56" i="57"/>
  <c r="S129" i="55" s="1"/>
  <c r="K56" i="57"/>
  <c r="R129" i="55" s="1"/>
  <c r="J56" i="57"/>
  <c r="Q129" i="55" s="1"/>
  <c r="I56" i="57"/>
  <c r="P129" i="55" s="1"/>
  <c r="M55" i="57"/>
  <c r="T123" i="55" s="1"/>
  <c r="L55" i="57"/>
  <c r="S123" i="55" s="1"/>
  <c r="K55" i="57"/>
  <c r="R123" i="55" s="1"/>
  <c r="J55" i="57"/>
  <c r="Q123" i="55" s="1"/>
  <c r="I55" i="57"/>
  <c r="P123" i="55" s="1"/>
  <c r="M54" i="57"/>
  <c r="T122" i="55" s="1"/>
  <c r="L54" i="57"/>
  <c r="S122" i="55" s="1"/>
  <c r="K54" i="57"/>
  <c r="R122" i="55" s="1"/>
  <c r="J54" i="57"/>
  <c r="Q122" i="55" s="1"/>
  <c r="I54" i="57"/>
  <c r="P122" i="55" s="1"/>
  <c r="M53" i="57"/>
  <c r="T121" i="55" s="1"/>
  <c r="L53" i="57"/>
  <c r="S121" i="55" s="1"/>
  <c r="K53" i="57"/>
  <c r="R121" i="55" s="1"/>
  <c r="J53" i="57"/>
  <c r="Q121" i="55" s="1"/>
  <c r="I53" i="57"/>
  <c r="P121" i="55" s="1"/>
  <c r="M52" i="57"/>
  <c r="T120" i="55" s="1"/>
  <c r="L52" i="57"/>
  <c r="S120" i="55" s="1"/>
  <c r="K52" i="57"/>
  <c r="R120" i="55" s="1"/>
  <c r="J52" i="57"/>
  <c r="Q120" i="55" s="1"/>
  <c r="I52" i="57"/>
  <c r="P120" i="55" s="1"/>
  <c r="M51" i="57"/>
  <c r="T114" i="55" s="1"/>
  <c r="L51" i="57"/>
  <c r="S114" i="55" s="1"/>
  <c r="K51" i="57"/>
  <c r="R114" i="55" s="1"/>
  <c r="J51" i="57"/>
  <c r="Q114" i="55" s="1"/>
  <c r="I51" i="57"/>
  <c r="P114" i="55" s="1"/>
  <c r="M50" i="57"/>
  <c r="T113" i="55" s="1"/>
  <c r="L50" i="57"/>
  <c r="S113" i="55" s="1"/>
  <c r="K50" i="57"/>
  <c r="R113" i="55" s="1"/>
  <c r="J50" i="57"/>
  <c r="Q113" i="55" s="1"/>
  <c r="I50" i="57"/>
  <c r="P113" i="55" s="1"/>
  <c r="M49" i="57"/>
  <c r="T112" i="55" s="1"/>
  <c r="L49" i="57"/>
  <c r="S112" i="55" s="1"/>
  <c r="K49" i="57"/>
  <c r="R112" i="55" s="1"/>
  <c r="J49" i="57"/>
  <c r="Q112" i="55" s="1"/>
  <c r="I49" i="57"/>
  <c r="P112" i="55" s="1"/>
  <c r="M48" i="57"/>
  <c r="T111" i="55" s="1"/>
  <c r="L48" i="57"/>
  <c r="S111" i="55" s="1"/>
  <c r="K48" i="57"/>
  <c r="R111" i="55" s="1"/>
  <c r="J48" i="57"/>
  <c r="Q111" i="55" s="1"/>
  <c r="I48" i="57"/>
  <c r="P111" i="55" s="1"/>
  <c r="M47" i="57"/>
  <c r="T110" i="55" s="1"/>
  <c r="L47" i="57"/>
  <c r="S110" i="55" s="1"/>
  <c r="K47" i="57"/>
  <c r="R110" i="55" s="1"/>
  <c r="J47" i="57"/>
  <c r="Q110" i="55" s="1"/>
  <c r="I47" i="57"/>
  <c r="P110" i="55" s="1"/>
  <c r="M46" i="57"/>
  <c r="T109" i="55" s="1"/>
  <c r="L46" i="57"/>
  <c r="S109" i="55" s="1"/>
  <c r="K46" i="57"/>
  <c r="R109" i="55" s="1"/>
  <c r="J46" i="57"/>
  <c r="Q109" i="55" s="1"/>
  <c r="I46" i="57"/>
  <c r="P109" i="55" s="1"/>
  <c r="M45" i="57"/>
  <c r="T103" i="55" s="1"/>
  <c r="L45" i="57"/>
  <c r="S103" i="55" s="1"/>
  <c r="K45" i="57"/>
  <c r="R103" i="55" s="1"/>
  <c r="J45" i="57"/>
  <c r="Q103" i="55" s="1"/>
  <c r="I45" i="57"/>
  <c r="P103" i="55" s="1"/>
  <c r="M44" i="57"/>
  <c r="T102" i="55" s="1"/>
  <c r="L44" i="57"/>
  <c r="S102" i="55" s="1"/>
  <c r="K44" i="57"/>
  <c r="R102" i="55" s="1"/>
  <c r="J44" i="57"/>
  <c r="Q102" i="55" s="1"/>
  <c r="I44" i="57"/>
  <c r="P102" i="55" s="1"/>
  <c r="M43" i="57"/>
  <c r="T101" i="55" s="1"/>
  <c r="L43" i="57"/>
  <c r="S101" i="55" s="1"/>
  <c r="K43" i="57"/>
  <c r="R101" i="55" s="1"/>
  <c r="J43" i="57"/>
  <c r="Q101" i="55" s="1"/>
  <c r="I43" i="57"/>
  <c r="P101" i="55" s="1"/>
  <c r="M42" i="57"/>
  <c r="T100" i="55" s="1"/>
  <c r="L42" i="57"/>
  <c r="S100" i="55" s="1"/>
  <c r="K42" i="57"/>
  <c r="R100" i="55" s="1"/>
  <c r="J42" i="57"/>
  <c r="Q100" i="55" s="1"/>
  <c r="I42" i="57"/>
  <c r="P100" i="55" s="1"/>
  <c r="M41" i="57"/>
  <c r="T99" i="55" s="1"/>
  <c r="L41" i="57"/>
  <c r="S99" i="55" s="1"/>
  <c r="K41" i="57"/>
  <c r="R99" i="55" s="1"/>
  <c r="J41" i="57"/>
  <c r="Q99" i="55" s="1"/>
  <c r="I41" i="57"/>
  <c r="P99" i="55" s="1"/>
  <c r="M40" i="57"/>
  <c r="T98" i="55" s="1"/>
  <c r="L40" i="57"/>
  <c r="S98" i="55" s="1"/>
  <c r="K40" i="57"/>
  <c r="R98" i="55" s="1"/>
  <c r="J40" i="57"/>
  <c r="Q98" i="55" s="1"/>
  <c r="I40" i="57"/>
  <c r="P98" i="55" s="1"/>
  <c r="M39" i="57"/>
  <c r="T97" i="55" s="1"/>
  <c r="L39" i="57"/>
  <c r="S97" i="55" s="1"/>
  <c r="K39" i="57"/>
  <c r="R97" i="55" s="1"/>
  <c r="J39" i="57"/>
  <c r="Q97" i="55" s="1"/>
  <c r="I39" i="57"/>
  <c r="P97" i="55" s="1"/>
  <c r="M38" i="57"/>
  <c r="T96" i="55" s="1"/>
  <c r="L38" i="57"/>
  <c r="S96" i="55" s="1"/>
  <c r="K38" i="57"/>
  <c r="R96" i="55" s="1"/>
  <c r="J38" i="57"/>
  <c r="Q96" i="55" s="1"/>
  <c r="I38" i="57"/>
  <c r="P96" i="55" s="1"/>
  <c r="M37" i="57"/>
  <c r="T95" i="55" s="1"/>
  <c r="L37" i="57"/>
  <c r="S95" i="55" s="1"/>
  <c r="K37" i="57"/>
  <c r="R95" i="55" s="1"/>
  <c r="J37" i="57"/>
  <c r="Q95" i="55" s="1"/>
  <c r="I37" i="57"/>
  <c r="P95" i="55" s="1"/>
  <c r="M36" i="57"/>
  <c r="T94" i="55" s="1"/>
  <c r="L36" i="57"/>
  <c r="S94" i="55" s="1"/>
  <c r="K36" i="57"/>
  <c r="R94" i="55" s="1"/>
  <c r="J36" i="57"/>
  <c r="Q94" i="55" s="1"/>
  <c r="I36" i="57"/>
  <c r="P94" i="55" s="1"/>
  <c r="M35" i="57"/>
  <c r="T93" i="55" s="1"/>
  <c r="L35" i="57"/>
  <c r="S93" i="55" s="1"/>
  <c r="K35" i="57"/>
  <c r="R93" i="55" s="1"/>
  <c r="J35" i="57"/>
  <c r="Q93" i="55" s="1"/>
  <c r="I35" i="57"/>
  <c r="P93" i="55" s="1"/>
  <c r="M34" i="57"/>
  <c r="T92" i="55" s="1"/>
  <c r="L34" i="57"/>
  <c r="S92" i="55" s="1"/>
  <c r="K34" i="57"/>
  <c r="R92" i="55" s="1"/>
  <c r="J34" i="57"/>
  <c r="Q92" i="55" s="1"/>
  <c r="I34" i="57"/>
  <c r="P92" i="55" s="1"/>
  <c r="M33" i="57"/>
  <c r="T91" i="55" s="1"/>
  <c r="L33" i="57"/>
  <c r="S91" i="55" s="1"/>
  <c r="K33" i="57"/>
  <c r="R91" i="55" s="1"/>
  <c r="J33" i="57"/>
  <c r="Q91" i="55" s="1"/>
  <c r="I33" i="57"/>
  <c r="P91" i="55" s="1"/>
  <c r="M32" i="57"/>
  <c r="T90" i="55" s="1"/>
  <c r="L32" i="57"/>
  <c r="S90" i="55" s="1"/>
  <c r="K32" i="57"/>
  <c r="R90" i="55" s="1"/>
  <c r="J32" i="57"/>
  <c r="Q90" i="55" s="1"/>
  <c r="I32" i="57"/>
  <c r="P90" i="55" s="1"/>
  <c r="M31" i="57"/>
  <c r="T89" i="55" s="1"/>
  <c r="L31" i="57"/>
  <c r="S89" i="55" s="1"/>
  <c r="K31" i="57"/>
  <c r="R89" i="55" s="1"/>
  <c r="J31" i="57"/>
  <c r="Q89" i="55" s="1"/>
  <c r="I31" i="57"/>
  <c r="P89" i="55" s="1"/>
  <c r="M30" i="57"/>
  <c r="T88" i="55" s="1"/>
  <c r="L30" i="57"/>
  <c r="S88" i="55" s="1"/>
  <c r="K30" i="57"/>
  <c r="R88" i="55" s="1"/>
  <c r="J30" i="57"/>
  <c r="Q88" i="55" s="1"/>
  <c r="I30" i="57"/>
  <c r="P88" i="55" s="1"/>
  <c r="M29" i="57"/>
  <c r="T87" i="55" s="1"/>
  <c r="L29" i="57"/>
  <c r="S87" i="55" s="1"/>
  <c r="K29" i="57"/>
  <c r="R87" i="55" s="1"/>
  <c r="J29" i="57"/>
  <c r="Q87" i="55" s="1"/>
  <c r="I29" i="57"/>
  <c r="P87" i="55" s="1"/>
  <c r="M28" i="57"/>
  <c r="T86" i="55" s="1"/>
  <c r="L28" i="57"/>
  <c r="S86" i="55" s="1"/>
  <c r="K28" i="57"/>
  <c r="R86" i="55" s="1"/>
  <c r="J28" i="57"/>
  <c r="Q86" i="55" s="1"/>
  <c r="I28" i="57"/>
  <c r="P86" i="55" s="1"/>
  <c r="M27" i="57"/>
  <c r="T85" i="55" s="1"/>
  <c r="L27" i="57"/>
  <c r="S85" i="55" s="1"/>
  <c r="K27" i="57"/>
  <c r="R85" i="55" s="1"/>
  <c r="J27" i="57"/>
  <c r="Q85" i="55" s="1"/>
  <c r="I27" i="57"/>
  <c r="P85" i="55" s="1"/>
  <c r="M26" i="57"/>
  <c r="T84" i="55" s="1"/>
  <c r="L26" i="57"/>
  <c r="S84" i="55" s="1"/>
  <c r="K26" i="57"/>
  <c r="R84" i="55" s="1"/>
  <c r="J26" i="57"/>
  <c r="Q84" i="55" s="1"/>
  <c r="I26" i="57"/>
  <c r="P84" i="55" s="1"/>
  <c r="M25" i="57"/>
  <c r="T83" i="55" s="1"/>
  <c r="L25" i="57"/>
  <c r="S83" i="55" s="1"/>
  <c r="K25" i="57"/>
  <c r="R83" i="55" s="1"/>
  <c r="J25" i="57"/>
  <c r="Q83" i="55" s="1"/>
  <c r="I25" i="57"/>
  <c r="P83" i="55" s="1"/>
  <c r="M24" i="57"/>
  <c r="T69" i="55" s="1"/>
  <c r="L24" i="57"/>
  <c r="S69" i="55" s="1"/>
  <c r="K24" i="57"/>
  <c r="R69" i="55" s="1"/>
  <c r="J24" i="57"/>
  <c r="Q69" i="55" s="1"/>
  <c r="I24" i="57"/>
  <c r="P69" i="55" s="1"/>
  <c r="M23" i="57"/>
  <c r="T68" i="55" s="1"/>
  <c r="L23" i="57"/>
  <c r="S68" i="55" s="1"/>
  <c r="K23" i="57"/>
  <c r="R68" i="55" s="1"/>
  <c r="J23" i="57"/>
  <c r="Q68" i="55" s="1"/>
  <c r="I23" i="57"/>
  <c r="P68" i="55" s="1"/>
  <c r="M22" i="57"/>
  <c r="T67" i="55" s="1"/>
  <c r="L22" i="57"/>
  <c r="S67" i="55" s="1"/>
  <c r="K22" i="57"/>
  <c r="R67" i="55" s="1"/>
  <c r="J22" i="57"/>
  <c r="Q67" i="55" s="1"/>
  <c r="I22" i="57"/>
  <c r="P67" i="55" s="1"/>
  <c r="M21" i="57"/>
  <c r="T66" i="55" s="1"/>
  <c r="L21" i="57"/>
  <c r="S66" i="55" s="1"/>
  <c r="K21" i="57"/>
  <c r="R66" i="55" s="1"/>
  <c r="J21" i="57"/>
  <c r="Q66" i="55" s="1"/>
  <c r="I21" i="57"/>
  <c r="P66" i="55" s="1"/>
  <c r="M20" i="57"/>
  <c r="T65" i="55" s="1"/>
  <c r="L20" i="57"/>
  <c r="S65" i="55" s="1"/>
  <c r="K20" i="57"/>
  <c r="R65" i="55" s="1"/>
  <c r="J20" i="57"/>
  <c r="Q65" i="55" s="1"/>
  <c r="I20" i="57"/>
  <c r="P65" i="55" s="1"/>
  <c r="M19" i="57"/>
  <c r="T59" i="55" s="1"/>
  <c r="L19" i="57"/>
  <c r="S59" i="55" s="1"/>
  <c r="K19" i="57"/>
  <c r="R59" i="55" s="1"/>
  <c r="J19" i="57"/>
  <c r="Q59" i="55" s="1"/>
  <c r="I19" i="57"/>
  <c r="P59" i="55" s="1"/>
  <c r="M18" i="57"/>
  <c r="T58" i="55" s="1"/>
  <c r="L18" i="57"/>
  <c r="S58" i="55" s="1"/>
  <c r="K18" i="57"/>
  <c r="R58" i="55" s="1"/>
  <c r="J18" i="57"/>
  <c r="Q58" i="55" s="1"/>
  <c r="I18" i="57"/>
  <c r="P58" i="55" s="1"/>
  <c r="M17" i="57"/>
  <c r="T57" i="55" s="1"/>
  <c r="L17" i="57"/>
  <c r="S57" i="55" s="1"/>
  <c r="K17" i="57"/>
  <c r="R57" i="55" s="1"/>
  <c r="J17" i="57"/>
  <c r="Q57" i="55" s="1"/>
  <c r="I17" i="57"/>
  <c r="P57" i="55" s="1"/>
  <c r="M16" i="57"/>
  <c r="T56" i="55" s="1"/>
  <c r="L16" i="57"/>
  <c r="S56" i="55" s="1"/>
  <c r="K16" i="57"/>
  <c r="R56" i="55" s="1"/>
  <c r="J16" i="57"/>
  <c r="Q56" i="55" s="1"/>
  <c r="I16" i="57"/>
  <c r="P56" i="55" s="1"/>
  <c r="M15" i="57"/>
  <c r="T55" i="55" s="1"/>
  <c r="L15" i="57"/>
  <c r="S55" i="55" s="1"/>
  <c r="K15" i="57"/>
  <c r="R55" i="55" s="1"/>
  <c r="J15" i="57"/>
  <c r="Q55" i="55" s="1"/>
  <c r="I15" i="57"/>
  <c r="P55" i="55" s="1"/>
  <c r="M14" i="57"/>
  <c r="T54" i="55" s="1"/>
  <c r="L14" i="57"/>
  <c r="S54" i="55" s="1"/>
  <c r="K14" i="57"/>
  <c r="R54" i="55" s="1"/>
  <c r="J14" i="57"/>
  <c r="Q54" i="55" s="1"/>
  <c r="I14" i="57"/>
  <c r="P54" i="55" s="1"/>
  <c r="M13" i="57"/>
  <c r="T48" i="55" s="1"/>
  <c r="L13" i="57"/>
  <c r="S48" i="55" s="1"/>
  <c r="K13" i="57"/>
  <c r="R48" i="55" s="1"/>
  <c r="J13" i="57"/>
  <c r="Q48" i="55" s="1"/>
  <c r="I13" i="57"/>
  <c r="P48" i="55" s="1"/>
  <c r="M12" i="57"/>
  <c r="T47" i="55" s="1"/>
  <c r="L12" i="57"/>
  <c r="S47" i="55" s="1"/>
  <c r="K12" i="57"/>
  <c r="R47" i="55" s="1"/>
  <c r="J12" i="57"/>
  <c r="Q47" i="55" s="1"/>
  <c r="I12" i="57"/>
  <c r="P47" i="55" s="1"/>
  <c r="M11" i="57"/>
  <c r="T46" i="55" s="1"/>
  <c r="L11" i="57"/>
  <c r="S46" i="55" s="1"/>
  <c r="K11" i="57"/>
  <c r="R46" i="55" s="1"/>
  <c r="J11" i="57"/>
  <c r="Q46" i="55" s="1"/>
  <c r="I11" i="57"/>
  <c r="P46" i="55" s="1"/>
  <c r="M10" i="57"/>
  <c r="T40" i="55" s="1"/>
  <c r="L10" i="57"/>
  <c r="S40" i="55" s="1"/>
  <c r="K10" i="57"/>
  <c r="R40" i="55" s="1"/>
  <c r="J10" i="57"/>
  <c r="Q40" i="55" s="1"/>
  <c r="I10" i="57"/>
  <c r="P40" i="55" s="1"/>
  <c r="M9" i="57"/>
  <c r="T39" i="55" s="1"/>
  <c r="L9" i="57"/>
  <c r="S39" i="55" s="1"/>
  <c r="K9" i="57"/>
  <c r="R39" i="55" s="1"/>
  <c r="J9" i="57"/>
  <c r="Q39" i="55" s="1"/>
  <c r="I9" i="57"/>
  <c r="P39" i="55" s="1"/>
  <c r="M8" i="57"/>
  <c r="T38" i="55" s="1"/>
  <c r="L8" i="57"/>
  <c r="S38" i="55" s="1"/>
  <c r="K8" i="57"/>
  <c r="R38" i="55" s="1"/>
  <c r="J8" i="57"/>
  <c r="Q38" i="55" s="1"/>
  <c r="I8" i="57"/>
  <c r="P38" i="55" s="1"/>
  <c r="M7" i="57"/>
  <c r="T37" i="55" s="1"/>
  <c r="L7" i="57"/>
  <c r="S37" i="55" s="1"/>
  <c r="K7" i="57"/>
  <c r="R37" i="55" s="1"/>
  <c r="J7" i="57"/>
  <c r="Q37" i="55" s="1"/>
  <c r="I7" i="57"/>
  <c r="P37" i="55" s="1"/>
  <c r="M5" i="57"/>
  <c r="T35" i="55" s="1"/>
  <c r="L5" i="57"/>
  <c r="S35" i="55" s="1"/>
  <c r="K5" i="57"/>
  <c r="R35" i="55" s="1"/>
  <c r="J5" i="57"/>
  <c r="Q35" i="55" s="1"/>
  <c r="I5" i="57"/>
  <c r="P35" i="55" s="1"/>
  <c r="L6" i="57"/>
  <c r="S36" i="55" s="1"/>
  <c r="K6" i="57"/>
  <c r="R36" i="55" s="1"/>
  <c r="J6" i="57"/>
  <c r="Q36" i="55" s="1"/>
  <c r="I6" i="57"/>
  <c r="P36" i="55" s="1"/>
  <c r="M6" i="57"/>
  <c r="T36" i="55" s="1"/>
  <c r="E45" i="57" l="1"/>
  <c r="C103" i="55" s="1"/>
  <c r="E38" i="57"/>
  <c r="C96" i="55" s="1"/>
  <c r="E39" i="57"/>
  <c r="C97" i="55" s="1"/>
  <c r="E40" i="57"/>
  <c r="C98" i="55" s="1"/>
  <c r="E41" i="57"/>
  <c r="C99" i="55" s="1"/>
  <c r="E42" i="57"/>
  <c r="C100" i="55" s="1"/>
  <c r="E43" i="57"/>
  <c r="C101" i="55" s="1"/>
  <c r="E44" i="57"/>
  <c r="C102" i="55" s="1"/>
  <c r="E35" i="57"/>
  <c r="C93" i="55" s="1"/>
  <c r="E36" i="57"/>
  <c r="C94" i="55" s="1"/>
  <c r="E37" i="57"/>
  <c r="C95" i="55" s="1"/>
  <c r="E26" i="57"/>
  <c r="C84" i="55" s="1"/>
  <c r="E27" i="57"/>
  <c r="C85" i="55" s="1"/>
  <c r="E28" i="57"/>
  <c r="E29" i="57"/>
  <c r="C87" i="55" s="1"/>
  <c r="E30" i="57"/>
  <c r="C88" i="55" s="1"/>
  <c r="E31" i="57"/>
  <c r="E32" i="57"/>
  <c r="E33" i="57"/>
  <c r="C91" i="55" s="1"/>
  <c r="E34" i="57"/>
  <c r="C92" i="55" s="1"/>
  <c r="E25" i="57"/>
  <c r="C83" i="55" s="1"/>
  <c r="E93" i="57"/>
  <c r="C198" i="55" s="1"/>
  <c r="E94" i="57"/>
  <c r="C199" i="55" s="1"/>
  <c r="E95" i="57"/>
  <c r="C200" i="55" s="1"/>
  <c r="E96" i="57"/>
  <c r="C201" i="55" s="1"/>
  <c r="E97" i="57"/>
  <c r="C202" i="55" s="1"/>
  <c r="E98" i="57"/>
  <c r="C203" i="55" s="1"/>
  <c r="E99" i="57"/>
  <c r="C204" i="55" s="1"/>
  <c r="E92" i="57"/>
  <c r="C197" i="55" s="1"/>
  <c r="E89" i="57"/>
  <c r="C189" i="55" s="1"/>
  <c r="E90" i="57"/>
  <c r="C190" i="55" s="1"/>
  <c r="E91" i="57"/>
  <c r="C191" i="55" s="1"/>
  <c r="E88" i="57"/>
  <c r="C188" i="55" s="1"/>
  <c r="E86" i="57"/>
  <c r="C76" i="55" s="1"/>
  <c r="E87" i="57"/>
  <c r="C77" i="55" s="1"/>
  <c r="E85" i="57"/>
  <c r="C75" i="55" s="1"/>
  <c r="E81" i="57"/>
  <c r="C179" i="55" s="1"/>
  <c r="E82" i="57"/>
  <c r="C180" i="55" s="1"/>
  <c r="E83" i="57"/>
  <c r="C181" i="55" s="1"/>
  <c r="E84" i="57"/>
  <c r="C182" i="55" s="1"/>
  <c r="E80" i="57"/>
  <c r="C178" i="55" s="1"/>
  <c r="E78" i="57"/>
  <c r="C171" i="55" s="1"/>
  <c r="E79" i="57"/>
  <c r="C172" i="55" s="1"/>
  <c r="E77" i="57"/>
  <c r="C170" i="55" s="1"/>
  <c r="E76" i="57"/>
  <c r="C164" i="55" s="1"/>
  <c r="E75" i="57"/>
  <c r="C158" i="55" s="1"/>
  <c r="E70" i="57" l="1"/>
  <c r="C148" i="55" s="1"/>
  <c r="E71" i="57"/>
  <c r="C149" i="55" s="1"/>
  <c r="E72" i="57"/>
  <c r="C150" i="55" s="1"/>
  <c r="E73" i="57"/>
  <c r="C151" i="55" s="1"/>
  <c r="E74" i="57"/>
  <c r="C152" i="55" s="1"/>
  <c r="E69" i="57"/>
  <c r="C147" i="55" s="1"/>
  <c r="E66" i="57"/>
  <c r="C139" i="55" s="1"/>
  <c r="E67" i="57"/>
  <c r="C140" i="55" s="1"/>
  <c r="E68" i="57"/>
  <c r="C141" i="55" s="1"/>
  <c r="E61" i="57"/>
  <c r="C134" i="55" s="1"/>
  <c r="E62" i="57"/>
  <c r="C135" i="55" s="1"/>
  <c r="E63" i="57"/>
  <c r="C136" i="55" s="1"/>
  <c r="E64" i="57"/>
  <c r="C137" i="55" s="1"/>
  <c r="E65" i="57"/>
  <c r="C138" i="55" s="1"/>
  <c r="E57" i="57"/>
  <c r="C130" i="55" s="1"/>
  <c r="E58" i="57"/>
  <c r="C131" i="55" s="1"/>
  <c r="E59" i="57"/>
  <c r="C132" i="55" s="1"/>
  <c r="E60" i="57"/>
  <c r="C133" i="55" s="1"/>
  <c r="E56" i="57"/>
  <c r="C129" i="55" s="1"/>
  <c r="E53" i="57"/>
  <c r="C121" i="55" s="1"/>
  <c r="E54" i="57"/>
  <c r="C122" i="55" s="1"/>
  <c r="E55" i="57"/>
  <c r="C123" i="55" s="1"/>
  <c r="E52" i="57"/>
  <c r="C120" i="55" s="1"/>
  <c r="E47" i="57"/>
  <c r="C110" i="55" s="1"/>
  <c r="E48" i="57"/>
  <c r="C111" i="55" s="1"/>
  <c r="E49" i="57"/>
  <c r="C112" i="55" s="1"/>
  <c r="E50" i="57"/>
  <c r="C113" i="55" s="1"/>
  <c r="E51" i="57"/>
  <c r="C114" i="55" s="1"/>
  <c r="E46" i="57"/>
  <c r="C109" i="55" s="1"/>
  <c r="E21" i="57"/>
  <c r="C66" i="55" s="1"/>
  <c r="E22" i="57"/>
  <c r="C67" i="55" s="1"/>
  <c r="E23" i="57"/>
  <c r="C68" i="55" s="1"/>
  <c r="E24" i="57"/>
  <c r="C69" i="55" s="1"/>
  <c r="E20" i="57"/>
  <c r="C65" i="55" s="1"/>
  <c r="E15" i="57"/>
  <c r="C55" i="55" s="1"/>
  <c r="E16" i="57"/>
  <c r="C56" i="55" s="1"/>
  <c r="E17" i="57"/>
  <c r="C57" i="55" s="1"/>
  <c r="E18" i="57"/>
  <c r="C58" i="55" s="1"/>
  <c r="E19" i="57"/>
  <c r="C59" i="55" s="1"/>
  <c r="E14" i="57"/>
  <c r="C54" i="55" s="1"/>
  <c r="E12" i="57"/>
  <c r="C47" i="55" s="1"/>
  <c r="E13" i="57"/>
  <c r="C48" i="55" s="1"/>
  <c r="E11" i="57"/>
  <c r="C46" i="55" s="1"/>
  <c r="E6" i="57"/>
  <c r="C36" i="55" s="1"/>
  <c r="E7" i="57"/>
  <c r="C37" i="55" s="1"/>
  <c r="E8" i="57"/>
  <c r="C38" i="55" s="1"/>
  <c r="E9" i="57"/>
  <c r="C39" i="55" s="1"/>
  <c r="E10" i="57"/>
  <c r="C40" i="55" s="1"/>
  <c r="E5" i="57"/>
  <c r="C35" i="55" s="1"/>
  <c r="AP14" i="54" l="1"/>
  <c r="AH14" i="54"/>
  <c r="Z14" i="54"/>
  <c r="R14" i="54"/>
  <c r="I198" i="55" l="1"/>
  <c r="L198" i="55" s="1"/>
  <c r="H198" i="55"/>
  <c r="AP23" i="47"/>
  <c r="AP22" i="47"/>
  <c r="AP21" i="47"/>
  <c r="AP20" i="47"/>
  <c r="AP19" i="47"/>
  <c r="AH23" i="47"/>
  <c r="AH22" i="47"/>
  <c r="AH21" i="47"/>
  <c r="AH20" i="47"/>
  <c r="AH19" i="47"/>
  <c r="H139" i="55" l="1"/>
  <c r="H138" i="55"/>
  <c r="H137" i="55"/>
  <c r="H136" i="55"/>
  <c r="H135" i="55"/>
  <c r="AO17" i="43"/>
  <c r="Q17" i="43"/>
  <c r="G113" i="55" s="1"/>
  <c r="AQ17" i="43" l="1"/>
  <c r="Z17" i="43" l="1"/>
  <c r="R17" i="43"/>
  <c r="I113" i="55" s="1"/>
  <c r="AR17" i="43"/>
  <c r="J113" i="55" s="1"/>
  <c r="E113" i="55"/>
  <c r="L113" i="55" l="1"/>
  <c r="B6" i="57"/>
  <c r="B7" i="57" s="1"/>
  <c r="B8" i="57" s="1"/>
  <c r="B9" i="57" s="1"/>
  <c r="B10" i="57" s="1"/>
  <c r="B11" i="57" s="1"/>
  <c r="B12" i="57" s="1"/>
  <c r="B13" i="57" s="1"/>
  <c r="B14" i="57" s="1"/>
  <c r="B15" i="57" s="1"/>
  <c r="B16" i="57" s="1"/>
  <c r="B17" i="57" s="1"/>
  <c r="B18" i="57" s="1"/>
  <c r="B19" i="57" s="1"/>
  <c r="B20" i="57" s="1"/>
  <c r="B21" i="57" s="1"/>
  <c r="B22" i="57" s="1"/>
  <c r="B23" i="57" s="1"/>
  <c r="B24" i="57" s="1"/>
  <c r="B25" i="57" l="1"/>
  <c r="B26" i="57" s="1"/>
  <c r="B27" i="57" s="1"/>
  <c r="B30"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l="1"/>
  <c r="B78" i="57" s="1"/>
  <c r="B79" i="57" s="1"/>
  <c r="K196" i="55"/>
  <c r="F196" i="55"/>
  <c r="K187" i="55"/>
  <c r="F187" i="55"/>
  <c r="K177" i="55"/>
  <c r="F177" i="55"/>
  <c r="K169" i="55"/>
  <c r="F169" i="55"/>
  <c r="K163" i="55"/>
  <c r="F163" i="55"/>
  <c r="K157" i="55"/>
  <c r="F157" i="55"/>
  <c r="K146" i="55"/>
  <c r="F146" i="55"/>
  <c r="K128" i="55"/>
  <c r="F128" i="55"/>
  <c r="K119" i="55"/>
  <c r="F119" i="55"/>
  <c r="K108" i="55"/>
  <c r="F108" i="55"/>
  <c r="K82" i="55"/>
  <c r="F82" i="55"/>
  <c r="K64" i="55"/>
  <c r="F64" i="55"/>
  <c r="K45" i="55"/>
  <c r="F45" i="55"/>
  <c r="B80" i="57" l="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K198" i="55"/>
  <c r="AH14" i="40" l="1"/>
  <c r="AH13" i="40"/>
  <c r="AH15" i="40"/>
  <c r="AG15" i="40"/>
  <c r="F48" i="55" s="1"/>
  <c r="R14" i="40"/>
  <c r="R13" i="40"/>
  <c r="AP18" i="43"/>
  <c r="AO18" i="43"/>
  <c r="AH18" i="43"/>
  <c r="AG18" i="43"/>
  <c r="F114" i="55" s="1"/>
  <c r="Z18" i="43"/>
  <c r="Y18" i="43"/>
  <c r="R18" i="43"/>
  <c r="Q18" i="43"/>
  <c r="AP16" i="43"/>
  <c r="AO16" i="43"/>
  <c r="AH16" i="43"/>
  <c r="AG16" i="43"/>
  <c r="F112" i="55" s="1"/>
  <c r="Z16" i="43"/>
  <c r="Y16" i="43"/>
  <c r="R16" i="43"/>
  <c r="Q16" i="43"/>
  <c r="AP20" i="41"/>
  <c r="AO20" i="41"/>
  <c r="AH20" i="41"/>
  <c r="AG20" i="41"/>
  <c r="F90" i="55" s="1"/>
  <c r="Z20" i="41"/>
  <c r="Y20" i="41"/>
  <c r="R20" i="41"/>
  <c r="Q20" i="41"/>
  <c r="AP16" i="41"/>
  <c r="AO16" i="41"/>
  <c r="AH16" i="41"/>
  <c r="AG16" i="41"/>
  <c r="F86" i="55" s="1"/>
  <c r="Z16" i="41"/>
  <c r="Y16" i="41"/>
  <c r="R16" i="41"/>
  <c r="Q16" i="41"/>
  <c r="AO18" i="39"/>
  <c r="AG18" i="39"/>
  <c r="Y18" i="39"/>
  <c r="Q18" i="39"/>
  <c r="AP16" i="39"/>
  <c r="AO16" i="39"/>
  <c r="AH16" i="39"/>
  <c r="AG16" i="39"/>
  <c r="F38" i="55" s="1"/>
  <c r="Z16" i="39"/>
  <c r="Y16" i="39"/>
  <c r="R16" i="39"/>
  <c r="Q16" i="39"/>
  <c r="R15" i="39"/>
  <c r="Q15" i="39"/>
  <c r="G37" i="55" s="1"/>
  <c r="Z15" i="39"/>
  <c r="Y15" i="39"/>
  <c r="AH15" i="39"/>
  <c r="AG15" i="39"/>
  <c r="F37" i="55" s="1"/>
  <c r="AP15" i="39"/>
  <c r="AO15" i="39"/>
  <c r="AP15" i="53"/>
  <c r="AO15" i="53"/>
  <c r="AH15" i="53"/>
  <c r="AG15" i="53"/>
  <c r="F77" i="55" s="1"/>
  <c r="Z15" i="53"/>
  <c r="Y15" i="53"/>
  <c r="AQ15" i="53" s="1"/>
  <c r="E77" i="55" s="1"/>
  <c r="R15" i="53"/>
  <c r="Q15" i="53"/>
  <c r="AP14" i="53"/>
  <c r="AO14" i="53"/>
  <c r="AH14" i="53"/>
  <c r="AG14" i="53"/>
  <c r="F76" i="55" s="1"/>
  <c r="Z14" i="53"/>
  <c r="Y14" i="53"/>
  <c r="R14" i="53"/>
  <c r="Q14" i="53"/>
  <c r="G76" i="55" s="1"/>
  <c r="AP13" i="53"/>
  <c r="AO13" i="53"/>
  <c r="AH13" i="53"/>
  <c r="AG13" i="53"/>
  <c r="F75" i="55" s="1"/>
  <c r="Z13" i="53"/>
  <c r="Y13" i="53"/>
  <c r="R13" i="53"/>
  <c r="Q13" i="53"/>
  <c r="G75" i="55" s="1"/>
  <c r="AP15" i="40"/>
  <c r="AO15" i="40"/>
  <c r="Z15" i="40"/>
  <c r="Y15" i="40"/>
  <c r="R15" i="40"/>
  <c r="Q15" i="40"/>
  <c r="AP14" i="40"/>
  <c r="AO14" i="40"/>
  <c r="AG14" i="40"/>
  <c r="F47" i="55" s="1"/>
  <c r="Y14" i="40"/>
  <c r="Q14" i="40"/>
  <c r="AP13" i="40"/>
  <c r="AO13" i="40"/>
  <c r="AG13" i="40"/>
  <c r="F46" i="55" s="1"/>
  <c r="Z13" i="40"/>
  <c r="Y13" i="40"/>
  <c r="Q13" i="40"/>
  <c r="G46" i="55" s="1"/>
  <c r="AP17" i="39"/>
  <c r="AO17" i="39"/>
  <c r="AH17" i="39"/>
  <c r="AG17" i="39"/>
  <c r="F39" i="55" s="1"/>
  <c r="Z17" i="39"/>
  <c r="Y17" i="39"/>
  <c r="R17" i="39"/>
  <c r="Q17" i="39"/>
  <c r="G39" i="55" s="1"/>
  <c r="AP14" i="39"/>
  <c r="AO14" i="39"/>
  <c r="AH14" i="39"/>
  <c r="AG14" i="39"/>
  <c r="F36" i="55" s="1"/>
  <c r="Z14" i="39"/>
  <c r="Y14" i="39"/>
  <c r="R14" i="39"/>
  <c r="Q14" i="39"/>
  <c r="G36" i="55" s="1"/>
  <c r="AP13" i="39"/>
  <c r="AO13" i="39"/>
  <c r="AH13" i="39"/>
  <c r="AG13" i="39"/>
  <c r="F35" i="55" s="1"/>
  <c r="Z13" i="39"/>
  <c r="Y13" i="39"/>
  <c r="R13" i="39"/>
  <c r="Q13" i="39"/>
  <c r="G35" i="55" s="1"/>
  <c r="AO18" i="38"/>
  <c r="AO17" i="38"/>
  <c r="AG18" i="38"/>
  <c r="F59" i="55" s="1"/>
  <c r="AG17" i="38"/>
  <c r="F58" i="55" s="1"/>
  <c r="Y18" i="38"/>
  <c r="Y17" i="38"/>
  <c r="Q18" i="38"/>
  <c r="G59" i="55" s="1"/>
  <c r="Q17" i="38"/>
  <c r="G58" i="55" s="1"/>
  <c r="AP16" i="38"/>
  <c r="AO16" i="38"/>
  <c r="AH16" i="38"/>
  <c r="AG16" i="38"/>
  <c r="F57" i="55" s="1"/>
  <c r="Z16" i="38"/>
  <c r="Y16" i="38"/>
  <c r="R16" i="38"/>
  <c r="Q16" i="38"/>
  <c r="G57" i="55" s="1"/>
  <c r="AP15" i="38"/>
  <c r="AO15" i="38"/>
  <c r="AH15" i="38"/>
  <c r="AG15" i="38"/>
  <c r="F56" i="55" s="1"/>
  <c r="Z15" i="38"/>
  <c r="Y15" i="38"/>
  <c r="R15" i="38"/>
  <c r="Q15" i="38"/>
  <c r="G56" i="55" s="1"/>
  <c r="AP14" i="38"/>
  <c r="AO14" i="38"/>
  <c r="AH14" i="38"/>
  <c r="AG14" i="38"/>
  <c r="F55" i="55" s="1"/>
  <c r="Z14" i="38"/>
  <c r="Y14" i="38"/>
  <c r="R14" i="38"/>
  <c r="Q14" i="38"/>
  <c r="G55" i="55" s="1"/>
  <c r="AP13" i="38"/>
  <c r="AO13" i="38"/>
  <c r="AH13" i="38"/>
  <c r="AG13" i="38"/>
  <c r="F54" i="55" s="1"/>
  <c r="Z13" i="38"/>
  <c r="Y13" i="38"/>
  <c r="R13" i="38"/>
  <c r="Q13" i="38"/>
  <c r="G54" i="55" s="1"/>
  <c r="AR14" i="54"/>
  <c r="AQ14" i="54"/>
  <c r="E198" i="55" s="1"/>
  <c r="AP20" i="54"/>
  <c r="AO20" i="54"/>
  <c r="AH20" i="54"/>
  <c r="AG20" i="54"/>
  <c r="F204" i="55" s="1"/>
  <c r="Z20" i="54"/>
  <c r="Y20" i="54"/>
  <c r="R20" i="54"/>
  <c r="Q20" i="54"/>
  <c r="AP19" i="54"/>
  <c r="AH19" i="54"/>
  <c r="AG19" i="54"/>
  <c r="F203" i="55" s="1"/>
  <c r="Z19" i="54"/>
  <c r="Y19" i="54"/>
  <c r="R19" i="54"/>
  <c r="Q19" i="54"/>
  <c r="AP18" i="54"/>
  <c r="AO18" i="54"/>
  <c r="AH18" i="54"/>
  <c r="AG18" i="54"/>
  <c r="F202" i="55" s="1"/>
  <c r="Z18" i="54"/>
  <c r="Y18" i="54"/>
  <c r="R18" i="54"/>
  <c r="Q18" i="54"/>
  <c r="AP17" i="54"/>
  <c r="AH17" i="54"/>
  <c r="AG17" i="54"/>
  <c r="F201" i="55" s="1"/>
  <c r="Z17" i="54"/>
  <c r="Y17" i="54"/>
  <c r="R17" i="54"/>
  <c r="AP16" i="54"/>
  <c r="AH16" i="54"/>
  <c r="AG16" i="54"/>
  <c r="F200" i="55" s="1"/>
  <c r="Z16" i="54"/>
  <c r="Y16" i="54"/>
  <c r="R16" i="54"/>
  <c r="Q16" i="54"/>
  <c r="AP15" i="54"/>
  <c r="AO15" i="54"/>
  <c r="AH15" i="54"/>
  <c r="AG15" i="54"/>
  <c r="F199" i="55" s="1"/>
  <c r="Z15" i="54"/>
  <c r="Y15" i="54"/>
  <c r="R15" i="54"/>
  <c r="Q15" i="54"/>
  <c r="AP13" i="54"/>
  <c r="AO13" i="54"/>
  <c r="AH13" i="54"/>
  <c r="AG13" i="54"/>
  <c r="F197" i="55" s="1"/>
  <c r="Z13" i="54"/>
  <c r="Y13" i="54"/>
  <c r="R13" i="54"/>
  <c r="Q13" i="54"/>
  <c r="AO17" i="52"/>
  <c r="AG17" i="52"/>
  <c r="F182" i="55" s="1"/>
  <c r="Y17" i="52"/>
  <c r="Q17" i="52"/>
  <c r="AO16" i="52"/>
  <c r="AG16" i="52"/>
  <c r="F181" i="55" s="1"/>
  <c r="Y16" i="52"/>
  <c r="Q16" i="52"/>
  <c r="AO15" i="52"/>
  <c r="AG15" i="52"/>
  <c r="F180" i="55" s="1"/>
  <c r="Y15" i="52"/>
  <c r="Q15" i="52"/>
  <c r="AO14" i="52"/>
  <c r="AG14" i="52"/>
  <c r="F179" i="55" s="1"/>
  <c r="Y14" i="52"/>
  <c r="Q14" i="52"/>
  <c r="AO13" i="52"/>
  <c r="AG13" i="52"/>
  <c r="F178" i="55" s="1"/>
  <c r="Y13" i="52"/>
  <c r="Q13" i="52"/>
  <c r="AO13" i="51"/>
  <c r="AG13" i="51"/>
  <c r="F170" i="55" s="1"/>
  <c r="Y13" i="51"/>
  <c r="Q13" i="51"/>
  <c r="AP15" i="51"/>
  <c r="AO15" i="51"/>
  <c r="AH15" i="51"/>
  <c r="AG15" i="51"/>
  <c r="F172" i="55" s="1"/>
  <c r="Z15" i="51"/>
  <c r="Y15" i="51"/>
  <c r="G172" i="55" s="1"/>
  <c r="R15" i="51"/>
  <c r="Q15" i="51"/>
  <c r="AP14" i="51"/>
  <c r="AO14" i="51"/>
  <c r="AH14" i="51"/>
  <c r="AG14" i="51"/>
  <c r="F171" i="55" s="1"/>
  <c r="Z14" i="51"/>
  <c r="Y14" i="51"/>
  <c r="G171" i="55" s="1"/>
  <c r="R14" i="51"/>
  <c r="Q14" i="51"/>
  <c r="AP13" i="50"/>
  <c r="AG13" i="50"/>
  <c r="AH13" i="50"/>
  <c r="Z13" i="50"/>
  <c r="R13" i="50"/>
  <c r="AO13" i="50"/>
  <c r="AQ13" i="50" s="1"/>
  <c r="E164" i="55" s="1"/>
  <c r="AO13" i="49"/>
  <c r="AG13" i="49"/>
  <c r="Y13" i="49"/>
  <c r="Q13" i="49"/>
  <c r="AO18" i="48"/>
  <c r="AO17" i="48"/>
  <c r="AO16" i="48"/>
  <c r="AO15" i="48"/>
  <c r="AO14" i="48"/>
  <c r="AO13" i="48"/>
  <c r="AG18" i="48"/>
  <c r="F152" i="55" s="1"/>
  <c r="AG17" i="48"/>
  <c r="F151" i="55" s="1"/>
  <c r="AG16" i="48"/>
  <c r="F150" i="55" s="1"/>
  <c r="AG15" i="48"/>
  <c r="F149" i="55" s="1"/>
  <c r="AG14" i="48"/>
  <c r="F148" i="55" s="1"/>
  <c r="AG13" i="48"/>
  <c r="F147" i="55" s="1"/>
  <c r="Y18" i="48"/>
  <c r="Y17" i="48"/>
  <c r="Y16" i="48"/>
  <c r="Y15" i="48"/>
  <c r="Y14" i="48"/>
  <c r="Y13" i="48"/>
  <c r="Q18" i="48"/>
  <c r="G152" i="55" s="1"/>
  <c r="Q17" i="48"/>
  <c r="G151" i="55" s="1"/>
  <c r="Q16" i="48"/>
  <c r="Q15" i="48"/>
  <c r="Q14" i="48"/>
  <c r="G148" i="55" s="1"/>
  <c r="AQ14" i="48"/>
  <c r="Q13" i="48"/>
  <c r="R22" i="47"/>
  <c r="Q22" i="47"/>
  <c r="G138" i="55" s="1"/>
  <c r="Z22" i="47"/>
  <c r="Y22" i="47"/>
  <c r="AG22" i="47"/>
  <c r="F138" i="55" s="1"/>
  <c r="AO22" i="47"/>
  <c r="AO21" i="47"/>
  <c r="AG21" i="47"/>
  <c r="F137" i="55" s="1"/>
  <c r="Z21" i="47"/>
  <c r="Y21" i="47"/>
  <c r="R21" i="47"/>
  <c r="I137" i="55" s="1"/>
  <c r="Q21" i="47"/>
  <c r="AO19" i="47"/>
  <c r="AG19" i="47"/>
  <c r="F135" i="55" s="1"/>
  <c r="Y19" i="47"/>
  <c r="R19" i="47"/>
  <c r="I135" i="55" s="1"/>
  <c r="Q19" i="47"/>
  <c r="AO20" i="47"/>
  <c r="AG20" i="47"/>
  <c r="F136" i="55" s="1"/>
  <c r="Z20" i="47"/>
  <c r="Y20" i="47"/>
  <c r="R20" i="47"/>
  <c r="I136" i="55" s="1"/>
  <c r="Q20" i="47"/>
  <c r="G136" i="55" s="1"/>
  <c r="AO25" i="47"/>
  <c r="AO24" i="47"/>
  <c r="AO23" i="47"/>
  <c r="AO18" i="47"/>
  <c r="AO17" i="47"/>
  <c r="AO16" i="47"/>
  <c r="AO15" i="47"/>
  <c r="AO14" i="47"/>
  <c r="AO13" i="47"/>
  <c r="AG25" i="47"/>
  <c r="F141" i="55" s="1"/>
  <c r="AG24" i="47"/>
  <c r="F140" i="55" s="1"/>
  <c r="AG23" i="47"/>
  <c r="F139" i="55" s="1"/>
  <c r="AG18" i="47"/>
  <c r="F134" i="55" s="1"/>
  <c r="AG17" i="47"/>
  <c r="F133" i="55" s="1"/>
  <c r="AG16" i="47"/>
  <c r="F132" i="55" s="1"/>
  <c r="AG15" i="47"/>
  <c r="AG14" i="47"/>
  <c r="F130" i="55" s="1"/>
  <c r="AG13" i="47"/>
  <c r="F129" i="55" s="1"/>
  <c r="Y25" i="47"/>
  <c r="Y24" i="47"/>
  <c r="Z23" i="47"/>
  <c r="Y23" i="47"/>
  <c r="Y18" i="47"/>
  <c r="Y17" i="47"/>
  <c r="Y16" i="47"/>
  <c r="Y15" i="47"/>
  <c r="Y14" i="47"/>
  <c r="Y13" i="47"/>
  <c r="Q25" i="47"/>
  <c r="Q24" i="47"/>
  <c r="R23" i="47"/>
  <c r="I139" i="55" s="1"/>
  <c r="Q23" i="47"/>
  <c r="G139" i="55" s="1"/>
  <c r="Q18" i="47"/>
  <c r="Q17" i="47"/>
  <c r="Q16" i="47"/>
  <c r="G132" i="55" s="1"/>
  <c r="Q15" i="47"/>
  <c r="Q14" i="47"/>
  <c r="Q13" i="47"/>
  <c r="AQ25" i="47"/>
  <c r="AP16" i="45"/>
  <c r="AO16" i="45"/>
  <c r="AH16" i="45"/>
  <c r="AG16" i="45"/>
  <c r="F191" i="55" s="1"/>
  <c r="Z16" i="45"/>
  <c r="Y16" i="45"/>
  <c r="R16" i="45"/>
  <c r="Q16" i="45"/>
  <c r="G191" i="55" s="1"/>
  <c r="AP15" i="45"/>
  <c r="AO15" i="45"/>
  <c r="AH15" i="45"/>
  <c r="AG15" i="45"/>
  <c r="F190" i="55" s="1"/>
  <c r="Z15" i="45"/>
  <c r="Y15" i="45"/>
  <c r="R15" i="45"/>
  <c r="Q15" i="45"/>
  <c r="G190" i="55" s="1"/>
  <c r="AP14" i="45"/>
  <c r="AO14" i="45"/>
  <c r="AH14" i="45"/>
  <c r="AG14" i="45"/>
  <c r="F189" i="55" s="1"/>
  <c r="Z14" i="45"/>
  <c r="Y14" i="45"/>
  <c r="R14" i="45"/>
  <c r="Q14" i="45"/>
  <c r="G189" i="55" s="1"/>
  <c r="AP13" i="45"/>
  <c r="AO13" i="45"/>
  <c r="AH13" i="45"/>
  <c r="AG13" i="45"/>
  <c r="F188" i="55" s="1"/>
  <c r="Z13" i="45"/>
  <c r="Y13" i="45"/>
  <c r="R13" i="45"/>
  <c r="Q13" i="45"/>
  <c r="G188" i="55" s="1"/>
  <c r="AP16" i="44"/>
  <c r="AO16" i="44"/>
  <c r="AH16" i="44"/>
  <c r="AG16" i="44"/>
  <c r="F123" i="55" s="1"/>
  <c r="Z16" i="44"/>
  <c r="Y16" i="44"/>
  <c r="R16" i="44"/>
  <c r="Q16" i="44"/>
  <c r="G123" i="55" s="1"/>
  <c r="AP15" i="44"/>
  <c r="AO15" i="44"/>
  <c r="AH15" i="44"/>
  <c r="AG15" i="44"/>
  <c r="F122" i="55" s="1"/>
  <c r="Z15" i="44"/>
  <c r="Y15" i="44"/>
  <c r="R15" i="44"/>
  <c r="Q15" i="44"/>
  <c r="G122" i="55" s="1"/>
  <c r="AP14" i="44"/>
  <c r="AO14" i="44"/>
  <c r="AH14" i="44"/>
  <c r="AG14" i="44"/>
  <c r="F121" i="55" s="1"/>
  <c r="Z14" i="44"/>
  <c r="Y14" i="44"/>
  <c r="R14" i="44"/>
  <c r="Q14" i="44"/>
  <c r="G121" i="55" s="1"/>
  <c r="AP13" i="44"/>
  <c r="AO13" i="44"/>
  <c r="AH13" i="44"/>
  <c r="AG13" i="44"/>
  <c r="F120" i="55" s="1"/>
  <c r="Z13" i="44"/>
  <c r="Y13" i="44"/>
  <c r="R13" i="44"/>
  <c r="Q13" i="44"/>
  <c r="G120" i="55" s="1"/>
  <c r="AP15" i="43"/>
  <c r="AO15" i="43"/>
  <c r="AH15" i="43"/>
  <c r="AG15" i="43"/>
  <c r="F111" i="55" s="1"/>
  <c r="Z15" i="43"/>
  <c r="Y15" i="43"/>
  <c r="R15" i="43"/>
  <c r="Q15" i="43"/>
  <c r="G111" i="55" s="1"/>
  <c r="AP14" i="43"/>
  <c r="AO14" i="43"/>
  <c r="AH14" i="43"/>
  <c r="AG14" i="43"/>
  <c r="F110" i="55" s="1"/>
  <c r="Z14" i="43"/>
  <c r="Y14" i="43"/>
  <c r="R14" i="43"/>
  <c r="Q14" i="43"/>
  <c r="G110" i="55" s="1"/>
  <c r="AP13" i="43"/>
  <c r="AO13" i="43"/>
  <c r="AH13" i="43"/>
  <c r="AG13" i="43"/>
  <c r="F109" i="55" s="1"/>
  <c r="Z13" i="43"/>
  <c r="Y13" i="43"/>
  <c r="R13" i="43"/>
  <c r="Q13" i="43"/>
  <c r="G109" i="55" s="1"/>
  <c r="AP33" i="41"/>
  <c r="AO33" i="41"/>
  <c r="AP32" i="41"/>
  <c r="AO32" i="41"/>
  <c r="AP31" i="41"/>
  <c r="AO31" i="41"/>
  <c r="AP30" i="41"/>
  <c r="AO30" i="41"/>
  <c r="AP29" i="41"/>
  <c r="AO29" i="41"/>
  <c r="AP28" i="41"/>
  <c r="AO28" i="41"/>
  <c r="AP27" i="41"/>
  <c r="AO27" i="41"/>
  <c r="AH33" i="41"/>
  <c r="AG33" i="41"/>
  <c r="F103" i="55" s="1"/>
  <c r="Z33" i="41"/>
  <c r="Y33" i="41"/>
  <c r="R33" i="41"/>
  <c r="Q33" i="41"/>
  <c r="AH32" i="41"/>
  <c r="AG32" i="41"/>
  <c r="F102" i="55" s="1"/>
  <c r="Z32" i="41"/>
  <c r="Y32" i="41"/>
  <c r="R32" i="41"/>
  <c r="Q32" i="41"/>
  <c r="AH31" i="41"/>
  <c r="AG31" i="41"/>
  <c r="F101" i="55" s="1"/>
  <c r="Z31" i="41"/>
  <c r="R31" i="41"/>
  <c r="Q31" i="41"/>
  <c r="AH30" i="41"/>
  <c r="AG30" i="41"/>
  <c r="F100" i="55" s="1"/>
  <c r="Z30" i="41"/>
  <c r="Y30" i="41"/>
  <c r="R30" i="41"/>
  <c r="Q30" i="41"/>
  <c r="AH29" i="41"/>
  <c r="AG29" i="41"/>
  <c r="F99" i="55" s="1"/>
  <c r="Z29" i="41"/>
  <c r="Y29" i="41"/>
  <c r="R29" i="41"/>
  <c r="Q29" i="41"/>
  <c r="AH28" i="41"/>
  <c r="AG28" i="41"/>
  <c r="F98" i="55" s="1"/>
  <c r="Z28" i="41"/>
  <c r="Y28" i="41"/>
  <c r="R28" i="41"/>
  <c r="Q28" i="41"/>
  <c r="AH27" i="41"/>
  <c r="AG27" i="41"/>
  <c r="F97" i="55" s="1"/>
  <c r="Z27" i="41"/>
  <c r="Y27" i="41"/>
  <c r="R27" i="41"/>
  <c r="Q27" i="41"/>
  <c r="AP19" i="41"/>
  <c r="AO19" i="41"/>
  <c r="AO18" i="41"/>
  <c r="AP18" i="41"/>
  <c r="AH19" i="41"/>
  <c r="AG19" i="41"/>
  <c r="F89" i="55" s="1"/>
  <c r="Z19" i="41"/>
  <c r="Y19" i="41"/>
  <c r="R19" i="41"/>
  <c r="Q19" i="41"/>
  <c r="AP21" i="41"/>
  <c r="AH21" i="41"/>
  <c r="Z21" i="41"/>
  <c r="AP26" i="41"/>
  <c r="AO26" i="41"/>
  <c r="AH26" i="41"/>
  <c r="AG26" i="41"/>
  <c r="F96" i="55" s="1"/>
  <c r="Z26" i="41"/>
  <c r="Y26" i="41"/>
  <c r="R26" i="41"/>
  <c r="Q26" i="41"/>
  <c r="AP14" i="41"/>
  <c r="AO14" i="41"/>
  <c r="AH14" i="41"/>
  <c r="AG14" i="41"/>
  <c r="F84" i="55" s="1"/>
  <c r="Z14" i="41"/>
  <c r="Y14" i="41"/>
  <c r="R14" i="41"/>
  <c r="Q14" i="41"/>
  <c r="AO21" i="41"/>
  <c r="AG21" i="41"/>
  <c r="F91" i="55" s="1"/>
  <c r="Y21" i="41"/>
  <c r="Q21" i="41"/>
  <c r="AP25" i="41"/>
  <c r="AO25" i="41"/>
  <c r="AH25" i="41"/>
  <c r="AG25" i="41"/>
  <c r="F95" i="55" s="1"/>
  <c r="Z25" i="41"/>
  <c r="Y25" i="41"/>
  <c r="R25" i="41"/>
  <c r="Q25" i="41"/>
  <c r="AP24" i="41"/>
  <c r="AO24" i="41"/>
  <c r="AH24" i="41"/>
  <c r="AG24" i="41"/>
  <c r="F94" i="55" s="1"/>
  <c r="Z24" i="41"/>
  <c r="Y24" i="41"/>
  <c r="R24" i="41"/>
  <c r="Q24" i="41"/>
  <c r="AP23" i="41"/>
  <c r="AO23" i="41"/>
  <c r="AH23" i="41"/>
  <c r="AG23" i="41"/>
  <c r="F93" i="55" s="1"/>
  <c r="Z23" i="41"/>
  <c r="Y23" i="41"/>
  <c r="R23" i="41"/>
  <c r="Q23" i="41"/>
  <c r="AP22" i="41"/>
  <c r="AO22" i="41"/>
  <c r="AH22" i="41"/>
  <c r="AG22" i="41"/>
  <c r="F92" i="55" s="1"/>
  <c r="Z22" i="41"/>
  <c r="Y22" i="41"/>
  <c r="R22" i="41"/>
  <c r="Q22" i="41"/>
  <c r="AH18" i="41"/>
  <c r="AG18" i="41"/>
  <c r="F88" i="55" s="1"/>
  <c r="Z18" i="41"/>
  <c r="Y18" i="41"/>
  <c r="R18" i="41"/>
  <c r="Q18" i="41"/>
  <c r="AP17" i="41"/>
  <c r="AO17" i="41"/>
  <c r="AH17" i="41"/>
  <c r="AG17" i="41"/>
  <c r="F87" i="55" s="1"/>
  <c r="Z17" i="41"/>
  <c r="Y17" i="41"/>
  <c r="R17" i="41"/>
  <c r="Q17" i="41"/>
  <c r="AP15" i="41"/>
  <c r="AO15" i="41"/>
  <c r="AH15" i="41"/>
  <c r="AG15" i="41"/>
  <c r="F85" i="55" s="1"/>
  <c r="Z15" i="41"/>
  <c r="Y15" i="41"/>
  <c r="R15" i="41"/>
  <c r="Q15" i="41"/>
  <c r="AP13" i="41"/>
  <c r="AO13" i="41"/>
  <c r="AH13" i="41"/>
  <c r="AG13" i="41"/>
  <c r="F83" i="55" s="1"/>
  <c r="Z13" i="41"/>
  <c r="Y13" i="41"/>
  <c r="R13" i="41"/>
  <c r="Q13" i="41"/>
  <c r="Q16" i="2"/>
  <c r="G68" i="55" s="1"/>
  <c r="Q17" i="2"/>
  <c r="G69" i="55" s="1"/>
  <c r="Q15" i="2"/>
  <c r="G67" i="55" s="1"/>
  <c r="Q14" i="2"/>
  <c r="G66" i="55" s="1"/>
  <c r="Y13" i="2"/>
  <c r="Q13" i="2"/>
  <c r="G65" i="55" s="1"/>
  <c r="F7" i="36"/>
  <c r="Z14" i="48" l="1"/>
  <c r="AP14" i="48"/>
  <c r="AH14" i="48"/>
  <c r="G164" i="55"/>
  <c r="F164" i="55"/>
  <c r="AQ18" i="39"/>
  <c r="AH18" i="39" s="1"/>
  <c r="H40" i="55" s="1"/>
  <c r="F40" i="55"/>
  <c r="AP25" i="47"/>
  <c r="AH25" i="47"/>
  <c r="G129" i="55"/>
  <c r="G133" i="55"/>
  <c r="G140" i="55"/>
  <c r="G135" i="55"/>
  <c r="I138" i="55"/>
  <c r="G149" i="55"/>
  <c r="G178" i="55"/>
  <c r="G179" i="55"/>
  <c r="G180" i="55"/>
  <c r="G181" i="55"/>
  <c r="G182" i="55"/>
  <c r="G197" i="55"/>
  <c r="G199" i="55"/>
  <c r="G200" i="55"/>
  <c r="L200" i="55" s="1"/>
  <c r="G201" i="55"/>
  <c r="G204" i="55"/>
  <c r="G47" i="55"/>
  <c r="G77" i="55"/>
  <c r="L77" i="55" s="1"/>
  <c r="G38" i="55"/>
  <c r="G40" i="55"/>
  <c r="G112" i="55"/>
  <c r="G114" i="55"/>
  <c r="G130" i="55"/>
  <c r="G134" i="55"/>
  <c r="G141" i="55"/>
  <c r="G137" i="55"/>
  <c r="G147" i="55"/>
  <c r="AQ16" i="48"/>
  <c r="G150" i="55"/>
  <c r="G170" i="55"/>
  <c r="G202" i="55"/>
  <c r="G203" i="55"/>
  <c r="G48" i="55"/>
  <c r="I204" i="55"/>
  <c r="H204" i="55"/>
  <c r="H203" i="55"/>
  <c r="I203" i="55"/>
  <c r="I202" i="55"/>
  <c r="H202" i="55"/>
  <c r="K202" i="55" s="1"/>
  <c r="I201" i="55"/>
  <c r="H201" i="55"/>
  <c r="I200" i="55"/>
  <c r="H200" i="55"/>
  <c r="K200" i="55" s="1"/>
  <c r="H199" i="55"/>
  <c r="I199" i="55"/>
  <c r="L199" i="55" s="1"/>
  <c r="I197" i="55"/>
  <c r="H197" i="55"/>
  <c r="K197" i="55" s="1"/>
  <c r="I36" i="55"/>
  <c r="H36" i="55"/>
  <c r="I37" i="55"/>
  <c r="L37" i="55" s="1"/>
  <c r="H37" i="55"/>
  <c r="I77" i="55"/>
  <c r="H77" i="55"/>
  <c r="K77" i="55" s="1"/>
  <c r="I76" i="55"/>
  <c r="L76" i="55" s="1"/>
  <c r="H76" i="55"/>
  <c r="K76" i="55" s="1"/>
  <c r="H75" i="55"/>
  <c r="I75" i="55"/>
  <c r="L75" i="55"/>
  <c r="I172" i="55"/>
  <c r="H172" i="55"/>
  <c r="H171" i="55"/>
  <c r="I171" i="55"/>
  <c r="L171" i="55" s="1"/>
  <c r="H164" i="55"/>
  <c r="I164" i="55"/>
  <c r="AR13" i="50"/>
  <c r="G158" i="55"/>
  <c r="F158" i="55"/>
  <c r="F131" i="55"/>
  <c r="G131" i="55"/>
  <c r="I114" i="55"/>
  <c r="H114" i="55"/>
  <c r="K114" i="55" s="1"/>
  <c r="H112" i="55"/>
  <c r="I112" i="55"/>
  <c r="H111" i="55"/>
  <c r="I111" i="55"/>
  <c r="H110" i="55"/>
  <c r="K110" i="55" s="1"/>
  <c r="I110" i="55"/>
  <c r="H109" i="55"/>
  <c r="I109" i="55"/>
  <c r="H96" i="55"/>
  <c r="K96" i="55" s="1"/>
  <c r="L96" i="55"/>
  <c r="I96" i="55"/>
  <c r="I95" i="55"/>
  <c r="H95" i="55"/>
  <c r="K95" i="55" s="1"/>
  <c r="L95" i="55"/>
  <c r="I94" i="55"/>
  <c r="H94" i="55"/>
  <c r="L94" i="55"/>
  <c r="H93" i="55"/>
  <c r="I93" i="55"/>
  <c r="I92" i="55"/>
  <c r="H92" i="55"/>
  <c r="H91" i="55"/>
  <c r="H88" i="55"/>
  <c r="I88" i="55"/>
  <c r="H87" i="55"/>
  <c r="I87" i="55"/>
  <c r="I85" i="55"/>
  <c r="H85" i="55"/>
  <c r="I84" i="55"/>
  <c r="H84" i="55"/>
  <c r="K84" i="55" s="1"/>
  <c r="I83" i="55"/>
  <c r="H83" i="55"/>
  <c r="K83" i="55" s="1"/>
  <c r="I90" i="55"/>
  <c r="H90" i="55"/>
  <c r="I86" i="55"/>
  <c r="H86" i="55"/>
  <c r="I103" i="55"/>
  <c r="H103" i="55"/>
  <c r="I102" i="55"/>
  <c r="H102" i="55"/>
  <c r="I101" i="55"/>
  <c r="H101" i="55"/>
  <c r="I100" i="55"/>
  <c r="H100" i="55"/>
  <c r="K100" i="55" s="1"/>
  <c r="I99" i="55"/>
  <c r="H99" i="55"/>
  <c r="H98" i="55"/>
  <c r="I98" i="55"/>
  <c r="L98" i="55" s="1"/>
  <c r="H97" i="55"/>
  <c r="I97" i="55"/>
  <c r="I89" i="55"/>
  <c r="H89" i="55"/>
  <c r="K89" i="55" s="1"/>
  <c r="I123" i="55"/>
  <c r="H123" i="55"/>
  <c r="I122" i="55"/>
  <c r="H122" i="55"/>
  <c r="I121" i="55"/>
  <c r="H121" i="55"/>
  <c r="I120" i="55"/>
  <c r="H120" i="55"/>
  <c r="I57" i="55"/>
  <c r="L57" i="55" s="1"/>
  <c r="H57" i="55"/>
  <c r="I56" i="55"/>
  <c r="H56" i="55"/>
  <c r="K56" i="55" s="1"/>
  <c r="I55" i="55"/>
  <c r="H55" i="55"/>
  <c r="I54" i="55"/>
  <c r="H54" i="55"/>
  <c r="K54" i="55" s="1"/>
  <c r="I48" i="55"/>
  <c r="H48" i="55"/>
  <c r="K48" i="55" s="1"/>
  <c r="H47" i="55"/>
  <c r="K47" i="55" s="1"/>
  <c r="I47" i="55"/>
  <c r="I46" i="55"/>
  <c r="H46" i="55"/>
  <c r="H39" i="55"/>
  <c r="I39" i="55"/>
  <c r="L39" i="55" s="1"/>
  <c r="I38" i="55"/>
  <c r="H38" i="55"/>
  <c r="H35" i="55"/>
  <c r="I35" i="55"/>
  <c r="L35" i="55" s="1"/>
  <c r="I191" i="55"/>
  <c r="L191" i="55" s="1"/>
  <c r="H191" i="55"/>
  <c r="I190" i="55"/>
  <c r="H190" i="55"/>
  <c r="I189" i="55"/>
  <c r="H189" i="55"/>
  <c r="H188" i="55"/>
  <c r="I188" i="55"/>
  <c r="AQ15" i="51"/>
  <c r="E172" i="55" s="1"/>
  <c r="L89" i="55"/>
  <c r="K136" i="55"/>
  <c r="AR22" i="47"/>
  <c r="J138" i="55" s="1"/>
  <c r="Z18" i="39"/>
  <c r="R18" i="39"/>
  <c r="I40" i="55" s="1"/>
  <c r="AQ17" i="48"/>
  <c r="AQ13" i="52"/>
  <c r="AQ15" i="39"/>
  <c r="E37" i="55" s="1"/>
  <c r="AQ16" i="39"/>
  <c r="E38" i="55" s="1"/>
  <c r="AQ23" i="41"/>
  <c r="E93" i="55" s="1"/>
  <c r="L103" i="55"/>
  <c r="K135" i="55"/>
  <c r="AQ14" i="52"/>
  <c r="L202" i="55"/>
  <c r="AQ18" i="38"/>
  <c r="AH18" i="38" s="1"/>
  <c r="H59" i="55" s="1"/>
  <c r="L92" i="55"/>
  <c r="K93" i="55"/>
  <c r="L93" i="55"/>
  <c r="AR31" i="41"/>
  <c r="L139" i="55"/>
  <c r="AQ16" i="43"/>
  <c r="E112" i="55" s="1"/>
  <c r="E141" i="55"/>
  <c r="Z25" i="47"/>
  <c r="AR33" i="41"/>
  <c r="J103" i="55" s="1"/>
  <c r="K137" i="55"/>
  <c r="AQ22" i="47"/>
  <c r="E138" i="55" s="1"/>
  <c r="K138" i="55"/>
  <c r="AQ13" i="48"/>
  <c r="L54" i="55"/>
  <c r="L55" i="55"/>
  <c r="L56" i="55"/>
  <c r="L36" i="55"/>
  <c r="L47" i="55"/>
  <c r="AQ15" i="45"/>
  <c r="E190" i="55" s="1"/>
  <c r="K188" i="55"/>
  <c r="L188" i="55"/>
  <c r="K189" i="55"/>
  <c r="L189" i="55"/>
  <c r="K190" i="55"/>
  <c r="L190" i="55"/>
  <c r="L203" i="55"/>
  <c r="AQ16" i="54"/>
  <c r="E200" i="55" s="1"/>
  <c r="AQ19" i="54"/>
  <c r="E203" i="55" s="1"/>
  <c r="K203" i="55"/>
  <c r="L197" i="55"/>
  <c r="K201" i="55"/>
  <c r="AR19" i="54"/>
  <c r="K204" i="55"/>
  <c r="L204" i="55"/>
  <c r="L120" i="55"/>
  <c r="K121" i="55"/>
  <c r="L121" i="55"/>
  <c r="AQ18" i="43"/>
  <c r="E114" i="55" s="1"/>
  <c r="AQ13" i="43"/>
  <c r="E109" i="55" s="1"/>
  <c r="AQ14" i="39"/>
  <c r="E36" i="55" s="1"/>
  <c r="K123" i="55"/>
  <c r="AQ13" i="45"/>
  <c r="E188" i="55" s="1"/>
  <c r="AQ14" i="43"/>
  <c r="E110" i="55" s="1"/>
  <c r="AQ15" i="43"/>
  <c r="E111" i="55" s="1"/>
  <c r="AQ19" i="41"/>
  <c r="E89" i="55" s="1"/>
  <c r="AQ30" i="41"/>
  <c r="E100" i="55" s="1"/>
  <c r="AQ32" i="41"/>
  <c r="E102" i="55" s="1"/>
  <c r="AR24" i="41"/>
  <c r="J94" i="55" s="1"/>
  <c r="AR26" i="41"/>
  <c r="J96" i="55" s="1"/>
  <c r="AR18" i="41"/>
  <c r="J88" i="55" s="1"/>
  <c r="K87" i="55"/>
  <c r="K88" i="55"/>
  <c r="AQ21" i="41"/>
  <c r="E91" i="55" s="1"/>
  <c r="AQ16" i="2"/>
  <c r="J203" i="55"/>
  <c r="AQ15" i="41"/>
  <c r="E85" i="55" s="1"/>
  <c r="AQ29" i="41"/>
  <c r="E99" i="55" s="1"/>
  <c r="AQ31" i="41"/>
  <c r="E101" i="55" s="1"/>
  <c r="AR13" i="44"/>
  <c r="AR15" i="45"/>
  <c r="AR20" i="47"/>
  <c r="J136" i="55" s="1"/>
  <c r="AR21" i="47"/>
  <c r="J137" i="55" s="1"/>
  <c r="AR17" i="48"/>
  <c r="AQ15" i="48"/>
  <c r="AQ13" i="49"/>
  <c r="AR14" i="51"/>
  <c r="K171" i="55"/>
  <c r="AR15" i="51"/>
  <c r="AQ13" i="51"/>
  <c r="E179" i="55"/>
  <c r="R14" i="52"/>
  <c r="AQ18" i="54"/>
  <c r="E202" i="55" s="1"/>
  <c r="AQ13" i="38"/>
  <c r="E54" i="55" s="1"/>
  <c r="AQ16" i="38"/>
  <c r="E57" i="55" s="1"/>
  <c r="K57" i="55"/>
  <c r="AQ17" i="38"/>
  <c r="AQ15" i="40"/>
  <c r="E48" i="55" s="1"/>
  <c r="AR15" i="53"/>
  <c r="AR16" i="39"/>
  <c r="E40" i="55"/>
  <c r="AR16" i="41"/>
  <c r="J86" i="55" s="1"/>
  <c r="AR20" i="41"/>
  <c r="AR14" i="44"/>
  <c r="AQ16" i="47"/>
  <c r="AQ13" i="2"/>
  <c r="AQ17" i="2"/>
  <c r="AR13" i="41"/>
  <c r="J83" i="55" s="1"/>
  <c r="AR15" i="41"/>
  <c r="AR23" i="41"/>
  <c r="J93" i="55" s="1"/>
  <c r="AR27" i="41"/>
  <c r="AR29" i="41"/>
  <c r="AQ14" i="45"/>
  <c r="E189" i="55" s="1"/>
  <c r="AR14" i="45"/>
  <c r="AR16" i="45"/>
  <c r="K191" i="55"/>
  <c r="AQ13" i="47"/>
  <c r="AQ17" i="47"/>
  <c r="AQ24" i="47"/>
  <c r="Z16" i="48"/>
  <c r="AQ14" i="51"/>
  <c r="E171" i="55" s="1"/>
  <c r="AQ17" i="52"/>
  <c r="AS14" i="54"/>
  <c r="M198" i="55" s="1"/>
  <c r="J198" i="55"/>
  <c r="AR14" i="38"/>
  <c r="J55" i="55" s="1"/>
  <c r="K55" i="55"/>
  <c r="K35" i="55"/>
  <c r="B35" i="55"/>
  <c r="AR17" i="39"/>
  <c r="J39" i="55" s="1"/>
  <c r="AQ13" i="40"/>
  <c r="E46" i="55" s="1"/>
  <c r="K46" i="55"/>
  <c r="AR15" i="40"/>
  <c r="J48" i="55" s="1"/>
  <c r="AQ16" i="41"/>
  <c r="E86" i="55" s="1"/>
  <c r="AR13" i="40"/>
  <c r="J46" i="55" s="1"/>
  <c r="AQ33" i="41"/>
  <c r="E103" i="55" s="1"/>
  <c r="AQ18" i="41"/>
  <c r="E88" i="55" s="1"/>
  <c r="AQ15" i="2"/>
  <c r="AQ14" i="2"/>
  <c r="AQ22" i="41"/>
  <c r="E92" i="55" s="1"/>
  <c r="AQ24" i="41"/>
  <c r="E94" i="55" s="1"/>
  <c r="K94" i="55"/>
  <c r="AQ26" i="41"/>
  <c r="E96" i="55" s="1"/>
  <c r="AQ27" i="41"/>
  <c r="E97" i="55" s="1"/>
  <c r="AQ28" i="41"/>
  <c r="E98" i="55" s="1"/>
  <c r="AQ18" i="47"/>
  <c r="AR23" i="47"/>
  <c r="J139" i="55" s="1"/>
  <c r="E148" i="55"/>
  <c r="R14" i="48"/>
  <c r="AR14" i="48"/>
  <c r="E178" i="55"/>
  <c r="AR13" i="52"/>
  <c r="AQ15" i="52"/>
  <c r="AQ15" i="38"/>
  <c r="E56" i="55" s="1"/>
  <c r="AQ14" i="38"/>
  <c r="E55" i="55" s="1"/>
  <c r="AQ13" i="39"/>
  <c r="E35" i="55" s="1"/>
  <c r="AQ13" i="53"/>
  <c r="E75" i="55" s="1"/>
  <c r="AQ14" i="53"/>
  <c r="E76" i="55" s="1"/>
  <c r="AR18" i="43"/>
  <c r="AQ13" i="41"/>
  <c r="E83" i="55" s="1"/>
  <c r="AQ17" i="41"/>
  <c r="E87" i="55" s="1"/>
  <c r="AQ14" i="41"/>
  <c r="E84" i="55" s="1"/>
  <c r="J92" i="55"/>
  <c r="AR25" i="41"/>
  <c r="J95" i="55" s="1"/>
  <c r="AR14" i="41"/>
  <c r="J84" i="55" s="1"/>
  <c r="AR19" i="41"/>
  <c r="AR28" i="41"/>
  <c r="J98" i="55" s="1"/>
  <c r="AR32" i="41"/>
  <c r="J102" i="55" s="1"/>
  <c r="K102" i="55"/>
  <c r="AR13" i="43"/>
  <c r="AR15" i="43"/>
  <c r="J111" i="55" s="1"/>
  <c r="K111" i="55"/>
  <c r="AQ13" i="44"/>
  <c r="E120" i="55" s="1"/>
  <c r="K120" i="55"/>
  <c r="AQ14" i="44"/>
  <c r="E121" i="55" s="1"/>
  <c r="AQ15" i="44"/>
  <c r="E122" i="55" s="1"/>
  <c r="K122" i="55"/>
  <c r="AQ16" i="44"/>
  <c r="E123" i="55" s="1"/>
  <c r="AQ16" i="45"/>
  <c r="E191" i="55" s="1"/>
  <c r="AQ23" i="47"/>
  <c r="E139" i="55" s="1"/>
  <c r="K139" i="55"/>
  <c r="AQ19" i="47"/>
  <c r="E135" i="55" s="1"/>
  <c r="AQ18" i="48"/>
  <c r="K164" i="55"/>
  <c r="AQ16" i="52"/>
  <c r="K199" i="55"/>
  <c r="AQ17" i="54"/>
  <c r="E201" i="55" s="1"/>
  <c r="AQ14" i="40"/>
  <c r="E47" i="55" s="1"/>
  <c r="AR13" i="53"/>
  <c r="AR15" i="39"/>
  <c r="AQ20" i="41"/>
  <c r="E90" i="55" s="1"/>
  <c r="AS17" i="43"/>
  <c r="M113" i="55" s="1"/>
  <c r="K113" i="55"/>
  <c r="AQ15" i="54"/>
  <c r="E199" i="55" s="1"/>
  <c r="AR18" i="54"/>
  <c r="AR20" i="54"/>
  <c r="J204" i="55" s="1"/>
  <c r="AR13" i="54"/>
  <c r="J197" i="55" s="1"/>
  <c r="AR15" i="54"/>
  <c r="AQ20" i="54"/>
  <c r="E204" i="55" s="1"/>
  <c r="AR16" i="54"/>
  <c r="AQ13" i="54"/>
  <c r="E197" i="55" s="1"/>
  <c r="AR17" i="54"/>
  <c r="AR13" i="45"/>
  <c r="J188" i="55" s="1"/>
  <c r="AR14" i="53"/>
  <c r="J76" i="55" s="1"/>
  <c r="AR13" i="47"/>
  <c r="R16" i="47"/>
  <c r="AR25" i="47"/>
  <c r="R25" i="47"/>
  <c r="AQ21" i="47"/>
  <c r="E137" i="55" s="1"/>
  <c r="AQ20" i="47"/>
  <c r="E136" i="55" s="1"/>
  <c r="AQ14" i="47"/>
  <c r="AQ15" i="47"/>
  <c r="AR15" i="47" s="1"/>
  <c r="AR19" i="47"/>
  <c r="AR16" i="44"/>
  <c r="AR15" i="44"/>
  <c r="AR16" i="43"/>
  <c r="AR14" i="43"/>
  <c r="AQ25" i="41"/>
  <c r="E95" i="55" s="1"/>
  <c r="AR30" i="41"/>
  <c r="AR14" i="39"/>
  <c r="J36" i="55" s="1"/>
  <c r="AR13" i="39"/>
  <c r="AR17" i="41"/>
  <c r="J87" i="55" s="1"/>
  <c r="AR13" i="38"/>
  <c r="AR16" i="38"/>
  <c r="AQ17" i="39"/>
  <c r="AR18" i="38"/>
  <c r="R18" i="38"/>
  <c r="AR15" i="38"/>
  <c r="AR14" i="40"/>
  <c r="Z16" i="52" l="1"/>
  <c r="AH16" i="52"/>
  <c r="H181" i="55" s="1"/>
  <c r="AP16" i="52"/>
  <c r="Z15" i="52"/>
  <c r="AP15" i="52"/>
  <c r="AH15" i="52"/>
  <c r="Z15" i="2"/>
  <c r="AP15" i="2"/>
  <c r="AH15" i="2"/>
  <c r="H67" i="55" s="1"/>
  <c r="Z17" i="52"/>
  <c r="AP17" i="52"/>
  <c r="AH17" i="52"/>
  <c r="H182" i="55" s="1"/>
  <c r="AR17" i="47"/>
  <c r="AP17" i="47"/>
  <c r="AH17" i="47"/>
  <c r="H133" i="55" s="1"/>
  <c r="Z17" i="38"/>
  <c r="AH17" i="38"/>
  <c r="H58" i="55" s="1"/>
  <c r="R17" i="38"/>
  <c r="I58" i="55" s="1"/>
  <c r="L78" i="55"/>
  <c r="F13" i="55" s="1"/>
  <c r="AP13" i="47"/>
  <c r="AH13" i="47"/>
  <c r="H129" i="55" s="1"/>
  <c r="Z17" i="2"/>
  <c r="AP17" i="2"/>
  <c r="AH17" i="2"/>
  <c r="H69" i="55" s="1"/>
  <c r="AP16" i="2"/>
  <c r="AH16" i="2"/>
  <c r="H68" i="55" s="1"/>
  <c r="Z14" i="52"/>
  <c r="AH14" i="52"/>
  <c r="AP14" i="52"/>
  <c r="I148" i="55"/>
  <c r="H148" i="55"/>
  <c r="Z18" i="48"/>
  <c r="AH18" i="48"/>
  <c r="H152" i="55" s="1"/>
  <c r="AP18" i="48"/>
  <c r="K103" i="55"/>
  <c r="AP13" i="2"/>
  <c r="AH13" i="2"/>
  <c r="H65" i="55" s="1"/>
  <c r="AH13" i="51"/>
  <c r="Z13" i="51"/>
  <c r="E147" i="55"/>
  <c r="AP13" i="48"/>
  <c r="AH13" i="48"/>
  <c r="H147" i="55" s="1"/>
  <c r="AP13" i="52"/>
  <c r="AH13" i="52"/>
  <c r="AH14" i="47"/>
  <c r="AP14" i="47"/>
  <c r="K90" i="55"/>
  <c r="AP18" i="47"/>
  <c r="AH18" i="47"/>
  <c r="Z14" i="2"/>
  <c r="AP14" i="2"/>
  <c r="AH14" i="2"/>
  <c r="H66" i="55" s="1"/>
  <c r="AH24" i="47"/>
  <c r="H140" i="55" s="1"/>
  <c r="K140" i="55" s="1"/>
  <c r="AP24" i="47"/>
  <c r="K97" i="55"/>
  <c r="AP16" i="47"/>
  <c r="AH16" i="47"/>
  <c r="H132" i="55" s="1"/>
  <c r="K132" i="55" s="1"/>
  <c r="AR18" i="39"/>
  <c r="J40" i="55" s="1"/>
  <c r="AR14" i="52"/>
  <c r="Z15" i="48"/>
  <c r="AH15" i="48"/>
  <c r="H149" i="55" s="1"/>
  <c r="AP15" i="48"/>
  <c r="Z17" i="48"/>
  <c r="AP17" i="48"/>
  <c r="AH17" i="48"/>
  <c r="H151" i="55" s="1"/>
  <c r="L84" i="55"/>
  <c r="AR16" i="48"/>
  <c r="AH16" i="48"/>
  <c r="H150" i="55" s="1"/>
  <c r="AP16" i="48"/>
  <c r="H141" i="55"/>
  <c r="AH13" i="49"/>
  <c r="AP13" i="49"/>
  <c r="AP15" i="47"/>
  <c r="AH15" i="47"/>
  <c r="K86" i="55"/>
  <c r="AS15" i="40"/>
  <c r="M48" i="55" s="1"/>
  <c r="L83" i="55"/>
  <c r="E151" i="55"/>
  <c r="K151" i="55"/>
  <c r="R17" i="48"/>
  <c r="R17" i="47"/>
  <c r="E133" i="55"/>
  <c r="Z17" i="47"/>
  <c r="E140" i="55"/>
  <c r="Z24" i="47"/>
  <c r="Z13" i="2"/>
  <c r="K65" i="55" s="1"/>
  <c r="R13" i="2"/>
  <c r="I65" i="55" s="1"/>
  <c r="E58" i="55"/>
  <c r="R16" i="2"/>
  <c r="I68" i="55" s="1"/>
  <c r="Z16" i="2"/>
  <c r="E131" i="55"/>
  <c r="Z15" i="47"/>
  <c r="E132" i="55"/>
  <c r="Z16" i="47"/>
  <c r="L123" i="55"/>
  <c r="K172" i="55"/>
  <c r="L100" i="55"/>
  <c r="L38" i="55"/>
  <c r="L135" i="55"/>
  <c r="L99" i="55"/>
  <c r="L88" i="55"/>
  <c r="E130" i="55"/>
  <c r="AR14" i="47"/>
  <c r="Z14" i="47"/>
  <c r="AS22" i="47"/>
  <c r="M138" i="55" s="1"/>
  <c r="R24" i="47"/>
  <c r="E129" i="55"/>
  <c r="Z13" i="47"/>
  <c r="R13" i="47"/>
  <c r="Z13" i="49"/>
  <c r="R13" i="49"/>
  <c r="L172" i="55"/>
  <c r="AS19" i="54"/>
  <c r="M203" i="55" s="1"/>
  <c r="L48" i="55"/>
  <c r="L90" i="55"/>
  <c r="L101" i="55"/>
  <c r="L87" i="55"/>
  <c r="L136" i="55"/>
  <c r="L102" i="55"/>
  <c r="E134" i="55"/>
  <c r="Z18" i="47"/>
  <c r="R13" i="48"/>
  <c r="Z13" i="48"/>
  <c r="K141" i="55"/>
  <c r="L141" i="55"/>
  <c r="AR24" i="47"/>
  <c r="AS24" i="47" s="1"/>
  <c r="M140" i="55" s="1"/>
  <c r="L148" i="55"/>
  <c r="L114" i="55"/>
  <c r="AR18" i="47"/>
  <c r="AS18" i="47" s="1"/>
  <c r="M134" i="55" s="1"/>
  <c r="AR16" i="47"/>
  <c r="J132" i="55" s="1"/>
  <c r="K192" i="55"/>
  <c r="E26" i="55" s="1"/>
  <c r="AR13" i="48"/>
  <c r="J147" i="55" s="1"/>
  <c r="K112" i="55"/>
  <c r="L46" i="55"/>
  <c r="L137" i="55"/>
  <c r="L164" i="55"/>
  <c r="L165" i="55" s="1"/>
  <c r="F22" i="55" s="1"/>
  <c r="L86" i="55"/>
  <c r="E59" i="55"/>
  <c r="Z18" i="38"/>
  <c r="K59" i="55" s="1"/>
  <c r="L97" i="55"/>
  <c r="L85" i="55"/>
  <c r="Z13" i="52"/>
  <c r="R13" i="52"/>
  <c r="L138" i="55"/>
  <c r="L40" i="55"/>
  <c r="L122" i="55"/>
  <c r="L192" i="55"/>
  <c r="F26" i="55" s="1"/>
  <c r="L201" i="55"/>
  <c r="L205" i="55" s="1"/>
  <c r="F27" i="55" s="1"/>
  <c r="AS13" i="54"/>
  <c r="M197" i="55" s="1"/>
  <c r="R13" i="51"/>
  <c r="K170" i="55"/>
  <c r="K173" i="55" s="1"/>
  <c r="E23" i="55" s="1"/>
  <c r="L110" i="55"/>
  <c r="L109" i="55"/>
  <c r="L112" i="55"/>
  <c r="L111" i="55"/>
  <c r="AS15" i="43"/>
  <c r="M111" i="55" s="1"/>
  <c r="K109" i="55"/>
  <c r="K124" i="55"/>
  <c r="E17" i="55" s="1"/>
  <c r="AS14" i="39"/>
  <c r="M36" i="55" s="1"/>
  <c r="AS14" i="53"/>
  <c r="M76" i="55" s="1"/>
  <c r="AS21" i="47"/>
  <c r="M137" i="55" s="1"/>
  <c r="AS20" i="47"/>
  <c r="M136" i="55" s="1"/>
  <c r="AS22" i="41"/>
  <c r="M92" i="55" s="1"/>
  <c r="AS16" i="41"/>
  <c r="M86" i="55" s="1"/>
  <c r="AS32" i="41"/>
  <c r="M102" i="55" s="1"/>
  <c r="AS14" i="38"/>
  <c r="M55" i="55" s="1"/>
  <c r="AS13" i="40"/>
  <c r="M46" i="55" s="1"/>
  <c r="K39" i="55"/>
  <c r="AS13" i="45"/>
  <c r="M188" i="55" s="1"/>
  <c r="AS23" i="47"/>
  <c r="M139" i="55" s="1"/>
  <c r="R18" i="47"/>
  <c r="AS24" i="41"/>
  <c r="M94" i="55" s="1"/>
  <c r="AS13" i="41"/>
  <c r="M83" i="55" s="1"/>
  <c r="AS17" i="41"/>
  <c r="M87" i="55" s="1"/>
  <c r="AS26" i="41"/>
  <c r="M96" i="55" s="1"/>
  <c r="AS14" i="41"/>
  <c r="M84" i="55" s="1"/>
  <c r="AS28" i="41"/>
  <c r="M98" i="55" s="1"/>
  <c r="AR21" i="41"/>
  <c r="R21" i="41"/>
  <c r="I91" i="55" s="1"/>
  <c r="AS25" i="41"/>
  <c r="M95" i="55" s="1"/>
  <c r="AS23" i="41"/>
  <c r="M93" i="55" s="1"/>
  <c r="AR16" i="2"/>
  <c r="J68" i="55" s="1"/>
  <c r="E68" i="55"/>
  <c r="AR17" i="38"/>
  <c r="J58" i="55" s="1"/>
  <c r="AS18" i="38"/>
  <c r="M59" i="55" s="1"/>
  <c r="J59" i="55"/>
  <c r="AS30" i="41"/>
  <c r="M100" i="55" s="1"/>
  <c r="J100" i="55"/>
  <c r="AS16" i="43"/>
  <c r="M112" i="55" s="1"/>
  <c r="J112" i="55"/>
  <c r="AS15" i="54"/>
  <c r="M199" i="55" s="1"/>
  <c r="J199" i="55"/>
  <c r="E181" i="55"/>
  <c r="R16" i="52"/>
  <c r="I181" i="55" s="1"/>
  <c r="AR16" i="52"/>
  <c r="K38" i="55"/>
  <c r="K75" i="55"/>
  <c r="K78" i="55" s="1"/>
  <c r="E13" i="55" s="1"/>
  <c r="B36" i="55"/>
  <c r="B37" i="55" s="1"/>
  <c r="B38" i="55" s="1"/>
  <c r="B39" i="55" s="1"/>
  <c r="B40" i="55" s="1"/>
  <c r="B46" i="55" s="1"/>
  <c r="E182" i="55"/>
  <c r="AR17" i="52"/>
  <c r="R17" i="52"/>
  <c r="AS14" i="45"/>
  <c r="M189" i="55" s="1"/>
  <c r="J189" i="55"/>
  <c r="AS15" i="41"/>
  <c r="M85" i="55" s="1"/>
  <c r="J85" i="55"/>
  <c r="AS16" i="39"/>
  <c r="M38" i="55" s="1"/>
  <c r="J38" i="55"/>
  <c r="E149" i="55"/>
  <c r="AR15" i="48"/>
  <c r="R15" i="48"/>
  <c r="I149" i="55" s="1"/>
  <c r="K101" i="55"/>
  <c r="AS18" i="41"/>
  <c r="M88" i="55" s="1"/>
  <c r="AS15" i="38"/>
  <c r="M56" i="55" s="1"/>
  <c r="J56" i="55"/>
  <c r="AS17" i="39"/>
  <c r="M39" i="55" s="1"/>
  <c r="E39" i="55"/>
  <c r="AS15" i="44"/>
  <c r="M122" i="55" s="1"/>
  <c r="J122" i="55"/>
  <c r="AS19" i="47"/>
  <c r="M135" i="55" s="1"/>
  <c r="J135" i="55"/>
  <c r="J134" i="55"/>
  <c r="AS16" i="47"/>
  <c r="M132" i="55" s="1"/>
  <c r="AS16" i="54"/>
  <c r="M200" i="55" s="1"/>
  <c r="J200" i="55"/>
  <c r="K37" i="55"/>
  <c r="AS13" i="53"/>
  <c r="M75" i="55" s="1"/>
  <c r="J75" i="55"/>
  <c r="J178" i="55"/>
  <c r="AS13" i="52"/>
  <c r="M178" i="55" s="1"/>
  <c r="J148" i="55"/>
  <c r="AS14" i="48"/>
  <c r="M148" i="55" s="1"/>
  <c r="E66" i="55"/>
  <c r="AR14" i="2"/>
  <c r="R14" i="2"/>
  <c r="K49" i="55"/>
  <c r="E10" i="55" s="1"/>
  <c r="E150" i="55"/>
  <c r="R16" i="48"/>
  <c r="I150" i="55" s="1"/>
  <c r="AS29" i="41"/>
  <c r="M99" i="55" s="1"/>
  <c r="J99" i="55"/>
  <c r="AS33" i="41"/>
  <c r="M103" i="55" s="1"/>
  <c r="E69" i="55"/>
  <c r="R17" i="2"/>
  <c r="AR17" i="2"/>
  <c r="AS15" i="51"/>
  <c r="M172" i="55" s="1"/>
  <c r="J172" i="55"/>
  <c r="AS15" i="45"/>
  <c r="M190" i="55" s="1"/>
  <c r="J190" i="55"/>
  <c r="AS13" i="39"/>
  <c r="M35" i="55" s="1"/>
  <c r="J35" i="55"/>
  <c r="AS16" i="44"/>
  <c r="M123" i="55" s="1"/>
  <c r="J123" i="55"/>
  <c r="AS13" i="47"/>
  <c r="M129" i="55" s="1"/>
  <c r="J129" i="55"/>
  <c r="AS15" i="39"/>
  <c r="M37" i="55" s="1"/>
  <c r="J37" i="55"/>
  <c r="J164" i="55"/>
  <c r="AS13" i="50"/>
  <c r="AS19" i="41"/>
  <c r="M89" i="55" s="1"/>
  <c r="J89" i="55"/>
  <c r="E180" i="55"/>
  <c r="AR15" i="52"/>
  <c r="R15" i="52"/>
  <c r="K98" i="55"/>
  <c r="E67" i="55"/>
  <c r="AR15" i="2"/>
  <c r="R15" i="2"/>
  <c r="K36" i="55"/>
  <c r="E65" i="55"/>
  <c r="AR13" i="2"/>
  <c r="AS20" i="41"/>
  <c r="M90" i="55" s="1"/>
  <c r="J90" i="55"/>
  <c r="AS15" i="53"/>
  <c r="M77" i="55" s="1"/>
  <c r="J77" i="55"/>
  <c r="J151" i="55"/>
  <c r="AS17" i="48"/>
  <c r="M151" i="55" s="1"/>
  <c r="K99" i="55"/>
  <c r="AS16" i="38"/>
  <c r="M57" i="55" s="1"/>
  <c r="J57" i="55"/>
  <c r="AS13" i="38"/>
  <c r="J54" i="55"/>
  <c r="AS14" i="43"/>
  <c r="M110" i="55" s="1"/>
  <c r="J110" i="55"/>
  <c r="AS25" i="47"/>
  <c r="J141" i="55"/>
  <c r="AS17" i="47"/>
  <c r="M133" i="55" s="1"/>
  <c r="J133" i="55"/>
  <c r="AS17" i="54"/>
  <c r="M201" i="55" s="1"/>
  <c r="J201" i="55"/>
  <c r="AS18" i="54"/>
  <c r="M202" i="55" s="1"/>
  <c r="J202" i="55"/>
  <c r="K205" i="55"/>
  <c r="E27" i="55" s="1"/>
  <c r="K165" i="55"/>
  <c r="E22" i="55" s="1"/>
  <c r="E152" i="55"/>
  <c r="R18" i="48"/>
  <c r="AR18" i="48"/>
  <c r="AS13" i="43"/>
  <c r="M109" i="55" s="1"/>
  <c r="J109" i="55"/>
  <c r="AS18" i="43"/>
  <c r="M114" i="55" s="1"/>
  <c r="J114" i="55"/>
  <c r="K92" i="55"/>
  <c r="K129" i="55"/>
  <c r="AS16" i="45"/>
  <c r="M191" i="55" s="1"/>
  <c r="J191" i="55"/>
  <c r="AS31" i="41"/>
  <c r="M101" i="55" s="1"/>
  <c r="J101" i="55"/>
  <c r="AS27" i="41"/>
  <c r="M97" i="55" s="1"/>
  <c r="J97" i="55"/>
  <c r="AS14" i="44"/>
  <c r="M121" i="55" s="1"/>
  <c r="J121" i="55"/>
  <c r="J179" i="55"/>
  <c r="AS14" i="52"/>
  <c r="M179" i="55" s="1"/>
  <c r="E170" i="55"/>
  <c r="AR13" i="51"/>
  <c r="AS14" i="51"/>
  <c r="M171" i="55" s="1"/>
  <c r="J171" i="55"/>
  <c r="E158" i="55"/>
  <c r="AR13" i="49"/>
  <c r="AS13" i="44"/>
  <c r="J120" i="55"/>
  <c r="K85" i="55"/>
  <c r="AS14" i="40"/>
  <c r="M47" i="55" s="1"/>
  <c r="J47" i="55"/>
  <c r="AS20" i="54"/>
  <c r="M204" i="55" s="1"/>
  <c r="R15" i="47"/>
  <c r="R14" i="47"/>
  <c r="I178" i="55" l="1"/>
  <c r="H178" i="55"/>
  <c r="K148" i="55"/>
  <c r="H134" i="55"/>
  <c r="I152" i="55"/>
  <c r="L152" i="55" s="1"/>
  <c r="I67" i="55"/>
  <c r="L67" i="55" s="1"/>
  <c r="I182" i="55"/>
  <c r="K178" i="55"/>
  <c r="I147" i="55"/>
  <c r="I59" i="55"/>
  <c r="I170" i="55"/>
  <c r="H170" i="55"/>
  <c r="AS18" i="39"/>
  <c r="M40" i="55" s="1"/>
  <c r="H130" i="55"/>
  <c r="I180" i="55"/>
  <c r="H180" i="55"/>
  <c r="I69" i="55"/>
  <c r="I66" i="55"/>
  <c r="L66" i="55" s="1"/>
  <c r="I151" i="55"/>
  <c r="L151" i="55" s="1"/>
  <c r="K152" i="55"/>
  <c r="I179" i="55"/>
  <c r="L179" i="55" s="1"/>
  <c r="H179" i="55"/>
  <c r="K179" i="55" s="1"/>
  <c r="I158" i="55"/>
  <c r="L158" i="55" s="1"/>
  <c r="L159" i="55" s="1"/>
  <c r="F21" i="55" s="1"/>
  <c r="H158" i="55"/>
  <c r="K158" i="55" s="1"/>
  <c r="K159" i="55" s="1"/>
  <c r="E21" i="55" s="1"/>
  <c r="AS16" i="48"/>
  <c r="J140" i="55"/>
  <c r="H131" i="55"/>
  <c r="L130" i="55"/>
  <c r="K115" i="55"/>
  <c r="E16" i="55" s="1"/>
  <c r="L124" i="55"/>
  <c r="F17" i="55" s="1"/>
  <c r="L41" i="55"/>
  <c r="F9" i="55" s="1"/>
  <c r="L49" i="55"/>
  <c r="F10" i="55" s="1"/>
  <c r="K133" i="55"/>
  <c r="K68" i="55"/>
  <c r="L68" i="55"/>
  <c r="K130" i="55"/>
  <c r="K69" i="55"/>
  <c r="L69" i="55"/>
  <c r="L147" i="55"/>
  <c r="K67" i="55"/>
  <c r="K180" i="55"/>
  <c r="L180" i="55"/>
  <c r="K149" i="55"/>
  <c r="K181" i="55"/>
  <c r="L181" i="55"/>
  <c r="K91" i="55"/>
  <c r="K104" i="55" s="1"/>
  <c r="E15" i="55" s="1"/>
  <c r="L91" i="55"/>
  <c r="L104" i="55" s="1"/>
  <c r="F15" i="55" s="1"/>
  <c r="K134" i="55"/>
  <c r="M49" i="55"/>
  <c r="G10" i="55" s="1"/>
  <c r="C11" i="56" s="1"/>
  <c r="L170" i="55"/>
  <c r="L173" i="55" s="1"/>
  <c r="F23" i="55" s="1"/>
  <c r="AS13" i="48"/>
  <c r="M147" i="55" s="1"/>
  <c r="K150" i="55"/>
  <c r="K66" i="55"/>
  <c r="M78" i="55"/>
  <c r="G13" i="55" s="1"/>
  <c r="C14" i="56" s="1"/>
  <c r="K182" i="55"/>
  <c r="L182" i="55"/>
  <c r="F28" i="55"/>
  <c r="E28" i="55"/>
  <c r="M41" i="55"/>
  <c r="G9" i="55" s="1"/>
  <c r="C10" i="56" s="1"/>
  <c r="K58" i="55"/>
  <c r="K60" i="55" s="1"/>
  <c r="E11" i="55" s="1"/>
  <c r="L58" i="55"/>
  <c r="M205" i="55"/>
  <c r="G27" i="55" s="1"/>
  <c r="C25" i="56" s="1"/>
  <c r="L178" i="55"/>
  <c r="K147" i="55"/>
  <c r="L129" i="55"/>
  <c r="L59" i="55"/>
  <c r="L65" i="55"/>
  <c r="L132" i="55"/>
  <c r="L115" i="55"/>
  <c r="F16" i="55" s="1"/>
  <c r="AS19" i="43"/>
  <c r="AS21" i="54"/>
  <c r="AS17" i="38"/>
  <c r="M58" i="55" s="1"/>
  <c r="AS19" i="39"/>
  <c r="D9" i="55"/>
  <c r="C31" i="56" s="1"/>
  <c r="J91" i="55"/>
  <c r="AS21" i="41"/>
  <c r="M91" i="55" s="1"/>
  <c r="AS16" i="2"/>
  <c r="M68" i="55" s="1"/>
  <c r="J65" i="55"/>
  <c r="AS13" i="2"/>
  <c r="AS14" i="47"/>
  <c r="M130" i="55" s="1"/>
  <c r="J130" i="55"/>
  <c r="M120" i="55"/>
  <c r="M124" i="55" s="1"/>
  <c r="G17" i="55" s="1"/>
  <c r="C17" i="56" s="1"/>
  <c r="AS17" i="44"/>
  <c r="J67" i="55"/>
  <c r="AS15" i="2"/>
  <c r="M67" i="55" s="1"/>
  <c r="J66" i="55"/>
  <c r="AS14" i="2"/>
  <c r="M66" i="55" s="1"/>
  <c r="B47" i="55"/>
  <c r="B48" i="55" s="1"/>
  <c r="B54" i="55" s="1"/>
  <c r="M192" i="55"/>
  <c r="G26" i="55" s="1"/>
  <c r="AS15" i="47"/>
  <c r="M131" i="55" s="1"/>
  <c r="J131" i="55"/>
  <c r="J158" i="55"/>
  <c r="AS13" i="49"/>
  <c r="AS26" i="47"/>
  <c r="M141" i="55"/>
  <c r="M54" i="55"/>
  <c r="J180" i="55"/>
  <c r="AS15" i="52"/>
  <c r="J182" i="55"/>
  <c r="AS17" i="52"/>
  <c r="M182" i="55" s="1"/>
  <c r="AS17" i="45"/>
  <c r="J170" i="55"/>
  <c r="AS13" i="51"/>
  <c r="M115" i="55"/>
  <c r="G16" i="55" s="1"/>
  <c r="C16" i="56" s="1"/>
  <c r="K40" i="55"/>
  <c r="K41" i="55" s="1"/>
  <c r="E9" i="55" s="1"/>
  <c r="AS14" i="50"/>
  <c r="M164" i="55"/>
  <c r="M165" i="55" s="1"/>
  <c r="G22" i="55" s="1"/>
  <c r="C21" i="56" s="1"/>
  <c r="AS16" i="53"/>
  <c r="J152" i="55"/>
  <c r="AS18" i="48"/>
  <c r="M152" i="55" s="1"/>
  <c r="J69" i="55"/>
  <c r="AS17" i="2"/>
  <c r="M69" i="55" s="1"/>
  <c r="J150" i="55"/>
  <c r="M150" i="55"/>
  <c r="J149" i="55"/>
  <c r="AS15" i="48"/>
  <c r="M149" i="55" s="1"/>
  <c r="J181" i="55"/>
  <c r="AS16" i="52"/>
  <c r="M181" i="55" s="1"/>
  <c r="AS16" i="40"/>
  <c r="K131" i="55" l="1"/>
  <c r="K142" i="55"/>
  <c r="E19" i="55" s="1"/>
  <c r="E18" i="55"/>
  <c r="AS19" i="38"/>
  <c r="M60" i="55"/>
  <c r="G11" i="55" s="1"/>
  <c r="C12" i="56" s="1"/>
  <c r="K153" i="55"/>
  <c r="E20" i="55" s="1"/>
  <c r="F18" i="55"/>
  <c r="L183" i="55"/>
  <c r="F24" i="55" s="1"/>
  <c r="K70" i="55"/>
  <c r="E12" i="55" s="1"/>
  <c r="E14" i="55" s="1"/>
  <c r="L60" i="55"/>
  <c r="F11" i="55" s="1"/>
  <c r="L133" i="55"/>
  <c r="L150" i="55"/>
  <c r="L153" i="55" s="1"/>
  <c r="F20" i="55" s="1"/>
  <c r="L149" i="55"/>
  <c r="AS14" i="49"/>
  <c r="M158" i="55"/>
  <c r="M159" i="55" s="1"/>
  <c r="G21" i="55" s="1"/>
  <c r="C20" i="56" s="1"/>
  <c r="L70" i="55"/>
  <c r="F12" i="55" s="1"/>
  <c r="L134" i="55"/>
  <c r="L140" i="55"/>
  <c r="AS34" i="41"/>
  <c r="M104" i="55"/>
  <c r="G15" i="55" s="1"/>
  <c r="L131" i="55"/>
  <c r="K183" i="55"/>
  <c r="E24" i="55" s="1"/>
  <c r="D10" i="55"/>
  <c r="C32" i="56" s="1"/>
  <c r="M142" i="55"/>
  <c r="G19" i="55" s="1"/>
  <c r="C18" i="56" s="1"/>
  <c r="AS19" i="48"/>
  <c r="AS18" i="52"/>
  <c r="M180" i="55"/>
  <c r="M183" i="55" s="1"/>
  <c r="G24" i="55" s="1"/>
  <c r="C23" i="56" s="1"/>
  <c r="M153" i="55"/>
  <c r="G20" i="55" s="1"/>
  <c r="C19" i="56" s="1"/>
  <c r="B55" i="55"/>
  <c r="B56" i="55" s="1"/>
  <c r="B57" i="55" s="1"/>
  <c r="B58" i="55" s="1"/>
  <c r="B59" i="55" s="1"/>
  <c r="B65" i="55" s="1"/>
  <c r="M170" i="55"/>
  <c r="M173" i="55" s="1"/>
  <c r="G23" i="55" s="1"/>
  <c r="C22" i="56" s="1"/>
  <c r="AS16" i="51"/>
  <c r="C24" i="56"/>
  <c r="G28" i="55"/>
  <c r="M65" i="55"/>
  <c r="AS18" i="2"/>
  <c r="E25" i="55" l="1"/>
  <c r="L142" i="55"/>
  <c r="F19" i="55" s="1"/>
  <c r="F25" i="55" s="1"/>
  <c r="F14" i="55"/>
  <c r="C15" i="56"/>
  <c r="G18" i="55"/>
  <c r="M70" i="55"/>
  <c r="G12" i="55" s="1"/>
  <c r="D11" i="55"/>
  <c r="C33" i="56" s="1"/>
  <c r="B66" i="55"/>
  <c r="B67" i="55" s="1"/>
  <c r="B68" i="55" s="1"/>
  <c r="B69" i="55" s="1"/>
  <c r="B75" i="55" s="1"/>
  <c r="G25" i="55"/>
  <c r="C13" i="56" l="1"/>
  <c r="C26" i="56" s="1"/>
  <c r="G14" i="55"/>
  <c r="D12" i="55"/>
  <c r="C34" i="56" s="1"/>
  <c r="B76" i="55"/>
  <c r="B77" i="55" s="1"/>
  <c r="B83" i="55" s="1"/>
  <c r="D13" i="55" l="1"/>
  <c r="C35" i="56" s="1"/>
  <c r="B84" i="55"/>
  <c r="B85" i="55" s="1"/>
  <c r="B87" i="55" s="1"/>
  <c r="B88" i="55" s="1"/>
  <c r="B91" i="55" s="1"/>
  <c r="B92" i="55" l="1"/>
  <c r="B93" i="55" s="1"/>
  <c r="B94" i="55" l="1"/>
  <c r="B95" i="55" s="1"/>
  <c r="B96" i="55" s="1"/>
  <c r="B97" i="55" s="1"/>
  <c r="B98" i="55" s="1"/>
  <c r="B99" i="55" s="1"/>
  <c r="B100" i="55" s="1"/>
  <c r="B101" i="55" s="1"/>
  <c r="B102" i="55" s="1"/>
  <c r="B103" i="55" s="1"/>
  <c r="B109" i="55" s="1"/>
  <c r="B110" i="55" s="1"/>
  <c r="B111" i="55" s="1"/>
  <c r="B112" i="55" s="1"/>
  <c r="B113" i="55" s="1"/>
  <c r="B114" i="55" s="1"/>
  <c r="B120" i="55" s="1"/>
  <c r="B121" i="55" s="1"/>
  <c r="B122" i="55" s="1"/>
  <c r="B123" i="55" s="1"/>
  <c r="B129" i="55" s="1"/>
  <c r="D16" i="55" l="1"/>
  <c r="C37" i="56" s="1"/>
  <c r="D15" i="55"/>
  <c r="C36" i="56" s="1"/>
  <c r="D17" i="55"/>
  <c r="C38" i="56" s="1"/>
  <c r="B130" i="55"/>
  <c r="B131" i="55" s="1"/>
  <c r="B132" i="55" s="1"/>
  <c r="B133" i="55" s="1"/>
  <c r="B134" i="55" s="1"/>
  <c r="B135" i="55" s="1"/>
  <c r="B136" i="55" s="1"/>
  <c r="B137" i="55" s="1"/>
  <c r="B138" i="55" s="1"/>
  <c r="B139" i="55" s="1"/>
  <c r="B140" i="55" s="1"/>
  <c r="B141" i="55" s="1"/>
  <c r="B147" i="55" s="1"/>
  <c r="D19" i="55" l="1"/>
  <c r="C39" i="56" s="1"/>
  <c r="B148" i="55"/>
  <c r="B149" i="55" s="1"/>
  <c r="B150" i="55" s="1"/>
  <c r="B151" i="55" s="1"/>
  <c r="B152" i="55" s="1"/>
  <c r="B158" i="55" s="1"/>
  <c r="D20" i="55" l="1"/>
  <c r="C40" i="56" s="1"/>
  <c r="B164" i="55"/>
  <c r="B170" i="55" s="1"/>
  <c r="D21" i="55"/>
  <c r="C41" i="56" s="1"/>
  <c r="D22" i="55" l="1"/>
  <c r="C42" i="56" s="1"/>
  <c r="B171" i="55"/>
  <c r="B172" i="55" s="1"/>
  <c r="B178" i="55" s="1"/>
  <c r="B179" i="55" l="1"/>
  <c r="B180" i="55" s="1"/>
  <c r="B181" i="55" s="1"/>
  <c r="B182" i="55" s="1"/>
  <c r="B188" i="55" s="1"/>
  <c r="D23" i="55"/>
  <c r="C43" i="56" s="1"/>
  <c r="D24" i="55" l="1"/>
  <c r="C44" i="56" s="1"/>
  <c r="B189" i="55"/>
  <c r="B190" i="55" s="1"/>
  <c r="B191" i="55" s="1"/>
  <c r="B197" i="55" s="1"/>
  <c r="D26" i="55" l="1"/>
  <c r="C45" i="56" s="1"/>
  <c r="B198" i="55"/>
  <c r="B199" i="55" s="1"/>
  <c r="B200" i="55" s="1"/>
  <c r="B201" i="55" s="1"/>
  <c r="B202" i="55" s="1"/>
  <c r="B203" i="55" s="1"/>
  <c r="B204" i="55" s="1"/>
  <c r="D27" i="55" l="1"/>
  <c r="C46" i="56" s="1"/>
  <c r="C4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I4" authorId="0" shapeId="0" xr:uid="{00000000-0006-0000-01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34" authorId="0" shapeId="0" xr:uid="{00000000-0006-0000-03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5" authorId="0" shapeId="0" xr:uid="{00000000-0006-0000-0300-000002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3" authorId="0" shapeId="0" xr:uid="{00000000-0006-0000-0300-000003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64" authorId="0" shapeId="0" xr:uid="{00000000-0006-0000-0300-000004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74" authorId="0" shapeId="0" xr:uid="{00000000-0006-0000-0300-000005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00000000-0006-0000-0300-000006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8" authorId="0" shapeId="0" xr:uid="{00000000-0006-0000-0300-000007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19" authorId="0" shapeId="0" xr:uid="{00000000-0006-0000-0300-000008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8" authorId="0" shapeId="0" xr:uid="{00000000-0006-0000-0300-000009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6" authorId="0" shapeId="0" xr:uid="{00000000-0006-0000-0300-00000A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7" authorId="0" shapeId="0" xr:uid="{00000000-0006-0000-0300-00000B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3" authorId="0" shapeId="0" xr:uid="{00000000-0006-0000-0300-00000C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9" authorId="0" shapeId="0" xr:uid="{00000000-0006-0000-0300-00000D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77" authorId="0" shapeId="0" xr:uid="{00000000-0006-0000-0300-00000E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87" authorId="0" shapeId="0" xr:uid="{00000000-0006-0000-0300-00000F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96" authorId="0" shapeId="0" xr:uid="{00000000-0006-0000-0300-000010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0800-000001000000}">
      <text>
        <r>
          <rPr>
            <sz val="9"/>
            <color indexed="81"/>
            <rFont val="Tahoma"/>
            <family val="2"/>
          </rPr>
          <t xml:space="preserve">Señale el objetivo del proceso.
</t>
        </r>
      </text>
    </comment>
    <comment ref="C9" authorId="0" shapeId="0" xr:uid="{00000000-0006-0000-08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08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08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08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08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0800-000007000000}">
      <text>
        <r>
          <rPr>
            <sz val="10"/>
            <color indexed="81"/>
            <rFont val="Arial"/>
            <family val="2"/>
          </rPr>
          <t>Indique las actividades relevantes y necesarias para  el cumplimiento de las metas estratégicas establecidas.</t>
        </r>
      </text>
    </comment>
    <comment ref="J9" authorId="0" shapeId="0" xr:uid="{00000000-0006-0000-0800-000008000000}">
      <text>
        <r>
          <rPr>
            <sz val="10"/>
            <color indexed="81"/>
            <rFont val="Arial"/>
            <family val="2"/>
          </rPr>
          <t>Señale la(s) dependencia(s) líder(es) y operativa(s) en la consecución de las metas estratégicas establecidas.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0B00-000001000000}">
      <text>
        <r>
          <rPr>
            <b/>
            <sz val="9"/>
            <color indexed="81"/>
            <rFont val="Tahoma"/>
            <family val="2"/>
          </rPr>
          <t>08-RI-05</t>
        </r>
      </text>
    </comment>
  </commentList>
</comments>
</file>

<file path=xl/sharedStrings.xml><?xml version="1.0" encoding="utf-8"?>
<sst xmlns="http://schemas.openxmlformats.org/spreadsheetml/2006/main" count="2846" uniqueCount="916">
  <si>
    <t>MAGNITUD PROGRAMADA META</t>
  </si>
  <si>
    <t>ACTIVIDADES OPERATIVAS</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</si>
  <si>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</si>
  <si>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</si>
  <si>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</si>
  <si>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</si>
  <si>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</si>
  <si>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</si>
  <si>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</si>
  <si>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</si>
  <si>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</si>
  <si>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</si>
  <si>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</si>
  <si>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</si>
  <si>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</si>
  <si>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</si>
  <si>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</si>
  <si>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</si>
  <si>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</si>
  <si>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</si>
  <si>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</si>
  <si>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</si>
  <si>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</si>
  <si>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</si>
  <si>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</si>
  <si>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</si>
  <si>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</si>
  <si>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</si>
  <si>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</si>
  <si>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</si>
  <si>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</si>
  <si>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</si>
  <si>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</si>
  <si>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</si>
  <si>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</si>
  <si>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</si>
  <si>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</si>
  <si>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</si>
  <si>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</si>
  <si>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</si>
  <si>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</si>
  <si>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</si>
  <si>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</si>
  <si>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</si>
  <si>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</si>
  <si>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</si>
  <si>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</si>
  <si>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</si>
  <si>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</si>
  <si>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</si>
  <si>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</si>
  <si>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</si>
  <si>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</si>
  <si>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</si>
  <si>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</si>
  <si>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</si>
  <si>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</si>
  <si>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</si>
  <si>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</si>
  <si>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</si>
  <si>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</si>
  <si>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</si>
  <si>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</si>
  <si>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</si>
  <si>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</si>
  <si>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</si>
  <si>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</si>
  <si>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</si>
  <si>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</si>
  <si>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</si>
  <si>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</si>
  <si>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</si>
  <si>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</si>
  <si>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</si>
  <si>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</si>
  <si>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</si>
  <si>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</si>
  <si>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</si>
  <si>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</si>
  <si>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</si>
  <si>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</si>
  <si>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</si>
  <si>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</si>
  <si>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</si>
  <si>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</si>
  <si>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</si>
  <si>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</si>
  <si>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</si>
  <si>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</si>
  <si>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</si>
  <si>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</si>
  <si>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</si>
  <si>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</si>
  <si>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</si>
  <si>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</si>
  <si>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</si>
  <si>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</si>
  <si>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</si>
  <si>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</si>
  <si>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</si>
  <si>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</si>
  <si>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</si>
  <si>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</si>
  <si>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</si>
  <si>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</si>
  <si>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</si>
  <si>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</si>
  <si>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</si>
  <si>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</si>
  <si>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</si>
  <si>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</si>
  <si>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</si>
  <si>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</si>
  <si>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</si>
  <si>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</si>
  <si>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</si>
  <si>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</si>
  <si>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</si>
  <si>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</si>
  <si>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</si>
  <si>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</si>
  <si>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</si>
  <si>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</si>
  <si>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</si>
  <si>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</si>
  <si>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</si>
  <si>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 xml:space="preserve">OSCAR ELIECER ARDILA ARIAS/ JEFE DE OFICINA -JUAN CARLOS RUBIO PEÑALOSA/REFERENTE DEL PROCESO DE COMUNICACIÓN ESTRATÉGICA </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</si>
  <si>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</si>
  <si>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</si>
  <si>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</si>
  <si>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</si>
  <si>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</si>
  <si>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</si>
  <si>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</si>
  <si>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</si>
  <si>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</si>
  <si>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</si>
  <si>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</si>
  <si>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</si>
  <si>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</si>
  <si>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</si>
  <si>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</si>
  <si>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</si>
  <si>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</si>
  <si>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</si>
  <si>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</si>
  <si>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</si>
  <si>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</si>
  <si>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</si>
  <si>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</si>
  <si>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</si>
  <si>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</si>
  <si>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</si>
  <si>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</si>
  <si>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</si>
  <si>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</si>
  <si>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</si>
  <si>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</si>
  <si>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</si>
  <si>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</si>
  <si>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</si>
  <si>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</si>
  <si>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</si>
  <si>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</si>
  <si>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Número de personas sensibilizadas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</si>
  <si>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</si>
  <si>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</si>
  <si>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</si>
  <si>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</si>
  <si>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</si>
  <si>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</si>
  <si>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</si>
  <si>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</si>
  <si>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</si>
  <si>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</si>
  <si>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</si>
  <si>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</si>
  <si>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</si>
  <si>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</si>
  <si>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</si>
  <si>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</si>
  <si>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</si>
  <si>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</si>
  <si>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</si>
  <si>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</si>
  <si>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</si>
  <si>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</si>
  <si>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</si>
  <si>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</si>
  <si>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</si>
  <si>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</si>
  <si>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</si>
  <si>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Numero de personas sensibilizadas en derechos y deberes. </t>
  </si>
  <si>
    <t xml:space="preserve">Espacios de transferencia y fortalecimiento de conocimientos realizados para la atención de personas que acuden a la Personería de Bogotá, D. C. </t>
  </si>
  <si>
    <t xml:space="preserve">Audiencias  y mesas de trabajo realizadas 
</t>
  </si>
  <si>
    <t xml:space="preserve">Número de audiencias y mesas de trabajo realizadas </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</si>
  <si>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</si>
  <si>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</si>
  <si>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</si>
  <si>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</si>
  <si>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</si>
  <si>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</si>
  <si>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</si>
  <si>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</si>
  <si>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</si>
  <si>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</si>
  <si>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</si>
  <si>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</si>
  <si>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</si>
  <si>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</si>
  <si>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</si>
  <si>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</si>
  <si>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</si>
  <si>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</si>
  <si>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</si>
  <si>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</si>
  <si>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</si>
  <si>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</si>
  <si>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</si>
  <si>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</si>
  <si>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</si>
  <si>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</si>
  <si>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</si>
  <si>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</si>
  <si>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</si>
  <si>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</si>
  <si>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</si>
  <si>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</si>
  <si>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</si>
  <si>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</si>
  <si>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</si>
  <si>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</si>
  <si>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</si>
  <si>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</si>
  <si>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</si>
  <si>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</si>
  <si>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</si>
  <si>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</si>
  <si>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</si>
  <si>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</si>
  <si>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</si>
  <si>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</si>
  <si>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</si>
  <si>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</si>
  <si>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</si>
  <si>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</si>
  <si>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</si>
  <si>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</si>
  <si>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</si>
  <si>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</si>
  <si>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</si>
  <si>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</si>
  <si>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</si>
  <si>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</si>
  <si>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</si>
  <si>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</si>
  <si>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</si>
  <si>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</si>
  <si>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</si>
  <si>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</si>
  <si>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</si>
  <si>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</si>
  <si>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</si>
  <si>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</si>
  <si>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</si>
  <si>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</si>
  <si>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</si>
  <si>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</si>
  <si>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</si>
  <si>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</si>
  <si>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</si>
  <si>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</si>
  <si>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</si>
  <si>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</si>
  <si>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</si>
  <si>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</si>
  <si>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</si>
  <si>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</si>
  <si>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</si>
  <si>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</si>
  <si>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</si>
  <si>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</si>
  <si>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</si>
  <si>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</si>
  <si>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</si>
  <si>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</si>
  <si>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</si>
  <si>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</si>
  <si>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</si>
  <si>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</si>
  <si>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</si>
  <si>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</si>
  <si>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</si>
  <si>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</si>
  <si>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</si>
  <si>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</si>
  <si>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</si>
  <si>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</si>
  <si>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</si>
  <si>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</si>
  <si>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</si>
  <si>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</si>
  <si>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</si>
  <si>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</si>
  <si>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</si>
  <si>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</si>
  <si>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</si>
  <si>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</si>
  <si>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</si>
  <si>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</si>
  <si>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</si>
  <si>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SI</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</si>
  <si>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</si>
  <si>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</si>
  <si>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</si>
  <si>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</si>
  <si>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</si>
  <si>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</si>
  <si>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</si>
  <si>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</si>
  <si>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JUAN RAMON JIMENEZ OSORIO /  Jefe Oficina Asesora Jurídica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</si>
  <si>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</si>
  <si>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</si>
  <si>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</si>
  <si>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</si>
  <si>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</si>
  <si>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</si>
  <si>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</si>
  <si>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</si>
  <si>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</si>
  <si>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</si>
  <si>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</si>
  <si>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</si>
  <si>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</si>
  <si>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</si>
  <si>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</si>
  <si>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</si>
  <si>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</si>
  <si>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</si>
  <si>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</si>
  <si>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</si>
  <si>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</si>
  <si>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</si>
  <si>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</si>
  <si>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</si>
  <si>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OMAR ERNESTO HERRERA SANCHEZ / JEFE OFICINA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</si>
  <si>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</si>
  <si>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</si>
  <si>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</si>
  <si>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</si>
  <si>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</si>
  <si>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</si>
  <si>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</si>
  <si>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</si>
  <si>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</si>
  <si>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</si>
  <si>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</si>
  <si>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</si>
  <si>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</si>
  <si>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</si>
  <si>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</si>
  <si>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</si>
  <si>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</si>
  <si>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</si>
  <si>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</si>
  <si>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</si>
  <si>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</si>
  <si>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</si>
  <si>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</si>
  <si>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HENRY DÍAZ DUSSÁN / DIRECTOR DE TIC</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</si>
  <si>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</si>
  <si>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</si>
  <si>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</si>
  <si>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</si>
  <si>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</si>
  <si>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</si>
  <si>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</si>
  <si>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</si>
  <si>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</si>
  <si>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GERMÁN URIEL ROJAS / DIRECTOR DE PLANEACIÓN</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</si>
  <si>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</si>
  <si>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</si>
  <si>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2  Espacios de transferencias   y  buenas prácticas realizadas.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</si>
  <si>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</si>
  <si>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</si>
  <si>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</si>
  <si>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</si>
  <si>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</si>
  <si>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</si>
  <si>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</si>
  <si>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</si>
  <si>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</si>
  <si>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</si>
  <si>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MARYEMELINA DAZA MENDOZA</t>
  </si>
  <si>
    <t xml:space="preserve">MIPG implementado en por lo menos un 60%
</t>
  </si>
  <si>
    <t>Mejora continua del Sistema de Gestión de la Calidad</t>
  </si>
  <si>
    <t>1.1 Orientar y coordinar la formulación del Plan Operativo Anual (POA) por procesos, correspondiente a la vigencia 2020</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</si>
  <si>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</si>
  <si>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</si>
  <si>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</si>
  <si>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</si>
  <si>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</si>
  <si>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</si>
  <si>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</si>
  <si>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</si>
  <si>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</si>
  <si>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</si>
  <si>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RUBBY CECILIA DURAN MALDONADO - SUBDIRECTORA DE CONTRATACIÓN</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</si>
  <si>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</si>
  <si>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</si>
  <si>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</si>
  <si>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</si>
  <si>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</si>
  <si>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</si>
  <si>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</si>
  <si>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</si>
  <si>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</si>
  <si>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</si>
  <si>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</si>
  <si>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</si>
  <si>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</si>
  <si>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</si>
  <si>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</si>
  <si>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</si>
  <si>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</si>
  <si>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</si>
  <si>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</si>
  <si>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</si>
  <si>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</si>
  <si>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</si>
  <si>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</si>
  <si>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</si>
  <si>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</si>
  <si>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</si>
  <si>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</si>
  <si>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12.1 Atender el cronograma de transferencias documentales y la totalidad de solicitudes de transferencia al archivo central</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</si>
  <si>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</si>
  <si>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</si>
  <si>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</si>
  <si>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</si>
  <si>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</si>
  <si>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</si>
  <si>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</si>
  <si>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</si>
  <si>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</si>
  <si>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</si>
  <si>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</si>
  <si>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</si>
  <si>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</si>
  <si>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</si>
  <si>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</si>
  <si>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</si>
  <si>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</si>
  <si>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</si>
  <si>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</si>
  <si>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</si>
  <si>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</si>
  <si>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</si>
  <si>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</si>
  <si>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</si>
  <si>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</si>
  <si>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</si>
  <si>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</si>
  <si>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</si>
  <si>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</si>
  <si>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</si>
  <si>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</si>
  <si>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</si>
  <si>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</si>
  <si>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</si>
  <si>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</si>
  <si>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</si>
  <si>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</si>
  <si>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</si>
  <si>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</si>
  <si>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</si>
  <si>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</si>
  <si>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</si>
  <si>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</si>
  <si>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</si>
  <si>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</si>
  <si>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</si>
  <si>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</si>
  <si>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</si>
  <si>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</si>
  <si>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</si>
  <si>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</si>
  <si>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</si>
  <si>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</si>
  <si>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</si>
  <si>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</si>
  <si>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</si>
  <si>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</si>
  <si>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</si>
  <si>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</si>
  <si>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</si>
  <si>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</si>
  <si>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</si>
  <si>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</si>
  <si>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</si>
  <si>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</si>
  <si>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</si>
  <si>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</si>
  <si>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</si>
  <si>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</si>
  <si>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</si>
  <si>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</si>
  <si>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</si>
  <si>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</si>
  <si>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</si>
  <si>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</si>
  <si>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</si>
  <si>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</si>
  <si>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</si>
  <si>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</si>
  <si>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</si>
  <si>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</si>
  <si>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</si>
  <si>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</si>
  <si>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</si>
  <si>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</si>
  <si>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</si>
  <si>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</si>
  <si>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</si>
  <si>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</si>
  <si>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</si>
  <si>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</si>
  <si>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</si>
  <si>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</si>
  <si>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</si>
  <si>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JUAN CARLOS PÉREZ CARREÑO / DIRECTOR DE GESTIÓN DEL CONOCIMIENTO E INNOVACIÓN</t>
  </si>
  <si>
    <t>13/12/2019
Actualización: 05/03/2020</t>
  </si>
  <si>
    <t>20 espacios de transferencia, mejora y fortalecimiento de conocimientos y buenas prácticas realizados.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</si>
  <si>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</si>
  <si>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</si>
  <si>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</si>
  <si>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</si>
  <si>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</si>
  <si>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</si>
  <si>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</si>
  <si>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</si>
  <si>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</si>
  <si>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</si>
  <si>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</si>
  <si>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</si>
  <si>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</si>
  <si>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Liliana Villamil Gómez - Jefe Oficina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</si>
  <si>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</si>
  <si>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</si>
  <si>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</si>
  <si>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</si>
  <si>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</si>
  <si>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DIANA MARGARITA JAIMES PLATA  - PERSONERA DELEGADA PARA LA COORDINACION DEL MINISTERIO PUBLICO  Y LOS DERECHOS HUMANOS 
LUZ ESTELLA GARCÍA FORERO - PERSONERA DELEGADA PARA LA COORDINACION DE LA GESTIÓN DE LAS PERSONERÍAS LOCALES</t>
  </si>
  <si>
    <t>JUAN PABLO CONTRERAS LIZARAZO PERSONERO DELEGADO PARA LA COORDINACIÓN DE PREVENCIÓN Y CONTROL A LA FUNCIÓN PÚBLICA
LUZ ESTELLA GARCIA PERSONERA DELEGADA PARA LA COORDINACIÓN DE LA GESTIÓN DE LAS PERSONERÍAS LOCALES</t>
  </si>
  <si>
    <t xml:space="preserve">GUSTAVO ADOLFO CASTRO CAPERA PERSONERO DELEGADO PARA LA COORDINACIÓN DE POTESTAD DSCIPLINARIA </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</si>
  <si>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</si>
  <si>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</si>
  <si>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</si>
  <si>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</si>
  <si>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</si>
  <si>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</si>
  <si>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</si>
  <si>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</si>
  <si>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</si>
  <si>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</si>
  <si>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</si>
  <si>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</si>
  <si>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</si>
  <si>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</si>
  <si>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</si>
  <si>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</si>
  <si>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</si>
  <si>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</si>
  <si>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</si>
  <si>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</si>
  <si>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</si>
  <si>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</si>
  <si>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</si>
  <si>
    <t>INFORME CONSOLIDADO INDICADORES</t>
  </si>
  <si>
    <t>Proceso</t>
  </si>
  <si>
    <t>No. de indicadores</t>
  </si>
  <si>
    <t>Porcentaje de cumplimiento</t>
  </si>
  <si>
    <t>Anual</t>
  </si>
  <si>
    <t>01 Direccionamiento Estratégico</t>
  </si>
  <si>
    <t>02 Gestión del Conocimiento e Innovación</t>
  </si>
  <si>
    <t>03 Direccionamiento TIC</t>
  </si>
  <si>
    <t>04 Comunicación Estratégica</t>
  </si>
  <si>
    <t>14 Servicio al Usuario</t>
  </si>
  <si>
    <t>N.A.</t>
  </si>
  <si>
    <t>Promedio procesos estratégicos</t>
  </si>
  <si>
    <t>05 Promoción y Defensa de Derechos</t>
  </si>
  <si>
    <t>06 Prevención y Control de la Función Pública</t>
  </si>
  <si>
    <t>07 Potestad Disciplinaria</t>
  </si>
  <si>
    <t>Promedio procesos misionales</t>
  </si>
  <si>
    <t>08 Gestión del Talento Humano</t>
  </si>
  <si>
    <t>09 Gestión Administrativa</t>
  </si>
  <si>
    <t>10 Gestión Financiera</t>
  </si>
  <si>
    <t>11 Gestión Contractual</t>
  </si>
  <si>
    <t>12 Gestión Documental</t>
  </si>
  <si>
    <t>13 Gestión Jurídica</t>
  </si>
  <si>
    <t>Promedio procesos de apoyo</t>
  </si>
  <si>
    <t>15 Control Disciplinario Interno</t>
  </si>
  <si>
    <t>16 Evaluación y Seguimiento</t>
  </si>
  <si>
    <t>Promedio procesos de evaluación, seguimiento y control</t>
  </si>
  <si>
    <t>Proceso 01 Direccionamiento Estratégico</t>
  </si>
  <si>
    <t>Nombre del indicador</t>
  </si>
  <si>
    <t>Código del Indicador</t>
  </si>
  <si>
    <t xml:space="preserve">Magnitud programada </t>
  </si>
  <si>
    <t>Ejecución Trimestre</t>
  </si>
  <si>
    <t>Ejecución Acumulada Año</t>
  </si>
  <si>
    <t>Observaciones</t>
  </si>
  <si>
    <t>Año 2019</t>
  </si>
  <si>
    <t>01-RI-02</t>
  </si>
  <si>
    <t>01-RI-09</t>
  </si>
  <si>
    <t>01-RI-10</t>
  </si>
  <si>
    <t>PROMEDIO PROCESO</t>
  </si>
  <si>
    <r>
      <t>Proceso 02 Gestión del Conocim</t>
    </r>
    <r>
      <rPr>
        <sz val="12"/>
        <color theme="1"/>
        <rFont val="Arial"/>
        <family val="2"/>
      </rPr>
      <t>iento e Innovación</t>
    </r>
  </si>
  <si>
    <t>Proceso 03 Direccionamiento TIC</t>
  </si>
  <si>
    <t>03-RI-06</t>
  </si>
  <si>
    <t>03-RI-07</t>
  </si>
  <si>
    <t>03-RI-08</t>
  </si>
  <si>
    <t>03-RI-09</t>
  </si>
  <si>
    <t>03-RI-11</t>
  </si>
  <si>
    <t>Proceso 04 Comunicación Estratégica</t>
  </si>
  <si>
    <t>04-RI-01</t>
  </si>
  <si>
    <t>04-RI-02</t>
  </si>
  <si>
    <t>04-RI-03</t>
  </si>
  <si>
    <t>Proceso 14 Servicio al Usuario</t>
  </si>
  <si>
    <t>Proceso 05 Promoción y Defensa de Derechos</t>
  </si>
  <si>
    <t>Proceso 06 Prevención y Control de la Función Pública</t>
  </si>
  <si>
    <t>06-RI-04</t>
  </si>
  <si>
    <t>06-RI-05</t>
  </si>
  <si>
    <t>06-RI-08</t>
  </si>
  <si>
    <t>06-RI-06</t>
  </si>
  <si>
    <t>06-RI-07</t>
  </si>
  <si>
    <t>Proceso 07 Potestad Disciplinaria</t>
  </si>
  <si>
    <t>07-RI-01</t>
  </si>
  <si>
    <t>07-RI-02</t>
  </si>
  <si>
    <t>07-RI-03</t>
  </si>
  <si>
    <t>07-RI-04</t>
  </si>
  <si>
    <t>Proceso 08 Gestión del Talento Humano</t>
  </si>
  <si>
    <t>08-RI-05</t>
  </si>
  <si>
    <t>08-RI-06</t>
  </si>
  <si>
    <t>08-RI-07</t>
  </si>
  <si>
    <t>08-RI-08</t>
  </si>
  <si>
    <t>08-RI-09</t>
  </si>
  <si>
    <t>08-RI-10</t>
  </si>
  <si>
    <t>08-RI-11</t>
  </si>
  <si>
    <t>08-RI-12</t>
  </si>
  <si>
    <t>08-RI-13</t>
  </si>
  <si>
    <t>08-RI-16</t>
  </si>
  <si>
    <t>Proceso 09 Gestión Administrativa</t>
  </si>
  <si>
    <t>09-RI-01</t>
  </si>
  <si>
    <t>Proceso 10 Gestión Financiera</t>
  </si>
  <si>
    <t>10-RI-01</t>
  </si>
  <si>
    <t>Proceso 11 Gestión Contractual</t>
  </si>
  <si>
    <t>Proceso 12 Gestión Documental</t>
  </si>
  <si>
    <t>12-RI-01</t>
  </si>
  <si>
    <t>Proceso 13 Gestión Jurídica</t>
  </si>
  <si>
    <t>Proceso 15 Control Disciplinario Interno</t>
  </si>
  <si>
    <t>15-RI-01</t>
  </si>
  <si>
    <t>15-RI-02</t>
  </si>
  <si>
    <t>15-RI-03</t>
  </si>
  <si>
    <t>15-RI-04</t>
  </si>
  <si>
    <t>Proceso 16 Evaluación y Seguimiento</t>
  </si>
  <si>
    <t>16-RI-01</t>
  </si>
  <si>
    <t>16-RI-02</t>
  </si>
  <si>
    <t>16-RI-04</t>
  </si>
  <si>
    <t>16-RI-05</t>
  </si>
  <si>
    <t>16-RI-06</t>
  </si>
  <si>
    <t>16-RI-07</t>
  </si>
  <si>
    <t>16-RI-08</t>
  </si>
  <si>
    <t xml:space="preserve"> PLAN OPERATIVO ANUAL 2020</t>
  </si>
  <si>
    <t>Año 2020</t>
  </si>
  <si>
    <t>ACEPTABLE (El valor equivale a %)</t>
  </si>
  <si>
    <t>Igual A:</t>
  </si>
  <si>
    <t>IDENTIFICACIÓN DEL INDICADOR</t>
  </si>
  <si>
    <t>NOMBRE DEL INDICADOR</t>
  </si>
  <si>
    <t>No</t>
  </si>
  <si>
    <t>RANGOS DE CUMPLIMIENTO</t>
  </si>
  <si>
    <t>TIPO DE INDICADOR</t>
  </si>
  <si>
    <t>PROCESO</t>
  </si>
  <si>
    <t>05-RI-05</t>
  </si>
  <si>
    <t>Tipología de proceso</t>
  </si>
  <si>
    <t>Instrumento de planeación</t>
  </si>
  <si>
    <t>Tipología de indicador</t>
  </si>
  <si>
    <t>Vigencia</t>
  </si>
  <si>
    <t>Tendencia del Indicador</t>
  </si>
  <si>
    <t>Estratégico</t>
  </si>
  <si>
    <t>Plan Operativo Anual POA por procesos (SGC)</t>
  </si>
  <si>
    <t>Eficacia</t>
  </si>
  <si>
    <t>Creciente</t>
  </si>
  <si>
    <t>Menor A:</t>
  </si>
  <si>
    <t>Plan Estratégico Institucional PEI</t>
  </si>
  <si>
    <t>Eficiencia</t>
  </si>
  <si>
    <t>Cuatrienal</t>
  </si>
  <si>
    <t>Decreciente</t>
  </si>
  <si>
    <t>No Aplica</t>
  </si>
  <si>
    <t>Productos, Metas y Resultados PMR</t>
  </si>
  <si>
    <t>Efectividad</t>
  </si>
  <si>
    <t>Permanente</t>
  </si>
  <si>
    <t>Proyecto de inversión</t>
  </si>
  <si>
    <t>Misional</t>
  </si>
  <si>
    <t>Sistema de Gestión de Seguridad y Salud en el Trabajo</t>
  </si>
  <si>
    <t>Mayor A:</t>
  </si>
  <si>
    <t>06 Prevención y Control a la Función Pública</t>
  </si>
  <si>
    <t>Sistema de Gestión de Seguridad de la Información</t>
  </si>
  <si>
    <t>Sistema de Gestión Ambiental</t>
  </si>
  <si>
    <t>De apoyo</t>
  </si>
  <si>
    <t>Modelo Integrado de Planeación y Gestión</t>
  </si>
  <si>
    <t>De evaluación, seguimiento y control</t>
  </si>
  <si>
    <t>05-RI-06</t>
  </si>
  <si>
    <t>rangos</t>
  </si>
  <si>
    <t>Mayor o igual A:</t>
  </si>
  <si>
    <t>Menor o igual A:</t>
  </si>
  <si>
    <t>1. Validar el cumplimiento de requisitos frente a la NTC ISO 9001:2015 partiendo del plan de implementación 2019
2. Elaborar el Plan de Acción del SGC para la sostenibilidad y mejora.
3. Ejecutar el Plan de Acción del SGC para la sostenibilidad y mejora.
4. Hacer seguimiento a la ejecución del Plan.
5. Generar informe de avance en la ejecución del plan.</t>
  </si>
  <si>
    <t>JOSÉ HUGO TORRES HERNÁNDEZ
SUBDIRECTOR DE PRESUPUESTO, CONTABILIDAD Y TESORERÍA</t>
  </si>
  <si>
    <t>01-RI-01</t>
  </si>
  <si>
    <t>02-RI-02</t>
  </si>
  <si>
    <t>01-RI-03</t>
  </si>
  <si>
    <t>01-RI-08</t>
  </si>
  <si>
    <t>02-RI-01</t>
  </si>
  <si>
    <t>02-RI-03</t>
  </si>
  <si>
    <t>03-RI-10</t>
  </si>
  <si>
    <t>04-RI-04</t>
  </si>
  <si>
    <t>04-RI-05</t>
  </si>
  <si>
    <t>05-RI-08</t>
  </si>
  <si>
    <t>05-RI-10</t>
  </si>
  <si>
    <t>05-RI-12</t>
  </si>
  <si>
    <t>05-RI-13</t>
  </si>
  <si>
    <t>05-RI-14</t>
  </si>
  <si>
    <t>05-RI-15</t>
  </si>
  <si>
    <t>05-RI-16</t>
  </si>
  <si>
    <t>05-RI-09MP</t>
  </si>
  <si>
    <t>05-RI-09L</t>
  </si>
  <si>
    <t>05-RI-07MP</t>
  </si>
  <si>
    <t>05-RI-17</t>
  </si>
  <si>
    <t>05-RI-27</t>
  </si>
  <si>
    <t>05-RI-28</t>
  </si>
  <si>
    <t>05-RI-29</t>
  </si>
  <si>
    <t>05-RI-30</t>
  </si>
  <si>
    <t>05-RI-31</t>
  </si>
  <si>
    <t>05-RI-32</t>
  </si>
  <si>
    <t>05-RI-07PC</t>
  </si>
  <si>
    <t>05-RI-09PC</t>
  </si>
  <si>
    <t>06-RI-02</t>
  </si>
  <si>
    <t>08-RI-03</t>
  </si>
  <si>
    <t>08-RI-14</t>
  </si>
  <si>
    <t>08-RI-17</t>
  </si>
  <si>
    <t>09-RI-02</t>
  </si>
  <si>
    <t>09-RI-03</t>
  </si>
  <si>
    <t>09-RI-04</t>
  </si>
  <si>
    <t>09-RI-05</t>
  </si>
  <si>
    <t>09-RI-06</t>
  </si>
  <si>
    <t>11-RI-01</t>
  </si>
  <si>
    <t>12-RI-02</t>
  </si>
  <si>
    <t>12-RI-03</t>
  </si>
  <si>
    <t>13-R1-01</t>
  </si>
  <si>
    <t>13-R1-02</t>
  </si>
  <si>
    <t>13-R1-03</t>
  </si>
  <si>
    <t>13-R1-04</t>
  </si>
  <si>
    <t>13-R1-05</t>
  </si>
  <si>
    <t>14-RI-01</t>
  </si>
  <si>
    <t>14-RI-02</t>
  </si>
  <si>
    <t>14-RI-03</t>
  </si>
  <si>
    <t>16-RI-03</t>
  </si>
  <si>
    <t>CONSOLIDADO DE INDICADORES SGC</t>
  </si>
  <si>
    <t>SATISFACTORIO 
(El valor equivale a %)</t>
  </si>
  <si>
    <t>INSATISFACTORIO 
(El valor equivale a %)</t>
  </si>
  <si>
    <t>SATISFACTORIO
 (El valor equivale a %)</t>
  </si>
  <si>
    <t>ACEPTABLE
 (El valor equivale a %)</t>
  </si>
  <si>
    <t>Sensibilizaciones realizadas en valores, derechos y  obligaciones</t>
  </si>
  <si>
    <t>Porcentaje de intervención oportuna en defensa judicial de la Entidad (Vinculada)</t>
  </si>
  <si>
    <t>DESEMPEÑO DE PROCESOS SGC</t>
  </si>
  <si>
    <t>No de Indicadores</t>
  </si>
  <si>
    <t>TOTAL INDICADORES POA PROCESOS -SGC</t>
  </si>
  <si>
    <t>Tipo de Indicador</t>
  </si>
  <si>
    <t>PROMEDIO POA PROCESOS-SGC ENTIDAD</t>
  </si>
  <si>
    <t>Meta anual cumplida.
De acuerdo con los rangos de cumplimiento definidos para este indicador, alcanzó el nivel satisfactorio.</t>
  </si>
  <si>
    <t>Intervenciones realizadas (impulsos realizados)</t>
  </si>
  <si>
    <t>Espacios  de transferencia  de conocimientos realizados .</t>
  </si>
  <si>
    <t>Número  de espacios  de transferencia  de conocimientos realizados .</t>
  </si>
  <si>
    <t>1. Definir  temas  a   tratar.
2. Realizar  convocatoria  a  los servidores(as) de la entidad.
3. Elaborar un informe donde se incluya un balance de los resultados productos de los  espacios.
4. Entregar  los soportes ( Fotográfico, listas de asistencias)</t>
  </si>
  <si>
    <t>Espacios  de  ideación y creación de innovación pública realizados</t>
  </si>
  <si>
    <t>Número de espacios de ideación y creación de innovación pública realizados</t>
  </si>
  <si>
    <t>Personera Delegada para la Coordinación del Ministerio Público y los Derechos Humanos
Personeros(as) Delegados(as) y Director Centro de Conciliación y Mecanismos Alternativos de Solución de Conflictos</t>
  </si>
  <si>
    <t>Personera Delegada para la  Familia y Sujetos de Especial Protección Constitucional</t>
  </si>
  <si>
    <t>Cumplimiento Anual</t>
  </si>
  <si>
    <t>21.500 requerimientos tramitados y finalizado son respuesta de fondo en defensa de los derechos</t>
  </si>
  <si>
    <t>Cinco (5) Mecanismos de prevención de peligros que enfrentan los jóvenes en temas de redes sociales, sexting, sextorsión, ciberbullying, entre otros. Registro fotográfico y listas de asistencia que evidencian la implementación del mecanismo.</t>
  </si>
  <si>
    <t xml:space="preserve">96 Informes de acción de prevención y control a la función pública realizados por cada una de las delegadas de manera oficiosa y a petición de parte 
</t>
  </si>
  <si>
    <t xml:space="preserve">46 Seguimientos realizados
</t>
  </si>
  <si>
    <t>Acumulado Corte 30/06/2020</t>
  </si>
  <si>
    <t>Este indicador esta programado de manera constante en el año con 100% de meta esperada en cada periodo, su ejecución promedio en el año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</si>
  <si>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No se programaron actividades en el periodo, se han realizado avances en el seguimiento a la política pública para víctimas del conflicto armado, sin embargo se programó su entrega total en el cuarto trimestre de 2020.</t>
  </si>
  <si>
    <t>No se programaron actividades en el periodo, se han realizado avances en el seguimiento al cumplimiento de la política pública de mujeres y equidad, sin embargo se programó su entrega total en el cuarto trimestre de 2020.</t>
  </si>
  <si>
    <t>Alcanza un cumplimiento en el trimestre y al corte del 100%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</si>
  <si>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se reprogramó, planificando su ejecución para el cuarto trimestre del año.</t>
  </si>
  <si>
    <t>El indicador se reprogramó variando su programación para el cuarto trimestre del año.</t>
  </si>
  <si>
    <t>No se programaron actividades en el periodo, están previstas para el cuarto trimestre del año.</t>
  </si>
  <si>
    <t>Este indicador esta programado de manera constante en el año con 95% de meta esperada en cada periodo.
Se evidencia una mayor ejecución promedio en el trimestre que supera la programación esperada con 5% en  la gestión de pedidos de almacén adicional con un cumplimiento del 105.3%; en este sentido, se evidencia una mayor ejecución promedio al corte del 5% en la gestión de pedidos de almacén adicional con un cumplimiento del 105.3%.
En el año alcanza un cumplimiento del 105.3%
De acuerdo con los rangos de cumplimiento definidos para este indicador, en el tercer trimestre y al corte se encuentra en el nivel satisfactorio.
Se recomienda al proceso revisar la programación del 95% constante frente al contexto interno y externo, la capacidad de respuesta que es mayor y que se evidencia con el mayor promedio de gestión de los pedidos de almacén y establecer las acciones de mejora teniendo en cuenta la tendencia en aumento  y de considerarlo reprogramar la magnitud de la meta incrementándola.</t>
  </si>
  <si>
    <t>Este indicador esta programado de manera constante en el año con 95% de meta esperada en cada periodo.
Se evidencia una mayor ejecución promedio en el trimestre que supera la programación esperada con 5% en la gestión de servicios de transporte adicional con un cumplimiento del 105.2%; en este sentido, se evidencia una mayor ejecución promedio al corte del 5% en la gestión de servicios de transporte adicional con un cumplimiento del 105.2%.
En el año alcanza un cumplimiento del 105.2%
De acuerdo con los rangos de cumplimiento definidos para este indicador, en el  trimestre y al corte se encuentra en el nivel satisfactorio.
Se recomienda al proceso revisar la programación del 95% constante frente al contexto interno y externo, la capacidad de respuesta que es mayor y que se evidencia con el mayor promedio de gestión de servicios de transporte y establecer las acciones de mejora teniendo en cuenta la tendencia en aumento  y de considerarlo reprogramar la magnitud de la meta incrementándola.</t>
  </si>
  <si>
    <t>106 acciones de promoción</t>
  </si>
  <si>
    <t>384.354 Personas sensibilizadas en derechos y deberes</t>
  </si>
  <si>
    <t>112.505 intervenciones adelantadas en el ejercicio del ministerio público en defensa de los derechos humanos</t>
  </si>
  <si>
    <t>240 Intervenciones adelantadas en el ejercicio del ministerio público en defensa de los derechos humanos</t>
  </si>
  <si>
    <t>4.256 acciones adelantadas en favor de las víctimas del conflicto armado</t>
  </si>
  <si>
    <t>84.525 requerimientos finalizados con respuesta de fondo en defensa de los derechos</t>
  </si>
  <si>
    <t>16.000 requerimientos finalizados con respuesta de fondo en defensa de los derechos</t>
  </si>
  <si>
    <t>7.460 solicitudes de  conciliación atendidas</t>
  </si>
  <si>
    <t>8.000 niños y niñas sensibilizados</t>
  </si>
  <si>
    <t>2.000 personas sensibilizadas en medio ambiente</t>
  </si>
  <si>
    <t xml:space="preserve">11 Mesas de trabajo y Audiencias Públicas realizadas.
</t>
  </si>
  <si>
    <t>Tercer Trimestre</t>
  </si>
  <si>
    <t>Acumulado Corte 30/09/2020</t>
  </si>
  <si>
    <t>Acumulada Corte
30/09/2020</t>
  </si>
  <si>
    <t>Ejecución Acumulada Corte
30/09/2020</t>
  </si>
  <si>
    <t>Fecha de corte: 30 de septiembre de 2020</t>
  </si>
  <si>
    <t>25 actividades</t>
  </si>
  <si>
    <t>Este indicador corresponde a una meta transversal. 
Alcanza un cumplimiento en el año del 65%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</si>
  <si>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corresponde a una meta transversal a todos los procesos. Se evidencia una menor ejecución con 0,8% frente a la meta esperada en el tercer trimestre con un porcentaje de cumplimiento del 101.6%. El cumplimiento acumulado al corte alcanza un 98.8%.
Alcanza un cumplimiento en el año del 64.2% sobre el total programado.
De acuerdo con los rangos de cumplimiento definidos para este indicador, en este periodo y en el corte acumulado se encuentra en el nivel satisfactorio. 
Se recomienda continuar haciendo monitoreo a indicador para poder dar cumplimiento a meta.</t>
  </si>
  <si>
    <t>Alcanza un cumplimiento en el año del 85%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</si>
  <si>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ejecutó una visita de control a la Gestión adicional frente a la meta esperada en el segundo trimestre, razón por la cual no se presenta ejecución en el tercer trimestre con un porcentaje de cumplimiento acumulado al corte alcanza el 100%.
Alcanza un cumplimiento en el año del 78.9% sobre el total programado.
De acuerdo con los rangos de cumplimiento definidos para este indicador, en este periodo y en el corte acumulado se encuentra en el nivel satisfactorio.
Se recomienda continuar haciendo monitoreo a indicador.</t>
  </si>
  <si>
    <t>No se programó ejecución en el tercer trimestre.
Este indicador alcanza un cumplimiento en el año del 50%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</si>
  <si>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menor ejecución con 12,5% menos frente a la magnitud esperada en el tercer trimestre con un porcentaje de cumplimiento del 64%. El cumplimiento acumulado al corte alcanza un 81%.
Alcanza un cumplimiento en el año del 52.5% sobre el total programado.
De acuerdo con los rangos de cumplimiento definidos para este indicador, en este periodo y en el corte acumulado se encuentra en el nivel aceptable. 
Se recomienda continuar haciendo monitoreo a indicador para poder dar cumplimiento a la meta en el último trimestre del año.</t>
  </si>
  <si>
    <t>Alcanza un cumplimiento en el año del 75%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</si>
  <si>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ejecutó un 11.5% adicional frente a la meta esperada en el tercer trimestre con un porcentaje de cumplimiento del 146%. El cumplimiento acumulado al corte alcanza un 135.6%.
Alcanza un cumplimiento en el año del 101.7% sobre el total programado.
De acuerdo con los rangos de cumplimiento definidos para este indicador, en este periodo y en el corte acumulado se encuentra en el nivel satisfactorio.
Al corte la meta se encuentra ejecutada con 1% de ejecución adicional a la programada  para el año. Se recomienda al proceso analizar este resultado para proyecciones futuras.</t>
  </si>
  <si>
    <t>Se ejecutó un 3.5% menos frente a la meta esperada en el tercer trimestre con un porcentaje de cumplimiento del 65%. En este sentido la ejecución acumulada al corte alcanza el  18.5%  y un cumplimiento acumulado al corte  que alcanza un 92.5%
Alcanza un cumplimiento en el año del 92.5% sobre el total programado.
De acuerdo con los rangos de cumplimiento definidos para este indicador, en el corte acumulado se encuentra en el nivel satisfactorio.
Se recomienda continuar haciendo monitoreo a indicador para dar cumplimiento a la meta en el periodo restante del año.</t>
  </si>
  <si>
    <t>Alcanza un cumplimiento en el año del 87.5%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</si>
  <si>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Meta anual cumplida. Se da cumplimiento con la ejecución del tercer trimestre.
De acuerdo con los rangos de cumplimiento definidos para este indicador, alcanzó el nivel satisfactorio.</t>
  </si>
  <si>
    <t>Alcanza un cumplimiento en el año del 95%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</si>
  <si>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mayor ejecución con 4 acciones de promoción frente a la meta esperada en el trimestre con un porcentaje de cumplimiento del 112.1%. En este sentido también se presenta mayor ejecución acumulada al corte con 6 acciones de promoción adicionales frente a la meta esperada y el porcentaje de cumplimiento acumulado al corte alcanza el 107%.
En el año alcanza un cumplimiento del 86.8%.
De acuerdo con los rangos de cumplimiento definidos para este indicador, en este trimestre y en el corte acumulado se encuentra en el nivel satisfactorio.
Se recomienda continuar haciendo monitoreo a indicador para dar cumplimiento a la meta en el periodo restante del año y analizar este resultado para proyecciones futuras.</t>
  </si>
  <si>
    <t>Se evidencia una mayor ejecución que supera en alto grado la programación esperada al corte con 120.508 personas sensibilizadas adicionales, equivalente al 47.2% de porcentaje adicional. 
De acuerdo con los rangos de cumplimiento definidos para este indicador, al corte   se encuentra en el nivel satisfactorio.
En el año alcanza un cumplimiento del  97.8%.
Se recomienda continuar haciendo monitoreo a indicador para dar cumplimiento a la meta en el periodo restante del año y analizar este resultado para proyecciones futuras.</t>
  </si>
  <si>
    <t>Desde el reporte efectuado por la Personería Delegada para la Coordinación del Ministerio Público y Derechos Humanos, se evidencia una mayor ejecución que supera la programación del trimestre con 5.909 intervenciones adicionales equivalente al 23.7% de porcentaje adicional de cumplimiento. En este sentido también se presenta mayor ejecución acumulada al corte con 14396 intervenciones adicionales frente a la meta esperada y el porcentaje de cumplimiento acumulado al corte alcanza el 117.4%.
En el año alcanza un cumplimiento del 86.3%.
Se recomienda continuar haciendo monitoreo a indicador para dar cumplimiento a la meta en el periodo restante del año y analizar este resultado para proyecciones futuras.</t>
  </si>
  <si>
    <t>Desde el reporte efectuado por la Personería Delegada para la Coordinación de Prevención y Control a la Función Pública, se evidencia una mayor ejecución que supera la programación del trimestre con 21 intervenciones adicionales equivalente al 35% de porcentaje adicional de cumplimiento. En este sentido también se presenta mayor ejecución acumulada al corte con 59 intervenciones adicionales frente a la meta esperada y el porcentaje de cumplimiento acumulado al corte alcanza el 133%.
En el año alcanza un cumplimiento del 99.2%.
De acuerdo con los rangos de cumplimiento definidos para este indicador, en este trimestre y en el corte acumulado se encuentra en el nivel satisfactorio.
Se recomienda continuar haciendo monitoreo a indicador para dar cumplimiento a la meta en el periodo restante del año y analizar este resultado para proyecciones futuras.</t>
  </si>
  <si>
    <t>Se evidencia ejecución de 955 acciones en favor de las víctimas en el trimestre. La ejecución acumulada al corte presenta menor ejecución con 909 acciones en favor de las víctimas menos frente al valor programado con un cumplimiento del 78.6%.
En el año alcanza un cumplimiento del 78.6% inferior al esperado.
De acuerdo con los rangos de cumplimiento definidos para este indicador, en este periodo se encuentra en el nivel insatisfactorio.
Se recomienda continuar haciendo monitoreo a indicador y generar las acciones de mejora necesarias para dar cumplimiento a la meta en el periodo restante del año y analizar este resultado para proyecciones futuras.</t>
  </si>
  <si>
    <t>Desde el reporte efectuado por la Personería Delegada para la Coordinación del Ministerio Público y Derechos Humanos, se evidencia un avance importante en la ejecución del tercer trimestre con 3580 requerimientos finalizados adicionales que le permiten acortar la diferencia al corte con un 119.4% de cumplimiento en el trimestre. En este sentido se alcanza al corte con 65.905 requerimientos finalizados con el  95.2% de cumplimiento.
En el año alcanza un cumplimiento menor al esperado con el 78%.
De acuerdo con los rangos de cumplimiento definidos para este indicador, en este trimestre y al corte se ubica en nivel satisfactorio.
Se recomienda continuar haciendo monitoreo a indicador y establecer las acciones correctivas y/o de mejora que se requieran para dar cumplimiento a la meta en el periodo restante del año y analizar este resultado para proyecciones futuras.</t>
  </si>
  <si>
    <t>Desde el reporte efectuado por la Personería Delegada para la Coordinación de Gestión de la Personerías Locales, se evidencia un avance importante en la ejecución del tercer trimestre con 1375 requerimientos finalizados adicionales que le permiten acortar la diferencia al corte con un 130.6% de cumplimiento en el trimestre. En este sentido se alcanza al corte con 17518 requerimientos finalizados con el  100.7% de cumplimiento.
En el año alcanza un cumplimiento del 81.5%.
De acuerdo con los rangos de cumplimiento definidos para este indicador, en este trimestre y al corte se ubica en nivel satisfactorio.
Se recomienda al proceso revisar la programación y establecer las acciones correctivas y/o de mejora que se requieran para dar cumplimiento a la meta en el periodo restante del año.</t>
  </si>
  <si>
    <t>Desde el reporte efectuado por la Personería Delegada para la Coordinación de Prevención y Control a la Función Pública,  se evidencia una mayor ejecución que supera la programación del trimestre con 607 requerimientos finalizados adicionales equivalente al 111,5% de porcentaje adicional de cumplimiento. En este sentido también se presenta mayor ejecución acumulada al corte con 1.250 requerimientos adicionales frente a la meta esperada y el porcentaje de cumplimiento acumulado al corte alcanza el 115.2%.
En el año alcanza un cumplimiento del 88.2%.
De acuerdo con los rangos de cumplimiento definidos para este indicador, en este trimestre y en el corte acumulado se encuentra en el nivel satisfactorio.
Se recomienda continuar haciendo monitoreo a indicador para dar cumplimiento a la meta en el periodo restante del año y analizar este resultado para proyecciones futuras.</t>
  </si>
  <si>
    <t>Este indicador esta programado de manera constante en el año con 80% de meta esperada en cada periodo, su ejecución promedio en el trimestre supera en 4.4% de tutelas con fallos a favor en relación con lo planeado y llega a 105.5% de cumplimiento. En este sentido, también se presenta mayor ejecución acumulada al corte con un promedio de 4.2% adicionales frente a la meta esperada y el porcentaje de cumplimiento acumulado al corte alcanza el 105.3%.
Alcanza un cumplimiento promedio del año del 105.4% que supera la magnitud constante programada.
De acuerdo con los rangos de cumplimiento definidos para este indicador, en este trimestre y en el corte acumulado se encuentra en el nivel satisfactorio.
Se recomienda continuar haciendo monitoreo a indicador para dar cumplimiento a la meta en el periodo restante del año y analizar este resultado para proyecciones futuras.</t>
  </si>
  <si>
    <t>Se evidencia una ejecución con 604 decisiones de fondo y archivo verificadas menos frente  a la meta esperada en el trimestre con un porcentaje de cumplimiento del 89.9%, en este sentido al corte acumulado se evidencia una ejecución con 3.746 decisiones de fondo y archivo verificadas menos con un porcentaje de cumplimiento  del 76.6%.
En el año alcanza un cumplimiento del 61.3% menor al esperado.
De acuerdo con los rangos de cumplimiento definidos para este indicador, en este trimestre y al corte acumulado se ubica en nivel aceptable.
Se recomienda continuar haciendo monitoreo a indicador y establecer las acciones correctivas y/o de mejora que se requieran para dar cumplimiento a la meta en el periodo restante del año y analizar este resultado para proyecciones futuras.</t>
  </si>
  <si>
    <t>Se evidencia una ejecución con 3 espacios de transferencia adicionales  frente a la meta que le permiten acortar la diferencia al corte acumulado  con 17 espacios y un 175% de cumplimiento en el trimestre y 89.5% al corte. 
En el año alcanza un cumplimiento menor al esperado con el 85%.
De acuerdo con los rangos de cumplimiento definidos para este indicador, en este trimestre se ubica en nivel satisfactorio y al corte acumulado se ubica en nivel aceptable.
Se recomienda continuar haciendo monitoreo a indicador y establecer las acciones correctivas y/o de mejora que se requieran para dar cumplimiento a la meta en el periodo restante del año y analizar este resultado para proyecciones futuras.</t>
  </si>
  <si>
    <t>Se evidencia una mayor ejecución que supera en alto grado la programación del trimestre con 1.484 personas sensibilizadas adicionales equivalente al 138.5% de porcentaje adicional de cumplimiento. En este sentido también se presenta mayor ejecución acumulada al corte con 3074 personas sensibilizadas adicionales frente a la meta esperada y el porcentaje de cumplimiento acumulado al corte alcanza el 146.6%.
En el año alcanza un cumplimiento del 120.9%.
De acuerdo con los rangos de cumplimiento definidos para este indicador, en este trimestre  y en el corte acumulado se encuentra en el nivel satisfactorio.
Al corte la meta se encuentra cumplida.
Se recomienda al proceso tomar como línea base este resultado para proyecciones futuras.</t>
  </si>
  <si>
    <t>Se evidencia una mayor ejecución que supera la programación del trimestre con 169 personas sensibilizadas adicionales equivalente al 117% de porcentaje adicional de cumplimiento. En este sentido también se presenta mayor ejecución acumulada al corte con 343personas sensibilizadas adicionales frente a la meta esperada y el porcentaje de cumplimiento acumulado al corte alcanza el 122.1%.
En el año alcanza un cumplimiento del 94.7%.
De acuerdo con los rangos de cumplimiento definidos para este indicador, en este trimestre y en el corte acumulado se encuentra en el nivel satisfactorio.
Al corte la meta se encuentra cumplida.
Se recomienda al proceso tomar como línea base este resultado para proyecciones futuras.</t>
  </si>
  <si>
    <t>Se evidencia una menor ejecución con menos 168 tutelas elaboradas frente a la meta esperada en el trimestre con un porcentaje de cumplimiento del 44%, en este sentido al corte se evidencia una menor ejecución con menos 328 tutelas elaboradas con un porcentaje de cumplimiento  del 59%.
En el año alcanza un cumplimiento del 47.2% menor al esperado.
De acuerdo con los rangos de cumplimiento definidos para este indicador, en este trimestre y al corte se encuentra en el nivel insatisfactorio.
Se recomienda al proceso revisar la programación frente al contexto interno y externo y la tendencia a la baja y establecer las acciones correctivas y/o de mejora que se requieran para dar cumplimiento a la meta en el periodo restante del año.</t>
  </si>
  <si>
    <t>Se evidencia una mayor ejecución con 507 intervenciones realizadas (impulsos) frente a la meta esperada en el trimestre con un porcentaje de cumplimiento del 142.3%, lo que contribuye a disminuir la brecha frente a la programación al corte acumulado, en este sentido al corte acumulado se evidencia una menor ejecución con menos 926 intervenciones realizadas (impulsos) con un porcentaje de cumplimiento  del 78.5%.
En el año alcanza un cumplimiento del 67.5% menor al esperado.
De acuerdo con los rangos de cumplimiento definidos para este indicador, en este trimestre se ubica en el nivel satisfactorio y al corte se encuentra en el nivel aceptable.
Se recomienda al proceso revisar la programación frente al contexto interno y externo y la tendencia y establecer las acciones correctivas y/o de mejora que se requieran para dar cumplimiento a la meta en el periodo restante del año.</t>
  </si>
  <si>
    <t>Se observa ejecución trimestral y al corte acumulado conforme con la programación esperada con 8 audiencias y mesas de trabajo al 100% de cumplimiento.
En el año alcanza un cumplimiento del 73%.
De acuerdo con los rangos de cumplimiento definidos para este indicador al corte se ubica en el nivel satisfactorio.
Se recomienda al proceso continuar haciendo monitoreo a indicador y establecer las acciones de mejora que se requieran para dar cumplimiento a la meta en el periodo restante del año.</t>
  </si>
  <si>
    <t>Se observa ejecución trimestral acorde a la programación, no obstante en el corte acumulado se evidencia una menor ejecución que la esperada con menos 5 acciones de prevención y control a la función pública equivalente al 93% de cumplimiento al corte.
En el año alcanza un cumplimiento del 70% menor al esperado.
De acuerdo con los rangos de cumplimiento definidos para este indicador, en el trimestre y al corte se ubica en el nivel satisfactorio.
Se recomienda al proceso continuar haciendo monitoreo a indicador y establecer las acciones de mejora que se requieran para dar cumplimiento a la meta en el periodo restante del año.</t>
  </si>
  <si>
    <t>Se evidencia una menor ejecución en el trimestre que la esperada con menos 28 contratos revisados de oficio equivalente al 88% de cumplimiento; al corte se evidencia una ejecución menor con menos 88 contratos revisados de oficio equivalente al 86% de cumplimiento. 
En el año alcanza un cumplimiento del 67% menor al esperado.
De acuerdo con los rangos de cumplimiento definidos para este indicador, en trimestre y al corte este se ubica en el nivel aceptable.
Se recomienda al proceso continuar haciendo monitoreo a indicador y establecer las acciones de mejora que se requieran para dar cumplimiento a la meta en el periodo restante del año.</t>
  </si>
  <si>
    <t>No se programó el semestre, sin embargo al corte se avanzó en 1 citación a audiencias emitidas, alcanzando un porcentaje de cumplimiento en el año del 20%.
La ejecución de la meta está prevista para el cuarto trimestre.
Se recomienda al proceso revisar la programación frente al contexto interno y externo y establecer las acciones de mejora necesarias para dar cumplimiento a la meta.
Se recomienda al proceso continuar haciendo monitoreo a indicador y establecer las acciones de mejora que se requieran para dar cumplimiento a la meta en el periodo restante del año.</t>
  </si>
  <si>
    <t>No se programó el semestre. La ejecución de la meta está prevista para el cuarto trimestre.
Se recomienda al proceso continuar haciendo monitoreo a indicador y establecer las acciones de mejora que se requieran para dar cumplimiento a la meta en el periodo restante del año.</t>
  </si>
  <si>
    <t>Este indicador esta programado de manera constante en el año con 90% de meta esperada en cada periodo.
En el trimestre se evidencia un promedio de ejecución mayor que el esperado con 96.1% de incapacidades gestionadas equivalente al 107.3% de cumplimiento. 
En el corte acumulado se evidencia un promedio menor que el esperado con 1.5% menos incapacidades gestionadas que el promedio programado con un 98.3% de cumplimiento; no obstante se resalta el avance progresivo para lograr alcanzar la meta. 
En el año alcanza un cumplimiento del 98.4%
De acuerdo con los rangos de cumplimiento definidos para este indicador, en el trimestre y al corte le permite estar en el nivel satisfactorio.  
Se recomienda continuar haciendo monitoreo a indicador para establecer las acciones correctivas y/o de mejora pertinentes que le permitan dar cumplimiento a la meta en el periodo restante del año.</t>
  </si>
  <si>
    <t>Este indicador fue reprogramado a partir del mes de julio y con una magnitud promedio del año de 82%.
Se evidencia una ejecución superior a la esperada con 2% mas de las historias laborales actualizadas equivalente al 103.3% de cumplimiento en el trimestre.
En el corte acumulado se evidencia un promedio menor que el esperado con 8% menos historias laborales actualizadas que el promedio programado con un 90.4% de cumplimiento; no obstante se resalta el avance progresivo para lograr alcanzar la meta. 
En el año alcanza un cumplimiento del 94.8% .
De acuerdo con los rangos de cumplimiento definidos para este indicador, en el trimestre y al acumulado al corte le permite estar en el nivel satisfactorio.
Se recomienda continuar haciendo monitoreo a indicador para establecer las acciones correctivas y/o de mejora pertinentes que le permitan dar cumplimiento a la meta en el periodo restante del año.</t>
  </si>
  <si>
    <t>Este indicador fue reprogramado incrementando su magnitud promedio a partir del mes de abril  de manera constante en 80% de meta esperada en cada periodo con un a magnitud promedio anual del 77.5%. 
Se evidencia una ejecución mayor a la programación esperada en el trimestre con 16% adicional y un porcentaje de cumplimiento del 120.1%. Al corte acumulado se evidencia una ejecución mayor con el 13%  de trámites gestionados en forma oportuna adicionales a lo programado con un cumplimiento del 116.8%
De acuerdo con los rangos de cumplimiento definidos para este indicador, al trimestre y al corte se encuentra en el nivel satisfactorio.
Se recomienda al proceso tomar como línea base este resultado para proyecciones futuras.</t>
  </si>
  <si>
    <t>En el trimestre se evidencia una ejecución menor a la programada con un 15% menos y con un cumplimiento del 50%, sin embargo; en razón a la sobre ejecución que se realizó en el primer trimestre al corte se evidencia una ejecución mayor  frente a lo programado con 7%  adicional de actividades adelantadas y un cumplimiento del 110%.
En el año alcanza un cumplimiento del 77%.
Se recomienda al proceso continuar haciendo monitoreo a indicador y establecer las acciones de mejora que se requieran para dar cumplimiento a la meta en el periodo restante del año.</t>
  </si>
  <si>
    <t>En el trimestre se evidencia una ejecución menor a la esperada en 11% menos de avance frente a la programada y un cumplimiento del 59.3%; sin embargo, en razón a la sobre ejecución que se realizó en el primer trimestre al corte se evidencia una ejecución mayor con 6% de avance adicional y un cumplimiento del 109%.
En el año alcanza un cumplimiento del 73%.
Se recomienda al proceso continuar haciendo monitoreo a indicador y establecer las acciones de mejora que se requieran para dar cumplimiento a la meta en el periodo restante del año.</t>
  </si>
  <si>
    <t>En el trimestre se evidencia una ejecución menor a la esperada en 16% menos de avance frente a la programada y un cumplimiento del 33.3%; sin embargo, en razón a la sobre ejecución que se realizó en el primer trimestre al corte se evidencia una ejecución mayor a lo programado con 6% de avance adicional y un cumplimiento del 155%.
En el año alcanza un cumplimiento del 109.4%.
Se recomienda al proceso continuar haciendo monitoreo a indicador y establecer las acciones de mejora que se requieran para dar cumplimiento a la meta en el periodo restante del año.</t>
  </si>
  <si>
    <t>En el trimestre se evidencia una ejecución menor a la esperada en 20% menos de avance frente a la programada y un cumplimiento del 28.6%; no obstante la sobre ejecución que se realizó en el primer trimestre al corte se evidencia una ejecución menor frente a lo programado con 1% menos  y un cumplimiento del 98.5%.
En el año alcanza un cumplimiento del 67%.
Se recomienda al proceso continuar haciendo monitoreo a indicador y establecer las acciones de mejora que se requieran para dar cumplimiento a la meta en el periodo restante del año.</t>
  </si>
  <si>
    <t>En trimestre se evidencia ejecución mayor a la programada con 7 dependencias adicionales; sin embargo al corte acumulado se evidencia una ejecución acorde con 29 dependencias y  100% de cumplimiento al corte. La programación restante esta prevista para el cuarto trimestre.
En el año alcanza un cumplimiento del 90.6%
De acuerdo con los rangos de cumplimiento definidos para este indicador, al corte ubica en el nivel insatisfactorio.
Se recomienda al proceso continuar haciendo monitoreo a indicador y establecer las acciones de mejora que se requieran para dar cumplimiento a la meta en el periodo restante del año.</t>
  </si>
  <si>
    <t>Este indicador esta programado de manera constante en el año con 90% de meta esperada en cada periodo.
En el trimestre se evidencia un promedio de ejecución mayor que el esperado con 2% de novedades de nómina gestionadas adicionales equivalente al 102.4% de cumplimiento. En este sentido, en el corte se evidencia un promedio mayor que el esperado con 8% de novedades de nómina gestionadas adicionales que el promedio programado y un 108.6% de cumplimiento.
En el año alcanza un cumplimiento del 108.6%
De acuerdo con los rangos de cumplimiento definidos para este indicador, en el trimestre y al corte se ubican en el nivel satisfactorio.  
Se recomienda al proceso tomar como línea base este resultado para proyecciones futuras.</t>
  </si>
  <si>
    <t>Este indicador fue reprogramado a partir del mes de julio y con una magnitud promedio del año de 91%.
Se evidencia una mayor ejecución promedio en el trimestre que supera la programación esperada con 5% en la gestión de servicios de mantenimiento adicional con un cumplimiento del 105.3%; en este sentido, se evidencia una mayor ejecución acumulada promedio al corte del 7% en la gestión de servicios de mantenimiento adicional con un cumplimiento del 108.1%.
En el año alcanza un cumplimiento del 106.5%
De acuerdo con los rangos de cumplimiento definidos para este indicador, en el tercer trimestre y al corte acumulado se encuentra en el nivel satisfactorio.
Se recomienda al proceso tomar como línea base este resultado para proyecciones futuras.</t>
  </si>
  <si>
    <t>Este indicador esta programado de manera constante en el año con 95% de meta esperada en cada periodo.
Se evidencia una mayor ejecución promedio en el trimestre que supera la programación esperada con 5% en la gestión de servicios de aseo y cafetería adicional con un cumplimiento del 105.3%; en este sentido, se evidencia una mayor ejecución promedio al corte del 5% en la gestión de servicios de aseo y cafetería adicional con un cumplimiento del 105.3%.
En el año alcanza un cumplimiento del 105.3%
De acuerdo con los rangos de cumplimiento definidos para este indicador, en el tercer trimestre y al corte se encuentra en el nivel satisfactorio.
Se recomienda al proceso tomar como línea base este resultado para proyecciones futuras.</t>
  </si>
  <si>
    <t>Este indicador fue reprogramado a partir del mes de julio y con una magnitud promedio del año de 90%.
En el trimestre se evidencia un promedio de ejecución mayor que el esperado con 82% de cumplimiento del plan PESV equivalente al 196% de cumplimiento. En este sentido, en el corte se evidencia un promedio mayor que el esperado con 11% de  cumplimiento del plan PESV menos que el promedio programado con un 112.2% de cumplimiento.
En el año alcanza un cumplimiento del 114.2%
De acuerdo con los rangos de cumplimiento definidos para este indicador, en el trimestre y al corte se ubican en el nivel satisfactorio.  
Se recomienda al proceso tomar como línea base este resultado para proyecciones futuras.</t>
  </si>
  <si>
    <t>Este indicador esta programado de manera constante en el año con 95% de meta esperada en cada periodo.
En el trimestre se evidencia un promedio de ejecución mayor que el esperado con 77% de cumplimiento de actividades de ejecución de contratos equivalente al 181.3% de cumplimiento. En este sentido, en el corte se evidencia un promedio mayor al esperado con 23% de cumplimiento de actividades de ejecución de contratos menos que el promedio programado con un 124% de cumplimiento.
En el año alcanza un promedio de cumplimiento del 124%
De acuerdo con los rangos de cumplimiento definidos para este indicador, en el trimestre y al corte acumulado se ubica en el nivel satisfactorio.  
Se recomienda al proceso tomar como línea base este resultado para proyecciones futuras.</t>
  </si>
  <si>
    <t>Este indicador esta programado de manera constante en el año con100% de meta esperada en cada periodo.
Se evidencia una menor ejecución promedio en el trimestre frente a la programación esperada con 1.3% menos del porcentaje de pagos efectuados en el mes y un cumplimiento del 98.7%; en este sentido, se evidencia una menor ejecución promedio al corte del 1% menos del porcentaje de pagos efectuados en el mes y un cumplimiento del 99%.
En el año alcanza un cumplimiento del 99%
De acuerdo con los rangos de cumplimiento definidos para este indicador, en el  trimestre y al corte cumulado se encuentra en el nivel satisfactorio.
Se recomienda revisar los resultados del periodo frente al contexto interno y externo, la capacidad de respuesta y establecer las acciones de mejora que le permitan dar cumplimiento a la meta en el periodo restante del año.</t>
  </si>
  <si>
    <t>Se evidencia una ejecución muy  cercana a la esperada con un 0.1% adicional de ejecución del PAA (gastos generales) equivalente al 99.9% de cumplimiento al corte.
En el año alcanza un cumplimiento del 89.4%
De acuerdo con los rangos de cumplimiento definidos para este indicador, en este trimestre y al corte se ubica en el nivel satisfactorio.
Se recomienda continuar haciendo monitoreo al indicador que garantice el cumplimiento de la meta en el periodo restante del año.</t>
  </si>
  <si>
    <t>En razón a las medidas establecidas en la Entidad a acusa de la pandemia originada en el Covid-19, la magnitud del indicador fue reprogramada a partir de julio así como el promedio anual. 
En el trimestre se evidencia ejecución del 1.6%  que aporta al cumplimiento de la magnitud promedio anual.
El acumulado al corte evidencia una menor ejecución relacionada directamente con la no ejecución del segundo trimestre y al pequeño avance del tercer trimestre equivalente al 72.5% de cumplimiento.
En el año alcanza un cumplimiento del 96.6%
De acuerdo con los rangos de cumplimiento definidos para este indicador, al corte acumulado se encuentra en el nivel insatisfactorio.
Se recomienda continuar haciendo monitoreo al indicador y generar las acciones de mejora necesarias que garanticen el cumplimiento de la meta en el periodo restante del año.</t>
  </si>
  <si>
    <t>Se evidencia una ejecución acorde con 8 instrumentos archivísticos  frente a la meta esperada en el trimestre con un porcentaje de cumplimiento del 100%, , aunque aporta a la magnitud del año, al corte acumulado se evidencia una menor ejecución de  4 instrumentos archivísticos menos que permite alcanzar un porcentaje de cumplimiento del 81.8%.
En el año alcanza un cumplimiento del 72% menor al esperado.
De acuerdo con los rangos de cumplimiento definidos para este indicador, en este trimestre logra el nivel satisfactorio y al corte acumulado se encuentra en el nivel aceptable.
Se recomienda continuar haciendo monitoreo al indicador y generar las acciones de mejora necesarias que garanticen el cumplimiento de la meta en el periodo restante del año.</t>
  </si>
  <si>
    <t>Se evidencia una mayor ejecución que supera en alto grado la programación esperada al corte con 24 fallos proferidos adicionales equivalente al 400% de porcentaje de cumplimiento.
En el año alcanza un cumplimiento del 64%.
De acuerdo con los rangos de cumplimiento definidos para este indicador al corte se encuentra en el nivel satisfactorio.
Se recomienda al proceso continuar haciendo monitoreo al indicador y establecer las acciones de mejora que se requieran para dar cumplimiento a la meta en el periodo restante del año.</t>
  </si>
  <si>
    <t>Este indicador se reprogramó, variando su distribución en el cuarto trimestre del año y disminuyendo su magnitud a 115 decisiones de fondo.
A la  fecha de corte se presenta un resultado acumulado de 27 decisiones de fondo con un cumplimiento del 100%.
En el año alcanza un cumplimiento del 23.5%
De acuerdo con los rangos de cumplimiento definidos para este indicador, en el corte se encuentra en el nivel satisfactorio.
Se recomienda continuar haciendo monitoreo al indicador y generar las acciones de mejora necesarias que garanticen el cumplimiento de la meta en el periodo restante del año.</t>
  </si>
  <si>
    <t>Desempeño 
Promedio 
Año 2020</t>
  </si>
  <si>
    <t>Componentes de la Política del SGC</t>
  </si>
  <si>
    <t>Objetivo Estratégico y de Calidad</t>
  </si>
  <si>
    <t>Estamos comprometidos y comprometidas con la defensa, protección y promoción efectiva e integral de los derechos de las personas del Distrito Capital</t>
  </si>
  <si>
    <t>1. Promover los Derechos de las personas, mediante acciones dirigidas a prevenir su vulneración, y apoyar el fortalecimiento de una Cultura de Paz en el Distrito Capital.</t>
  </si>
  <si>
    <t>2. Promover el respeto y vigilar el cumplimiento de los Derechos de las Mujeres, desde una perspectiva de Equidad de Género.</t>
  </si>
  <si>
    <t>3. Adelantar el control a la Función Pública y a los servicios a cargo del Distrito Capital, en temas de impacto e interés para la Ciudad.</t>
  </si>
  <si>
    <t>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t>
  </si>
  <si>
    <t xml:space="preserve"> Incorporado al ejercicio de nuestras funciones criterios de calidad, eficiencia, eficacia y efectividad, fortaleciendo nuestras competencias y capacidades, tanto individuales como institucionales y modernizándolos permanentemente para reducir los riesgos en la prestación de nuestros servicios.</t>
  </si>
  <si>
    <t>7. Diseñar, implementar y consolidar las tecnologías de la información y las comunicaciones (TIC) para una gestión institucional eficiente y eficaz.</t>
  </si>
  <si>
    <t>8. Modernizar la Organización y la gestión institucional para garantizar condiciones óptimas en el ejercicio de las funciones públicas.</t>
  </si>
  <si>
    <t>10. Diseñar e implementar una gestión del Talento Humano destinada a elevar el nivel de formación, competencias, sentido de pertenencia y crecimiento personal de los (las) servidores(as) públicos(as) de la Entidad.</t>
  </si>
  <si>
    <t>Proceso 
(Contribuye)</t>
  </si>
  <si>
    <t>09 Gestión Administrativa
10 Gestión Financiera
11 Gestión Contractual
12 Gestión Documental</t>
  </si>
  <si>
    <t>Trabajamos al servicio de la ciudad y de las partes interesadas incorporando al ejercicio de nuestras funciones criterios de calidad, eficiencia, eficacia y efectividad.</t>
  </si>
  <si>
    <t>Directriz</t>
  </si>
  <si>
    <t>5. Fortalecer la gestión de las personerías locales para prestar un servicio efectivo, de acuerdo con las necesidades y peticiones de las personas.</t>
  </si>
  <si>
    <t>11. Implementar una estrategia de lucha contra la corrupción mediante la sensibilización de los(as) funcionarios(as), la participación ciudadana, el acceso a la información pública y la rendición de cuentas.</t>
  </si>
  <si>
    <t>14 Servicio al Usuario
05 Promoción y Defensa de Derechos
06 Prevención y Control de la Función Pública
04 Comunicación Estratégica</t>
  </si>
  <si>
    <t>Todos los procesos</t>
  </si>
  <si>
    <t>Con la prestación de nuestros servicios en el marco de una cultura de calidad, buen servicio y mejora continua</t>
  </si>
  <si>
    <t>6. Promover la cooperación nacional e internacional con el fin de fortalecer y consolidar el liderazgo de la Personería de Bogotá, D.C., en el ejercicio de las funciones públicas a su cargo.</t>
  </si>
  <si>
    <t>9. Promover una Cultura de Calidad, Buen Servicio y Mejora Continua de los procesos institucionales, en el marco de los estándares internacionales y la normatividad vigente.</t>
  </si>
  <si>
    <t>Cumplimiento de requisitos</t>
  </si>
  <si>
    <t>Uso eficiente de recursos</t>
  </si>
  <si>
    <t>Satisfacción del Cliente</t>
  </si>
  <si>
    <t>Mejora Continua</t>
  </si>
  <si>
    <t>CONTRIBUCIÓN DE LOS PROCESOS AL CUMPLIMIENTO DE LA POLÍTICA  DEL SISTEMA DE GESTIÓN DE LA CALIDAD</t>
  </si>
  <si>
    <t>13/12/2019
Actualización: 05/03/2020
Actualización:11/05/2020
Actualización: 13/09/2020</t>
  </si>
  <si>
    <t>13/12/2019
Actualización:11/05/2020
Actualización: 13/09/2020</t>
  </si>
  <si>
    <t>13/12/2019
Actualización: 11/05/2020</t>
  </si>
  <si>
    <t>13/12/2019
Actualización: 13/09/2020</t>
  </si>
  <si>
    <t>13/12/2019
Actualización: 16/03/2020
Actualización:11/05/2020</t>
  </si>
  <si>
    <t xml:space="preserve">13/12/2019
Actualización: 05/03/2020
Actualización:11/05/2020
Actualización:12/08/2020
Actualización: 13/09/2020
</t>
  </si>
  <si>
    <t>Este indicador tiene programada magnitud total en el año de 2 espacios de ideación con uno en el tercer trimestre, sin embargo se observa ejecución de 5 espacios en el trimestre lo que hace que se presente ejecución del 500% en el periodo y del 250% en el año superando la magnitud programada con 3 espacios de ideación. Se recomienda al proceso tomar como línea base este resultado para proyecciones futuras.</t>
  </si>
  <si>
    <t>Este indicador se reprogramó a partir del mes de abril por parte del proceso, disminuyendo un 5% frente a lo inicialmente programado dejando la magnitud en 90% de manera constante en el año.
Para el tercer trimestre alcanza una ejecución del 90.7% con un porcentaje de cumplimiento del 100,8%. En este sentido acumulado al corte alcanza una ejecución del 92,9% con un porcentaje de cumplimiento del 101.4%.
Alcanza un promedio acumulado en el año del 93% con cumplimiento promedio 101.9% que supera la magnitud constante programada.
De acuerdo con los rangos de cumplimiento definidos para este indicador, se encuentra en el nivel satisfactorio.
Se recomienda al proceso analizar este resultado para proyecciones futuras.</t>
  </si>
  <si>
    <t>Este indicador se reprogramó a partir del mes de abril por parte del proceso, disminuyendo un 5% frente a lo inicialmente programado dejando la magnitud en 90% de manera constante en el año; sin embargo se mantiene la tendencia de lo corrido del año en donde se evidencia una ejecución mayor a la programad en el tercer trimestre que supera en 6.2%, con un porcentaje de cumplimiento del 106,9% y al corte una ejecución superando en 4.3% la magnitud programada con un porcentaje de cumplimiento del 102.9%.
Alcanza un cumplimiento promedio del año del 105.4%.
De acuerdo con los rangos de cumplimiento definidos para este indicador, se encuentra en el nivel satisfactorio.
Sin embargo, se recomienda al proceso revisar la programación de la magnitud constante de la meta mensual frente análisis de datos en factores como el de la capacidad instalada en el proceso y los tiempos de los acuerdos de nivel de servicio y analizar este resultado para proyecciones futuras de tal manera que permitan planificar de manera adecuada la meta en proyecciones futuras teniendo en cuenta la tendencia creciente del indicador que se presentaba desde el primer trimestre.</t>
  </si>
  <si>
    <t>Se evidencia una ejecución de 642 solicitudes de conciliación atendidas en el tercer trimestre. La ejecución acumulada presenta un déficit  de 3.821 solicitudes de conciliación atendidas y 48.8% de cumplimiento.
En el año alcanza un cumplimiento muy inferior al esperado con el 48.8%.
De acuerdo con los rangos de cumplimiento definidos para este indicador, en este trimestre y al corte se ubica en el nivel insatisfactorio.
Se recomienda al proceso revisar la programación frente al contexto interno y externo y establecer las acciones correctivas y/o de mejora que le permitan dar cumplimiento a la meta en el periodo restante del año.</t>
  </si>
  <si>
    <t>No se cumplió la programación de la meta en el primer trimestre, en el segundo trimestre no se programó ejecución y tampoco se avanzó en subsanar el incumplimiento del periodo anterior.
De acuerdo con los rangos de cumplimiento definidos para este indicador, al corte se ubica en el nivel insatisfactorio.
Se recomienda al proceso establecer de manera urgente las acciones correctivas y/o de mejora que le permitan dar cumplimiento a la meta en el periodo restante del año.</t>
  </si>
  <si>
    <t>Se evidencia en este trimestre una mayor ejecución con 477asistencia a audiencias públicas frente a la meta esperada en el trimestre con un porcentaje de cumplimiento del 128.9%, lo que le permite restar la diferencia con la magnitud programada al corte, en este sentido al corte se evidencia un porcentaje de cumplimiento  del 90.9%.
En el año alcanza un cumplimiento del 72.7% menor al esperado.
De acuerdo con los rangos de cumplimiento definidos para este indicador, en este trimestre y al corte acumulado se ubica en nivel satisfactorio.
Se recomienda continuar haciendo monitoreo a indicador y establecer las acciones correctivas y/o de mejora que se requieran para dar cumplimiento a la meta en el periodo restante del año y analizar este resultado para proyecciones futuras.</t>
  </si>
  <si>
    <t>Al corte acumulado se presenta mayor ejecución con 4 actividades adicionales realizadas para fortalecer y promover la participación ciudadana adicionales frente a la meta esperada y el porcentaje de cumplimiento acumulado al corte alcanza el 110%.
En el año alcanza un cumplimiento del 110%.
De acuerdo con los rangos de cumplimiento definidos para este indicador, en este trimestre y en el corte acumulado se encuentra en el nivel satisfactorio.
Al corte la meta se encuentra cumplida.
Se recomienda al proceso tomar como línea base este resultado para proyecciones futuras.</t>
  </si>
  <si>
    <t>Se evidencia una mayor ejecución que la esperada con 6 seguimientos mas equivalente al 167% de cumplimiento en el periodo, este resultado contribuye a la disminución de la diferencia frente a la programación al corte acumulado, en este sentido al corte se evidencia una ejecución con menos 1 seguimiento equivalente al 97% de cumplimiento al corte.
En el año alcanza un cumplimiento del 70% menor al esperado .
De acuerdo con los rangos de cumplimiento definidos para este indicador, en el trimestre y al corte se ubica en el nivel satisfactorio.
Se recomienda al proceso continuar haciendo monitoreo a indicador y establecer las acciones de mejora que se requieran para dar cumplimiento a la meta en el periodo restante del año.</t>
  </si>
  <si>
    <t>Se evidencia una mayor ejecución que la esperada con 3 seguimientos mas equivalente al 115% de cumplimiento en el periodo, este resultado contribuye a la disminución de la diferencia frente a la programación al corte acumulado, en este sentido al corte se evidencia una ejecución con menos 4 seguimientos equivalente al 90% de cumplimiento al corte.
En el año alcanza un cumplimiento del 60% menor al esperado .
De acuerdo con los rangos de cumplimiento definidos para este indicador, en el trimestre se ubica en el nivel satisfactorio y al corte se ubica en el nivel aceptable.
Se recomienda al proceso continuar haciendo monitoreo a indicador y establecer las acciones de mejora que se requieran para dar cumplimiento a la meta en el periodo restante del año.</t>
  </si>
  <si>
    <t>Este indicador se reprogramó, variando su distribución en el cuarto trimestre del año y disminuyendo su magnitud a la mitad con 900 decisiones de fondo. No obstante, se avanzo en ejecución en el mes de septiembre con 230 decisiones de fondo proferidas, lo que se refleja como una mayor ejecución que supera en alto grado la programación esperada al corte acumulado al no tener programación en este mes y alcanzando el 228.7% de porcentaje de cumplimiento.
Sin embargo en el año alcanza un cumplimiento del 62%
De acuerdo con los rangos de cumplimiento definidos para este indicador al corte se encuentra en el nivel satisfactorio.
Se recomienda al proceso continuar haciendo monitoreo al indicador y establecer las acciones de mejora que se requieran para dar cumplimiento a la meta en el periodo restante del año.</t>
  </si>
  <si>
    <t>Este indicador fue reprogramado a partir del mes de julio y con una magnitud promedio del año de 85%.
La ejecución en el trimestre es mayor con 26% adicional y al corte acumulado que la esperada con 1.9% adicional de solicitudes gestionadas con un cumplimiento del  137.3%. y 102.1%  respectivamente.
En el año alcanza un cumplimiento del 108.1% mayor al esperado.
De acuerdo con los rangos de cumplimiento definidos para este indicador, en el trimestre y al acumulado al corte le permite estar en el nivel satisfactorio.
Se recomienda al proceso revisar la programación frente al contexto interno y externo y establecer las acciones de mejora teniendo en cuenta la tendencia y que le permitan dar cumplimiento a la meta en el periodo restante del año.
Se recomienda al proceso tomar como línea base este resultado para proyecciones futuras.</t>
  </si>
  <si>
    <t>Este indicador esta programado de manera constante en el año con 100% de meta esperada en cada periodo.
En el trimestre se evidencia un promedio de ejecución menor que el esperado con 5% de incapacidades tramitadas no pagadas por la EPS equivalente al 953% de cumplimiento. En este sentido, en el corte acumulado se evidencia un promedio menor que el esperado con 15% de incapacidades tramitadas no pagadas por la EPS menos que el promedio programado con un 84.9% de cumplimiento.
En el año alcanza un cumplimiento del 84.9%
De acuerdo con los rangos de cumplimiento definidos para este indicador, en el trimestre alcanza a ubicarse en el nivel satisfactorio y al corte acumulado se ubican en el nivel aceptable.  
Se recomienda al proceso continuar haciendo monitoreo a indicador y establecer las acciones de mejora que se requieran para dar cumplimiento a la meta en el periodo restante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</si>
</sst>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0.0"/>
    <numFmt numFmtId="166" formatCode="0.0"/>
    <numFmt numFmtId="167" formatCode="0.000000000000000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sz val="14"/>
      <color theme="1"/>
      <name val="Arial"/>
      <family val="2"/>
    </font>
    <font>
      <sz val="20"/>
      <name val="Arial"/>
      <family val="2"/>
    </font>
    <font>
      <sz val="10"/>
      <name val="Arial"/>
      <family val="2"/>
    </font>
    <font>
      <sz val="10"/>
      <color theme="1"/>
      <name val="Arial"/>
      <family val="2"/>
    </font>
    <font>
      <sz val="16"/>
      <color theme="1"/>
      <name val="Arial"/>
      <family val="2"/>
    </font>
    <font>
      <sz val="9"/>
      <color theme="1"/>
      <name val="Arial"/>
      <family val="2"/>
    </font>
    <font>
      <b/>
      <sz val="10"/>
      <color theme="0"/>
      <name val="Arial"/>
      <family val="2"/>
    </font>
    <font>
      <sz val="8"/>
      <color theme="1"/>
      <name val="Arial"/>
      <family val="2"/>
    </font>
    <font>
      <b/>
      <sz val="8"/>
      <color theme="1"/>
      <name val="Arial"/>
      <family val="2"/>
    </font>
    <font>
      <sz val="8"/>
      <name val="Arial"/>
      <family val="2"/>
    </font>
    <font>
      <sz val="11"/>
      <color theme="1"/>
      <name val="Arial"/>
      <family val="2"/>
    </font>
    <font>
      <b/>
      <sz val="10"/>
      <color theme="1"/>
      <name val="Arial"/>
      <family val="2"/>
    </font>
    <font>
      <sz val="10"/>
      <name val="Arial"/>
    </font>
    <font>
      <sz val="12"/>
      <color rgb="FFFF0000"/>
      <name val="Arial"/>
      <family val="2"/>
    </font>
  </fonts>
  <fills count="2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8" tint="-0.249977111117893"/>
        <bgColor indexed="64"/>
      </patternFill>
    </fill>
  </fills>
  <borders count="9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4">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41" fontId="45" fillId="0" borderId="0" applyFont="0" applyFill="0" applyBorder="0" applyAlignment="0" applyProtection="0"/>
    <xf numFmtId="0" fontId="1" fillId="0" borderId="1"/>
    <xf numFmtId="0" fontId="4"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xf numFmtId="43" fontId="55" fillId="0" borderId="0" applyFont="0" applyFill="0" applyBorder="0" applyAlignment="0" applyProtection="0"/>
  </cellStyleXfs>
  <cellXfs count="925">
    <xf numFmtId="0" fontId="0" fillId="0" borderId="0" xfId="0"/>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4" fillId="0" borderId="1" xfId="0" applyFont="1" applyBorder="1" applyAlignment="1">
      <alignment vertical="center"/>
    </xf>
    <xf numFmtId="0" fontId="14" fillId="0" borderId="1" xfId="1" applyFont="1" applyBorder="1" applyAlignment="1">
      <alignment vertical="center"/>
    </xf>
    <xf numFmtId="0" fontId="14" fillId="0" borderId="1" xfId="1" applyFont="1" applyBorder="1" applyAlignment="1">
      <alignment vertical="center" wrapText="1"/>
    </xf>
    <xf numFmtId="0" fontId="14" fillId="0" borderId="0" xfId="0" applyFont="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xf>
    <xf numFmtId="0" fontId="14" fillId="0" borderId="1" xfId="1" applyFont="1" applyBorder="1" applyAlignment="1">
      <alignment horizontal="center" vertical="center"/>
    </xf>
    <xf numFmtId="0" fontId="14" fillId="0" borderId="0" xfId="0" applyFont="1" applyAlignment="1">
      <alignment horizontal="center" vertical="center"/>
    </xf>
    <xf numFmtId="0" fontId="10" fillId="0" borderId="3"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6" fillId="0" borderId="1" xfId="1" applyFont="1" applyBorder="1" applyAlignment="1">
      <alignment horizontal="lef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1" fontId="20" fillId="8" borderId="3" xfId="0" applyNumberFormat="1" applyFont="1" applyFill="1" applyBorder="1" applyAlignment="1" applyProtection="1">
      <alignment horizontal="center" vertical="center"/>
    </xf>
    <xf numFmtId="9" fontId="20" fillId="8" borderId="3" xfId="5" applyNumberFormat="1" applyFont="1" applyFill="1" applyBorder="1" applyAlignment="1" applyProtection="1">
      <alignment horizontal="center" vertical="center"/>
    </xf>
    <xf numFmtId="3" fontId="20" fillId="8" borderId="3" xfId="0" applyNumberFormat="1" applyFont="1" applyFill="1" applyBorder="1" applyAlignment="1" applyProtection="1">
      <alignment horizontal="center" vertical="center"/>
    </xf>
    <xf numFmtId="0" fontId="24" fillId="3" borderId="3" xfId="0" applyFont="1" applyFill="1" applyBorder="1" applyAlignment="1">
      <alignment horizontal="left"/>
    </xf>
    <xf numFmtId="0" fontId="24" fillId="3" borderId="27" xfId="0" applyFont="1" applyFill="1" applyBorder="1" applyAlignment="1">
      <alignment horizontal="left"/>
    </xf>
    <xf numFmtId="0" fontId="23" fillId="3" borderId="5" xfId="0" applyFont="1" applyFill="1" applyBorder="1" applyAlignment="1">
      <alignment horizontal="left"/>
    </xf>
    <xf numFmtId="0" fontId="23" fillId="3" borderId="28" xfId="0" applyFont="1" applyFill="1" applyBorder="1" applyAlignment="1">
      <alignment horizontal="center"/>
    </xf>
    <xf numFmtId="0" fontId="27" fillId="0" borderId="3" xfId="1" applyFont="1" applyFill="1" applyBorder="1" applyAlignment="1" applyProtection="1">
      <alignment horizontal="center" vertical="top" wrapText="1"/>
    </xf>
    <xf numFmtId="0" fontId="28" fillId="0" borderId="3" xfId="1" applyFont="1" applyFill="1" applyBorder="1" applyAlignment="1" applyProtection="1">
      <alignment horizontal="center" vertical="top" wrapText="1"/>
    </xf>
    <xf numFmtId="0" fontId="27" fillId="8"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7" xfId="22" applyFont="1" applyFill="1" applyBorder="1" applyAlignment="1">
      <alignment horizontal="left"/>
    </xf>
    <xf numFmtId="0" fontId="23" fillId="3" borderId="5" xfId="22" applyFont="1" applyFill="1" applyBorder="1" applyAlignment="1">
      <alignment horizontal="left"/>
    </xf>
    <xf numFmtId="0" fontId="23" fillId="3" borderId="28" xfId="22" applyFont="1" applyFill="1" applyBorder="1" applyAlignment="1">
      <alignment horizontal="center"/>
    </xf>
    <xf numFmtId="0" fontId="31" fillId="0" borderId="1" xfId="22" applyFont="1" applyBorder="1" applyAlignment="1">
      <alignment horizontal="center" vertical="center"/>
    </xf>
    <xf numFmtId="0" fontId="30" fillId="11" borderId="50" xfId="22" applyFont="1" applyFill="1" applyBorder="1" applyAlignment="1">
      <alignment horizontal="center" vertical="center"/>
    </xf>
    <xf numFmtId="0" fontId="8" fillId="15" borderId="54" xfId="8" applyFont="1" applyFill="1" applyBorder="1" applyAlignment="1">
      <alignment horizontal="left" vertical="center"/>
    </xf>
    <xf numFmtId="0" fontId="8" fillId="15" borderId="56" xfId="8" applyFont="1" applyFill="1" applyBorder="1" applyAlignment="1">
      <alignment horizontal="left" vertical="center" wrapText="1"/>
    </xf>
    <xf numFmtId="0" fontId="8" fillId="15" borderId="57" xfId="22" applyFont="1" applyFill="1" applyBorder="1" applyAlignment="1">
      <alignment vertical="center" wrapText="1"/>
    </xf>
    <xf numFmtId="0" fontId="8" fillId="15" borderId="56" xfId="22" applyFont="1" applyFill="1" applyBorder="1" applyAlignment="1">
      <alignment horizontal="left" vertical="center" wrapText="1"/>
    </xf>
    <xf numFmtId="0" fontId="8" fillId="15" borderId="56" xfId="22" applyFont="1" applyFill="1" applyBorder="1" applyAlignment="1">
      <alignment vertical="center" wrapText="1"/>
    </xf>
    <xf numFmtId="0" fontId="4" fillId="0" borderId="1" xfId="22" applyBorder="1"/>
    <xf numFmtId="0" fontId="8" fillId="15" borderId="20" xfId="8" applyFont="1" applyFill="1" applyBorder="1" applyAlignment="1">
      <alignment horizontal="left" vertical="center" wrapText="1"/>
    </xf>
    <xf numFmtId="0" fontId="8" fillId="15" borderId="54" xfId="8" applyFont="1" applyFill="1" applyBorder="1" applyAlignment="1">
      <alignment horizontal="left" vertical="center" wrapText="1"/>
    </xf>
    <xf numFmtId="0" fontId="8" fillId="15" borderId="58"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7" xfId="22" applyFont="1" applyFill="1" applyBorder="1" applyAlignment="1">
      <alignment horizontal="left" vertical="center" wrapText="1"/>
    </xf>
    <xf numFmtId="0" fontId="8" fillId="16" borderId="2" xfId="1" applyFont="1" applyFill="1" applyBorder="1" applyAlignment="1">
      <alignment horizontal="center" vertical="center"/>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xf>
    <xf numFmtId="0" fontId="5" fillId="5" borderId="61" xfId="0" applyFont="1" applyFill="1" applyBorder="1" applyAlignment="1">
      <alignment vertical="center"/>
    </xf>
    <xf numFmtId="0" fontId="10" fillId="8" borderId="3" xfId="1" applyFont="1" applyFill="1" applyBorder="1" applyAlignment="1" applyProtection="1">
      <alignment horizontal="center" vertical="top" wrapText="1"/>
    </xf>
    <xf numFmtId="0" fontId="9" fillId="8" borderId="3" xfId="1" applyFont="1" applyFill="1" applyBorder="1" applyAlignment="1" applyProtection="1">
      <alignment horizontal="center" vertical="top" wrapText="1"/>
    </xf>
    <xf numFmtId="3" fontId="20" fillId="8" borderId="3" xfId="6" applyNumberFormat="1" applyFont="1" applyFill="1" applyBorder="1" applyAlignment="1" applyProtection="1">
      <alignment horizontal="center" vertical="center"/>
    </xf>
    <xf numFmtId="3" fontId="35" fillId="0" borderId="0" xfId="0" applyNumberFormat="1" applyFont="1" applyAlignment="1">
      <alignment vertical="center"/>
    </xf>
    <xf numFmtId="1" fontId="20" fillId="8" borderId="3" xfId="6" applyNumberFormat="1" applyFont="1" applyFill="1" applyBorder="1" applyAlignment="1" applyProtection="1">
      <alignment horizontal="center" vertical="center"/>
    </xf>
    <xf numFmtId="9" fontId="6" fillId="0" borderId="1" xfId="7" applyFont="1" applyAlignment="1">
      <alignment vertical="center"/>
    </xf>
    <xf numFmtId="3" fontId="20" fillId="8" borderId="3" xfId="7" applyNumberFormat="1" applyFont="1" applyFill="1" applyBorder="1" applyAlignment="1" applyProtection="1">
      <alignment horizontal="center" vertical="center"/>
    </xf>
    <xf numFmtId="1" fontId="20" fillId="8" borderId="3" xfId="7" applyNumberFormat="1" applyFont="1" applyFill="1" applyBorder="1" applyAlignment="1" applyProtection="1">
      <alignment horizontal="center" vertical="center"/>
    </xf>
    <xf numFmtId="0" fontId="19" fillId="0" borderId="2" xfId="22" applyFont="1" applyBorder="1" applyAlignment="1" applyProtection="1">
      <alignment horizontal="lef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xf>
    <xf numFmtId="0" fontId="5" fillId="5" borderId="17"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6" fillId="0" borderId="0" xfId="0" applyFont="1" applyFill="1" applyAlignment="1">
      <alignment vertical="center"/>
    </xf>
    <xf numFmtId="0" fontId="8" fillId="0" borderId="3" xfId="0" applyFont="1" applyFill="1" applyBorder="1" applyAlignment="1">
      <alignment horizontal="left"/>
    </xf>
    <xf numFmtId="0" fontId="8" fillId="0" borderId="27" xfId="0" applyFont="1" applyFill="1" applyBorder="1" applyAlignment="1">
      <alignment horizontal="left"/>
    </xf>
    <xf numFmtId="0" fontId="19" fillId="0" borderId="5" xfId="0" applyFont="1" applyFill="1" applyBorder="1" applyAlignment="1">
      <alignment horizontal="left"/>
    </xf>
    <xf numFmtId="0" fontId="19" fillId="0" borderId="28" xfId="0" applyFont="1" applyFill="1" applyBorder="1" applyAlignment="1">
      <alignment horizont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1" applyFont="1" applyFill="1" applyBorder="1" applyAlignment="1">
      <alignment vertical="center"/>
    </xf>
    <xf numFmtId="0" fontId="14" fillId="0" borderId="1" xfId="1" applyFont="1" applyFill="1" applyBorder="1" applyAlignment="1">
      <alignment horizontal="center" vertical="center"/>
    </xf>
    <xf numFmtId="0" fontId="14" fillId="0" borderId="1" xfId="1" applyFont="1" applyFill="1" applyBorder="1" applyAlignment="1">
      <alignment vertical="center" wrapText="1"/>
    </xf>
    <xf numFmtId="0" fontId="8" fillId="0" borderId="2" xfId="1" applyFont="1" applyFill="1" applyBorder="1" applyAlignment="1" applyProtection="1">
      <alignment vertical="center" wrapText="1"/>
    </xf>
    <xf numFmtId="0" fontId="8" fillId="0" borderId="2" xfId="1" applyFont="1" applyFill="1" applyBorder="1" applyAlignment="1">
      <alignment horizontal="center" vertical="center"/>
    </xf>
    <xf numFmtId="0" fontId="6" fillId="0" borderId="1" xfId="1" applyFont="1" applyFill="1" applyBorder="1" applyAlignment="1">
      <alignment horizontal="left" vertical="center"/>
    </xf>
    <xf numFmtId="0" fontId="6" fillId="0" borderId="1" xfId="1" applyFont="1" applyBorder="1" applyAlignment="1">
      <alignment horizontal="left" vertical="center"/>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0" xfId="0" applyFont="1" applyAlignment="1">
      <alignment vertical="center" wrapText="1"/>
    </xf>
    <xf numFmtId="0" fontId="14" fillId="0" borderId="1" xfId="1" applyFont="1" applyBorder="1" applyAlignment="1">
      <alignment horizontal="center" vertical="center" wrapText="1"/>
    </xf>
    <xf numFmtId="0" fontId="27" fillId="0" borderId="76" xfId="1" applyFont="1" applyFill="1" applyBorder="1" applyAlignment="1" applyProtection="1">
      <alignment horizontal="center" vertical="top" wrapText="1"/>
    </xf>
    <xf numFmtId="0" fontId="28" fillId="0" borderId="76" xfId="1" applyFont="1" applyFill="1" applyBorder="1" applyAlignment="1" applyProtection="1">
      <alignment horizontal="center" vertical="top" wrapText="1"/>
    </xf>
    <xf numFmtId="0" fontId="27" fillId="8"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8" fillId="16" borderId="73" xfId="1" applyFont="1" applyFill="1" applyBorder="1" applyAlignment="1" applyProtection="1">
      <alignment vertical="center"/>
    </xf>
    <xf numFmtId="0" fontId="8" fillId="16" borderId="73" xfId="1" applyFont="1" applyFill="1" applyBorder="1" applyAlignment="1" applyProtection="1">
      <alignment vertical="center" wrapText="1"/>
    </xf>
    <xf numFmtId="0" fontId="8" fillId="16" borderId="73" xfId="1" applyFont="1" applyFill="1" applyBorder="1" applyAlignment="1">
      <alignment horizontal="center" vertical="center"/>
    </xf>
    <xf numFmtId="0" fontId="24" fillId="3" borderId="76" xfId="0" applyFont="1" applyFill="1" applyBorder="1" applyAlignment="1">
      <alignment horizontal="left"/>
    </xf>
    <xf numFmtId="0" fontId="24" fillId="3" borderId="78" xfId="0" applyFont="1" applyFill="1" applyBorder="1" applyAlignment="1">
      <alignment horizontal="left"/>
    </xf>
    <xf numFmtId="0" fontId="6" fillId="0" borderId="1" xfId="1" applyFont="1" applyBorder="1" applyAlignment="1">
      <alignment horizontal="left" vertical="center"/>
    </xf>
    <xf numFmtId="0" fontId="8" fillId="16" borderId="83" xfId="1" applyFont="1" applyFill="1" applyBorder="1" applyAlignment="1" applyProtection="1">
      <alignment vertical="center"/>
    </xf>
    <xf numFmtId="0" fontId="8" fillId="16" borderId="83" xfId="1" applyFont="1" applyFill="1" applyBorder="1" applyAlignment="1" applyProtection="1">
      <alignment vertical="center" wrapText="1"/>
    </xf>
    <xf numFmtId="0" fontId="8" fillId="16" borderId="83" xfId="1" applyFont="1" applyFill="1" applyBorder="1" applyAlignment="1">
      <alignment horizontal="center" vertical="center"/>
    </xf>
    <xf numFmtId="0" fontId="6" fillId="0" borderId="1" xfId="1" applyFont="1" applyBorder="1" applyAlignment="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6" fillId="0" borderId="0" xfId="0" applyFont="1" applyAlignment="1" applyProtection="1">
      <alignment vertical="center"/>
    </xf>
    <xf numFmtId="0" fontId="24" fillId="3" borderId="3" xfId="0" applyFont="1" applyFill="1" applyBorder="1" applyAlignment="1" applyProtection="1">
      <alignment horizontal="left"/>
    </xf>
    <xf numFmtId="0" fontId="24" fillId="3" borderId="7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28"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19" fillId="0" borderId="83" xfId="0" applyFont="1" applyBorder="1" applyAlignment="1" applyProtection="1">
      <alignment horizontal="left" vertical="center" wrapText="1"/>
    </xf>
    <xf numFmtId="0" fontId="19" fillId="0" borderId="83" xfId="0" applyNumberFormat="1" applyFont="1" applyBorder="1" applyAlignment="1" applyProtection="1">
      <alignment horizontal="center" vertical="center" wrapText="1"/>
    </xf>
    <xf numFmtId="0" fontId="19" fillId="2" borderId="83" xfId="1" applyFont="1" applyFill="1" applyBorder="1" applyAlignment="1" applyProtection="1">
      <alignment horizontal="center" vertical="center" wrapText="1"/>
    </xf>
    <xf numFmtId="0" fontId="19" fillId="0" borderId="83" xfId="23" applyNumberFormat="1" applyFont="1" applyBorder="1" applyAlignment="1" applyProtection="1">
      <alignment horizontal="center" vertical="center" wrapText="1"/>
    </xf>
    <xf numFmtId="0" fontId="19" fillId="0" borderId="86" xfId="23" applyFont="1" applyBorder="1" applyAlignment="1" applyProtection="1">
      <alignment horizontal="left" vertical="center" wrapText="1"/>
    </xf>
    <xf numFmtId="0" fontId="19" fillId="0" borderId="83" xfId="23" applyFont="1" applyBorder="1" applyAlignment="1" applyProtection="1">
      <alignment horizontal="left" vertical="center" wrapText="1"/>
    </xf>
    <xf numFmtId="0" fontId="20" fillId="0" borderId="3" xfId="6" applyNumberFormat="1" applyFont="1" applyBorder="1" applyAlignment="1" applyProtection="1">
      <alignment horizontal="center" vertical="center" wrapText="1"/>
    </xf>
    <xf numFmtId="0" fontId="20" fillId="0" borderId="3" xfId="6" applyNumberFormat="1" applyFont="1" applyFill="1" applyBorder="1" applyAlignment="1" applyProtection="1">
      <alignment horizontal="center" vertical="center" wrapText="1"/>
    </xf>
    <xf numFmtId="9" fontId="19" fillId="0" borderId="83" xfId="25" applyNumberFormat="1" applyFont="1" applyBorder="1" applyAlignment="1" applyProtection="1">
      <alignment horizontal="center" vertical="center" wrapText="1"/>
    </xf>
    <xf numFmtId="0" fontId="19" fillId="0" borderId="83" xfId="25" applyFont="1" applyBorder="1" applyAlignment="1" applyProtection="1">
      <alignment horizontal="center" vertical="center" wrapText="1"/>
    </xf>
    <xf numFmtId="0" fontId="22" fillId="0" borderId="86" xfId="23" applyFont="1" applyBorder="1" applyAlignment="1" applyProtection="1">
      <alignment horizontal="left" vertical="center" wrapText="1"/>
    </xf>
    <xf numFmtId="0" fontId="23" fillId="0" borderId="83" xfId="0" applyFont="1" applyBorder="1" applyAlignment="1" applyProtection="1">
      <alignment horizontal="center" vertical="center" wrapText="1"/>
    </xf>
    <xf numFmtId="0" fontId="23" fillId="0" borderId="83" xfId="0" applyFont="1" applyBorder="1" applyAlignment="1" applyProtection="1">
      <alignment vertical="center" wrapText="1"/>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83"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14" fillId="0" borderId="1" xfId="8" applyFont="1" applyAlignment="1">
      <alignment vertical="center"/>
    </xf>
    <xf numFmtId="0" fontId="14" fillId="0" borderId="1" xfId="8" applyFont="1" applyAlignment="1">
      <alignment horizontal="center" vertical="center"/>
    </xf>
    <xf numFmtId="0" fontId="14" fillId="0" borderId="1" xfId="8" applyFont="1" applyAlignment="1">
      <alignment vertical="center" wrapText="1"/>
    </xf>
    <xf numFmtId="0" fontId="6" fillId="0" borderId="1" xfId="8" applyFont="1" applyAlignment="1">
      <alignment vertical="center"/>
    </xf>
    <xf numFmtId="0" fontId="24" fillId="3" borderId="76" xfId="8" applyFont="1" applyFill="1" applyBorder="1" applyAlignment="1">
      <alignment horizontal="left"/>
    </xf>
    <xf numFmtId="0" fontId="24" fillId="3" borderId="78" xfId="8" applyFont="1" applyFill="1" applyBorder="1" applyAlignment="1">
      <alignment horizontal="left"/>
    </xf>
    <xf numFmtId="0" fontId="23" fillId="3" borderId="5" xfId="8" applyFont="1" applyFill="1" applyBorder="1" applyAlignment="1">
      <alignment horizontal="left"/>
    </xf>
    <xf numFmtId="0" fontId="23" fillId="3" borderId="28" xfId="8" applyFont="1" applyFill="1" applyBorder="1" applyAlignment="1">
      <alignment horizontal="center"/>
    </xf>
    <xf numFmtId="0" fontId="14" fillId="0" borderId="1" xfId="8" applyFont="1" applyBorder="1" applyAlignment="1">
      <alignment vertical="center"/>
    </xf>
    <xf numFmtId="0" fontId="14" fillId="0" borderId="1" xfId="8" applyFont="1" applyBorder="1" applyAlignment="1">
      <alignment horizontal="center" vertical="center"/>
    </xf>
    <xf numFmtId="0" fontId="14" fillId="0" borderId="1" xfId="8" applyFont="1" applyBorder="1" applyAlignment="1">
      <alignment vertical="center" wrapText="1"/>
    </xf>
    <xf numFmtId="0" fontId="5" fillId="5" borderId="16" xfId="8" applyFont="1" applyFill="1" applyBorder="1" applyAlignment="1">
      <alignment vertical="center"/>
    </xf>
    <xf numFmtId="0" fontId="5" fillId="5" borderId="17" xfId="8" applyFont="1" applyFill="1" applyBorder="1" applyAlignment="1">
      <alignment vertical="center"/>
    </xf>
    <xf numFmtId="9" fontId="23" fillId="3" borderId="83" xfId="8" applyNumberFormat="1" applyFont="1" applyFill="1" applyBorder="1" applyAlignment="1" applyProtection="1">
      <alignment horizontal="left" vertical="center" wrapText="1"/>
    </xf>
    <xf numFmtId="9" fontId="19" fillId="0" borderId="83" xfId="8" applyNumberFormat="1" applyFont="1" applyBorder="1" applyAlignment="1" applyProtection="1">
      <alignment horizontal="left" vertical="center" wrapText="1"/>
    </xf>
    <xf numFmtId="0" fontId="23" fillId="0" borderId="83" xfId="8" applyFont="1" applyBorder="1" applyAlignment="1" applyProtection="1">
      <alignment horizontal="center" vertical="center" wrapText="1"/>
    </xf>
    <xf numFmtId="0" fontId="6" fillId="0" borderId="1" xfId="1" applyFont="1" applyBorder="1" applyAlignment="1">
      <alignment horizontal="left" vertical="center"/>
    </xf>
    <xf numFmtId="9" fontId="19" fillId="0" borderId="83" xfId="23" applyNumberFormat="1" applyFont="1" applyBorder="1" applyAlignment="1" applyProtection="1">
      <alignment horizontal="center" vertical="center" wrapText="1"/>
    </xf>
    <xf numFmtId="0" fontId="19" fillId="0" borderId="83" xfId="8" applyNumberFormat="1" applyFont="1" applyBorder="1" applyAlignment="1" applyProtection="1">
      <alignment horizontal="left" vertical="center" wrapText="1"/>
    </xf>
    <xf numFmtId="1" fontId="19" fillId="0" borderId="83" xfId="8" applyNumberFormat="1" applyFont="1" applyBorder="1" applyAlignment="1" applyProtection="1">
      <alignment horizontal="center" vertical="center" wrapText="1"/>
    </xf>
    <xf numFmtId="0" fontId="19" fillId="0" borderId="83" xfId="8" applyNumberFormat="1" applyFont="1" applyBorder="1" applyAlignment="1" applyProtection="1">
      <alignment horizontal="center" vertical="center" wrapText="1"/>
    </xf>
    <xf numFmtId="0" fontId="19" fillId="0" borderId="83" xfId="22" applyFont="1" applyBorder="1" applyAlignment="1" applyProtection="1">
      <alignment horizontal="center" vertical="center" wrapText="1"/>
    </xf>
    <xf numFmtId="0" fontId="23" fillId="3" borderId="83" xfId="22" applyFont="1" applyFill="1" applyBorder="1" applyAlignment="1" applyProtection="1">
      <alignment horizontal="center" vertical="center" wrapText="1"/>
    </xf>
    <xf numFmtId="0" fontId="23" fillId="3" borderId="86" xfId="23" applyFont="1" applyFill="1" applyBorder="1" applyAlignment="1" applyProtection="1">
      <alignment horizontal="left" vertical="center" wrapText="1"/>
    </xf>
    <xf numFmtId="0" fontId="20" fillId="0" borderId="76" xfId="7" applyNumberFormat="1" applyFont="1" applyBorder="1" applyAlignment="1" applyProtection="1">
      <alignment horizontal="center" vertical="center" wrapText="1"/>
    </xf>
    <xf numFmtId="0" fontId="20" fillId="0" borderId="76" xfId="6" applyNumberFormat="1" applyFont="1" applyBorder="1" applyAlignment="1" applyProtection="1">
      <alignment horizontal="center" vertical="center" wrapText="1"/>
    </xf>
    <xf numFmtId="0" fontId="20" fillId="19" borderId="76" xfId="7" applyNumberFormat="1" applyFont="1" applyFill="1" applyBorder="1" applyAlignment="1" applyProtection="1">
      <alignment horizontal="center" vertical="center" wrapText="1"/>
    </xf>
    <xf numFmtId="3" fontId="20" fillId="8" borderId="76" xfId="6" applyNumberFormat="1" applyFont="1" applyFill="1" applyBorder="1" applyAlignment="1" applyProtection="1">
      <alignment horizontal="center" vertical="center"/>
    </xf>
    <xf numFmtId="9" fontId="20" fillId="8" borderId="76" xfId="5" applyFont="1" applyFill="1" applyBorder="1" applyAlignment="1" applyProtection="1">
      <alignment horizontal="center" vertical="center"/>
    </xf>
    <xf numFmtId="1" fontId="20" fillId="0" borderId="76" xfId="7" applyNumberFormat="1" applyFont="1" applyBorder="1" applyAlignment="1" applyProtection="1">
      <alignment horizontal="center" vertical="center" wrapText="1"/>
    </xf>
    <xf numFmtId="1" fontId="20" fillId="8" borderId="76" xfId="7" applyNumberFormat="1" applyFont="1" applyFill="1" applyBorder="1" applyAlignment="1" applyProtection="1">
      <alignment horizontal="center" vertical="center"/>
    </xf>
    <xf numFmtId="0" fontId="19" fillId="3" borderId="83" xfId="0" applyFont="1" applyFill="1" applyBorder="1" applyAlignment="1" applyProtection="1">
      <alignment horizontal="left" vertical="center" wrapText="1"/>
    </xf>
    <xf numFmtId="9" fontId="44" fillId="3" borderId="83" xfId="0" applyNumberFormat="1" applyFont="1" applyFill="1" applyBorder="1" applyAlignment="1" applyProtection="1">
      <alignment horizontal="center" vertical="center" wrapText="1"/>
    </xf>
    <xf numFmtId="0" fontId="19" fillId="3" borderId="86" xfId="23" applyFont="1" applyFill="1" applyBorder="1" applyAlignment="1" applyProtection="1">
      <alignment horizontal="left" vertical="center" wrapText="1"/>
    </xf>
    <xf numFmtId="9" fontId="19" fillId="3" borderId="83" xfId="23" applyNumberFormat="1" applyFont="1" applyFill="1" applyBorder="1" applyAlignment="1" applyProtection="1">
      <alignment horizontal="center" vertical="center" wrapText="1"/>
    </xf>
    <xf numFmtId="9" fontId="22" fillId="3" borderId="83" xfId="7" applyFont="1" applyFill="1" applyBorder="1" applyAlignment="1" applyProtection="1">
      <alignment horizontal="center" vertical="center" wrapText="1"/>
    </xf>
    <xf numFmtId="164" fontId="20" fillId="0" borderId="76" xfId="5" applyNumberFormat="1" applyFont="1" applyBorder="1" applyAlignment="1" applyProtection="1">
      <alignment horizontal="center" vertical="center" wrapText="1"/>
    </xf>
    <xf numFmtId="164" fontId="20" fillId="8" borderId="76" xfId="5" applyNumberFormat="1" applyFont="1" applyFill="1" applyBorder="1" applyAlignment="1" applyProtection="1">
      <alignment horizontal="center" vertical="center"/>
    </xf>
    <xf numFmtId="0" fontId="22" fillId="0" borderId="2" xfId="0" applyFont="1" applyBorder="1" applyAlignment="1" applyProtection="1">
      <alignment horizontal="left" vertical="center" wrapText="1"/>
    </xf>
    <xf numFmtId="9" fontId="19" fillId="0" borderId="2" xfId="0" applyNumberFormat="1"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2" xfId="19" applyNumberFormat="1" applyFont="1" applyBorder="1" applyAlignment="1" applyProtection="1">
      <alignment horizontal="center" vertical="center" wrapText="1"/>
    </xf>
    <xf numFmtId="0" fontId="19" fillId="0" borderId="6" xfId="19" applyFont="1" applyBorder="1" applyAlignment="1" applyProtection="1">
      <alignment horizontal="left" vertical="center" wrapText="1"/>
    </xf>
    <xf numFmtId="0" fontId="34" fillId="0" borderId="6"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2" xfId="0" applyFont="1" applyBorder="1" applyAlignment="1" applyProtection="1">
      <alignment horizontal="justify" vertical="center" wrapText="1"/>
    </xf>
    <xf numFmtId="0" fontId="19" fillId="0" borderId="6" xfId="19" applyFont="1" applyBorder="1" applyAlignment="1" applyProtection="1">
      <alignment horizontal="justify" vertical="center" wrapText="1"/>
    </xf>
    <xf numFmtId="0" fontId="19" fillId="0" borderId="6" xfId="19" applyFont="1" applyFill="1" applyBorder="1" applyAlignment="1" applyProtection="1">
      <alignment horizontal="center" vertical="center" wrapText="1"/>
    </xf>
    <xf numFmtId="0" fontId="19" fillId="0" borderId="6" xfId="19" applyFont="1" applyFill="1" applyBorder="1" applyAlignment="1" applyProtection="1">
      <alignment horizontal="justify" vertical="center" wrapText="1"/>
    </xf>
    <xf numFmtId="0" fontId="19" fillId="2" borderId="2" xfId="1" applyFont="1" applyFill="1" applyBorder="1" applyAlignment="1" applyProtection="1">
      <alignment horizontal="left" vertical="center" wrapText="1"/>
    </xf>
    <xf numFmtId="0" fontId="19" fillId="0" borderId="2" xfId="19" applyFont="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41" xfId="19" applyFont="1" applyFill="1" applyBorder="1" applyAlignment="1" applyProtection="1">
      <alignment horizontal="justify" vertical="center" wrapText="1"/>
    </xf>
    <xf numFmtId="0" fontId="19" fillId="0" borderId="41" xfId="19" applyFont="1" applyFill="1" applyBorder="1" applyAlignment="1" applyProtection="1">
      <alignment horizontal="center" vertical="center" wrapText="1"/>
    </xf>
    <xf numFmtId="9" fontId="19" fillId="0" borderId="2" xfId="7"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0" fontId="19" fillId="0" borderId="3" xfId="0" applyFont="1" applyBorder="1" applyAlignment="1" applyProtection="1">
      <alignment horizontal="left" vertical="center" wrapText="1"/>
    </xf>
    <xf numFmtId="0" fontId="19" fillId="0" borderId="2" xfId="0" applyFont="1" applyBorder="1" applyAlignment="1" applyProtection="1">
      <alignment horizontal="center" vertical="center" wrapText="1"/>
    </xf>
    <xf numFmtId="3" fontId="20" fillId="0" borderId="3" xfId="6" applyNumberFormat="1" applyFont="1" applyBorder="1" applyAlignment="1" applyProtection="1">
      <alignment horizontal="center" vertical="center" wrapText="1"/>
    </xf>
    <xf numFmtId="1" fontId="20" fillId="0" borderId="3" xfId="6" applyNumberFormat="1" applyFont="1" applyBorder="1" applyAlignment="1" applyProtection="1">
      <alignment horizontal="center" vertical="center" wrapText="1"/>
    </xf>
    <xf numFmtId="3" fontId="20" fillId="8" borderId="76" xfId="0" applyNumberFormat="1" applyFont="1" applyFill="1" applyBorder="1" applyAlignment="1" applyProtection="1">
      <alignment horizontal="center" vertical="center"/>
    </xf>
    <xf numFmtId="3" fontId="20" fillId="8" borderId="76" xfId="7" applyNumberFormat="1" applyFont="1" applyFill="1" applyBorder="1" applyAlignment="1" applyProtection="1">
      <alignment horizontal="center" vertical="center"/>
    </xf>
    <xf numFmtId="0" fontId="19" fillId="0" borderId="2" xfId="23" applyFont="1" applyFill="1" applyBorder="1" applyAlignment="1" applyProtection="1">
      <alignment horizontal="left" vertical="center" wrapText="1"/>
    </xf>
    <xf numFmtId="0" fontId="23" fillId="0" borderId="2" xfId="0" applyFont="1" applyFill="1" applyBorder="1" applyAlignment="1" applyProtection="1">
      <alignment vertical="center" wrapText="1"/>
    </xf>
    <xf numFmtId="0" fontId="23" fillId="3" borderId="2" xfId="0" applyFont="1" applyFill="1" applyBorder="1" applyAlignment="1" applyProtection="1">
      <alignment horizontal="center" vertical="center" wrapText="1"/>
    </xf>
    <xf numFmtId="0" fontId="19" fillId="3" borderId="2" xfId="19" applyNumberFormat="1" applyFont="1" applyFill="1" applyBorder="1" applyAlignment="1" applyProtection="1">
      <alignment horizontal="center" vertical="center" wrapText="1"/>
    </xf>
    <xf numFmtId="0" fontId="23" fillId="0" borderId="2" xfId="0" applyFont="1" applyBorder="1" applyAlignment="1" applyProtection="1">
      <alignment vertical="center" wrapText="1"/>
    </xf>
    <xf numFmtId="0" fontId="19" fillId="2" borderId="2" xfId="1" applyFont="1" applyFill="1" applyBorder="1" applyAlignment="1" applyProtection="1">
      <alignment horizontal="center" vertical="center" wrapText="1"/>
    </xf>
    <xf numFmtId="0" fontId="19" fillId="0" borderId="63" xfId="0" applyFont="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19" fillId="0" borderId="2" xfId="23" applyFont="1" applyBorder="1" applyAlignment="1" applyProtection="1">
      <alignment horizontal="center" vertical="center" wrapText="1"/>
    </xf>
    <xf numFmtId="0" fontId="22" fillId="0" borderId="18" xfId="0" applyFont="1" applyBorder="1" applyAlignment="1" applyProtection="1">
      <alignment horizontal="left" vertical="center" wrapText="1"/>
    </xf>
    <xf numFmtId="0" fontId="19" fillId="0" borderId="64" xfId="0" applyFont="1" applyBorder="1" applyAlignment="1" applyProtection="1">
      <alignment horizontal="left" vertical="center" wrapText="1"/>
    </xf>
    <xf numFmtId="0" fontId="36" fillId="0" borderId="2" xfId="0" applyFont="1" applyFill="1" applyBorder="1" applyAlignment="1" applyProtection="1">
      <alignment horizontal="justify" vertical="center" wrapText="1"/>
    </xf>
    <xf numFmtId="9" fontId="19" fillId="0" borderId="2"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9" fontId="19" fillId="0" borderId="52" xfId="23" applyNumberFormat="1" applyFont="1" applyFill="1" applyBorder="1" applyAlignment="1" applyProtection="1">
      <alignment horizontal="center" vertical="center" wrapText="1"/>
    </xf>
    <xf numFmtId="0" fontId="19" fillId="0" borderId="52" xfId="23" applyFont="1" applyFill="1" applyBorder="1" applyAlignment="1" applyProtection="1">
      <alignment horizontal="left" vertical="center" wrapText="1"/>
    </xf>
    <xf numFmtId="0" fontId="22" fillId="0" borderId="52" xfId="23" applyFont="1" applyFill="1" applyBorder="1" applyAlignment="1" applyProtection="1">
      <alignment horizontal="left" vertical="center" wrapText="1"/>
    </xf>
    <xf numFmtId="9" fontId="20" fillId="0" borderId="3" xfId="6"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9" fontId="19" fillId="0" borderId="2" xfId="23" applyNumberFormat="1" applyFont="1" applyFill="1" applyBorder="1" applyAlignment="1" applyProtection="1">
      <alignment horizontal="center" vertical="center" wrapText="1"/>
    </xf>
    <xf numFmtId="0" fontId="22" fillId="0" borderId="2" xfId="23"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22" fillId="0" borderId="2" xfId="22" applyFont="1" applyFill="1" applyBorder="1" applyAlignment="1" applyProtection="1">
      <alignment horizontal="left" vertical="center" wrapText="1"/>
    </xf>
    <xf numFmtId="9" fontId="20" fillId="18" borderId="3" xfId="7" applyFont="1" applyFill="1" applyBorder="1" applyAlignment="1" applyProtection="1">
      <alignment horizontal="center" vertical="center"/>
    </xf>
    <xf numFmtId="3" fontId="20" fillId="18" borderId="3" xfId="6" applyNumberFormat="1" applyFont="1" applyFill="1" applyBorder="1" applyAlignment="1" applyProtection="1">
      <alignment horizontal="center" vertical="center"/>
    </xf>
    <xf numFmtId="1" fontId="20" fillId="18" borderId="3" xfId="6" applyNumberFormat="1" applyFont="1" applyFill="1" applyBorder="1" applyAlignment="1" applyProtection="1">
      <alignment horizontal="center" vertical="center"/>
    </xf>
    <xf numFmtId="1" fontId="20" fillId="18" borderId="3" xfId="0" applyNumberFormat="1" applyFont="1" applyFill="1" applyBorder="1" applyAlignment="1" applyProtection="1">
      <alignment horizontal="center" vertical="center"/>
    </xf>
    <xf numFmtId="1" fontId="20" fillId="18" borderId="3" xfId="7" applyNumberFormat="1" applyFont="1" applyFill="1" applyBorder="1" applyAlignment="1" applyProtection="1">
      <alignment horizontal="center" vertical="center"/>
    </xf>
    <xf numFmtId="0" fontId="19" fillId="0" borderId="2" xfId="24" applyFont="1" applyBorder="1" applyAlignment="1" applyProtection="1">
      <alignment vertical="center" wrapText="1"/>
    </xf>
    <xf numFmtId="0" fontId="19" fillId="0" borderId="3" xfId="24" applyFont="1" applyBorder="1" applyAlignment="1" applyProtection="1">
      <alignment horizontal="center" vertical="center" wrapText="1"/>
    </xf>
    <xf numFmtId="0" fontId="19" fillId="0" borderId="6" xfId="23" applyFont="1" applyBorder="1" applyAlignment="1" applyProtection="1">
      <alignment horizontal="center" vertical="center" wrapText="1"/>
    </xf>
    <xf numFmtId="0" fontId="22" fillId="0" borderId="6" xfId="23" applyFont="1" applyBorder="1" applyAlignment="1" applyProtection="1">
      <alignment horizontal="left" vertical="center" wrapText="1"/>
    </xf>
    <xf numFmtId="0" fontId="22" fillId="0" borderId="6" xfId="23" applyFont="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6" xfId="23"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19" fillId="0" borderId="73" xfId="0" applyFont="1" applyBorder="1" applyAlignment="1" applyProtection="1">
      <alignment horizontal="left" vertical="center" wrapText="1"/>
    </xf>
    <xf numFmtId="9" fontId="19" fillId="0" borderId="73" xfId="0" applyNumberFormat="1" applyFont="1" applyBorder="1" applyAlignment="1" applyProtection="1">
      <alignment horizontal="center" vertical="center" wrapText="1"/>
    </xf>
    <xf numFmtId="0" fontId="19" fillId="0" borderId="75" xfId="23" applyFont="1" applyBorder="1" applyAlignment="1" applyProtection="1">
      <alignment horizontal="left" vertical="center" wrapText="1"/>
    </xf>
    <xf numFmtId="0" fontId="22" fillId="0" borderId="75" xfId="23" applyFont="1" applyBorder="1" applyAlignment="1" applyProtection="1">
      <alignment horizontal="left" vertical="center" wrapText="1"/>
    </xf>
    <xf numFmtId="0" fontId="19" fillId="0" borderId="73" xfId="23" applyFont="1" applyBorder="1" applyAlignment="1" applyProtection="1">
      <alignment horizontal="left" vertical="center" wrapText="1"/>
    </xf>
    <xf numFmtId="0" fontId="39" fillId="0" borderId="0" xfId="0" applyFont="1" applyAlignment="1" applyProtection="1">
      <alignment horizontal="justify" vertical="center" readingOrder="1"/>
    </xf>
    <xf numFmtId="9" fontId="19" fillId="0" borderId="73" xfId="23" applyNumberFormat="1" applyFont="1" applyBorder="1" applyAlignment="1" applyProtection="1">
      <alignment horizontal="center" vertical="center" wrapText="1"/>
    </xf>
    <xf numFmtId="0" fontId="19" fillId="0" borderId="76" xfId="0" applyFont="1" applyBorder="1" applyAlignment="1" applyProtection="1">
      <alignment horizontal="justify" vertical="center" wrapText="1"/>
    </xf>
    <xf numFmtId="0" fontId="19" fillId="2" borderId="73" xfId="1" applyFont="1" applyFill="1" applyBorder="1" applyAlignment="1" applyProtection="1">
      <alignment horizontal="left" vertical="center" wrapText="1"/>
    </xf>
    <xf numFmtId="9" fontId="19" fillId="0" borderId="83" xfId="0" applyNumberFormat="1" applyFont="1" applyBorder="1" applyAlignment="1" applyProtection="1">
      <alignment horizontal="center" vertical="center" wrapText="1"/>
    </xf>
    <xf numFmtId="9" fontId="19" fillId="0" borderId="83" xfId="7" applyFont="1" applyBorder="1" applyAlignment="1" applyProtection="1">
      <alignment horizontal="center" vertical="center" wrapText="1"/>
    </xf>
    <xf numFmtId="0" fontId="43" fillId="0" borderId="83" xfId="0" applyFont="1" applyBorder="1" applyAlignment="1" applyProtection="1">
      <alignment vertical="center" wrapText="1"/>
    </xf>
    <xf numFmtId="0" fontId="36" fillId="0" borderId="83" xfId="0" applyNumberFormat="1" applyFont="1" applyBorder="1" applyAlignment="1" applyProtection="1">
      <alignment horizontal="center" vertical="center" wrapText="1"/>
    </xf>
    <xf numFmtId="0" fontId="43" fillId="0" borderId="83" xfId="0" applyFont="1" applyBorder="1" applyAlignment="1" applyProtection="1">
      <alignment horizontal="center" vertical="center" wrapText="1"/>
    </xf>
    <xf numFmtId="3" fontId="43" fillId="0" borderId="83" xfId="0" applyNumberFormat="1" applyFont="1" applyBorder="1" applyAlignment="1" applyProtection="1">
      <alignment horizontal="center" vertical="center" wrapText="1"/>
    </xf>
    <xf numFmtId="0" fontId="43" fillId="0" borderId="83" xfId="0" applyFont="1" applyFill="1" applyBorder="1" applyAlignment="1" applyProtection="1">
      <alignment vertical="center" wrapText="1"/>
    </xf>
    <xf numFmtId="0" fontId="36" fillId="0" borderId="83" xfId="0" applyNumberFormat="1" applyFont="1" applyFill="1" applyBorder="1" applyAlignment="1" applyProtection="1">
      <alignment horizontal="center" vertical="center" wrapText="1"/>
    </xf>
    <xf numFmtId="0" fontId="43" fillId="0" borderId="83" xfId="0" applyFont="1" applyFill="1" applyBorder="1" applyAlignment="1" applyProtection="1">
      <alignment horizontal="center" vertical="center" wrapText="1"/>
    </xf>
    <xf numFmtId="3" fontId="43" fillId="0" borderId="83" xfId="0" applyNumberFormat="1" applyFont="1" applyFill="1" applyBorder="1" applyAlignment="1" applyProtection="1">
      <alignment horizontal="center" vertical="center" wrapText="1"/>
    </xf>
    <xf numFmtId="0" fontId="36" fillId="0" borderId="83" xfId="0" applyFont="1" applyBorder="1" applyAlignment="1" applyProtection="1">
      <alignment vertical="center" wrapText="1"/>
    </xf>
    <xf numFmtId="0" fontId="20" fillId="0" borderId="76" xfId="6" applyNumberFormat="1" applyFont="1" applyFill="1" applyBorder="1" applyAlignment="1" applyProtection="1">
      <alignment horizontal="center" vertical="center" wrapText="1"/>
    </xf>
    <xf numFmtId="0" fontId="19" fillId="0" borderId="83" xfId="0" applyFont="1" applyFill="1" applyBorder="1" applyAlignment="1" applyProtection="1">
      <alignment horizontal="left" vertical="center" wrapText="1"/>
    </xf>
    <xf numFmtId="9" fontId="22" fillId="0" borderId="2" xfId="19" applyNumberFormat="1" applyFont="1" applyBorder="1" applyAlignment="1" applyProtection="1">
      <alignment horizontal="center" vertical="center" wrapText="1"/>
    </xf>
    <xf numFmtId="164" fontId="19" fillId="0" borderId="2" xfId="23" applyNumberFormat="1" applyFont="1" applyBorder="1" applyAlignment="1" applyProtection="1">
      <alignment horizontal="center" vertical="center" wrapText="1"/>
    </xf>
    <xf numFmtId="0" fontId="19" fillId="0" borderId="63"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0" fontId="23" fillId="0" borderId="0" xfId="0" applyFont="1"/>
    <xf numFmtId="0" fontId="23" fillId="0" borderId="1" xfId="0" applyFont="1" applyBorder="1" applyAlignment="1">
      <alignment horizontal="center" vertical="center"/>
    </xf>
    <xf numFmtId="0" fontId="8" fillId="0" borderId="1" xfId="0" applyFont="1" applyBorder="1" applyAlignment="1">
      <alignment vertical="center"/>
    </xf>
    <xf numFmtId="0" fontId="47" fillId="0" borderId="1" xfId="0" applyFont="1" applyBorder="1"/>
    <xf numFmtId="0" fontId="23" fillId="0" borderId="0" xfId="0" applyFont="1" applyAlignment="1">
      <alignment horizontal="center" vertical="center"/>
    </xf>
    <xf numFmtId="0" fontId="48" fillId="0" borderId="0" xfId="0" applyFont="1"/>
    <xf numFmtId="0" fontId="24" fillId="20" borderId="83" xfId="0" applyFont="1" applyFill="1" applyBorder="1" applyAlignment="1">
      <alignment horizontal="center" vertical="center"/>
    </xf>
    <xf numFmtId="0" fontId="24" fillId="20" borderId="83" xfId="0" applyFont="1" applyFill="1" applyBorder="1" applyAlignment="1">
      <alignment horizontal="center" vertical="center" wrapText="1"/>
    </xf>
    <xf numFmtId="0" fontId="24" fillId="0" borderId="1" xfId="0" applyFont="1" applyBorder="1" applyAlignment="1">
      <alignment horizontal="center" vertical="center" wrapText="1"/>
    </xf>
    <xf numFmtId="0" fontId="23" fillId="0" borderId="83" xfId="0" applyFont="1" applyBorder="1"/>
    <xf numFmtId="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164" fontId="20" fillId="8" borderId="76" xfId="7" applyNumberFormat="1" applyFont="1" applyFill="1" applyBorder="1" applyAlignment="1" applyProtection="1">
      <alignment horizontal="center" vertical="center"/>
    </xf>
    <xf numFmtId="164" fontId="21" fillId="4" borderId="82" xfId="3" applyNumberFormat="1" applyFont="1" applyFill="1" applyBorder="1" applyAlignment="1" applyProtection="1">
      <alignment horizontal="center" vertical="center"/>
    </xf>
    <xf numFmtId="164" fontId="20" fillId="19" borderId="76" xfId="5" applyNumberFormat="1" applyFont="1" applyFill="1" applyBorder="1" applyAlignment="1" applyProtection="1">
      <alignment horizontal="center" vertical="center" wrapText="1"/>
    </xf>
    <xf numFmtId="164" fontId="20" fillId="8" borderId="76" xfId="6" applyNumberFormat="1" applyFont="1" applyFill="1" applyBorder="1" applyAlignment="1" applyProtection="1">
      <alignment horizontal="center" vertical="center"/>
    </xf>
    <xf numFmtId="1" fontId="46" fillId="19" borderId="83" xfId="0" applyNumberFormat="1" applyFont="1" applyFill="1" applyBorder="1" applyAlignment="1" applyProtection="1">
      <alignment horizontal="center" vertical="center"/>
      <protection hidden="1"/>
    </xf>
    <xf numFmtId="164" fontId="20" fillId="8" borderId="3" xfId="7" applyNumberFormat="1" applyFont="1" applyFill="1" applyBorder="1" applyAlignment="1" applyProtection="1">
      <alignment horizontal="center" vertical="center"/>
    </xf>
    <xf numFmtId="164" fontId="20" fillId="0" borderId="3" xfId="7" applyNumberFormat="1" applyFont="1" applyFill="1" applyBorder="1" applyAlignment="1" applyProtection="1">
      <alignment horizontal="center" vertical="center"/>
    </xf>
    <xf numFmtId="164" fontId="20" fillId="8" borderId="83" xfId="6" applyNumberFormat="1" applyFont="1" applyFill="1" applyBorder="1" applyAlignment="1" applyProtection="1">
      <alignment horizontal="center" vertical="center"/>
    </xf>
    <xf numFmtId="164" fontId="20" fillId="8" borderId="83" xfId="5" applyNumberFormat="1" applyFont="1" applyFill="1" applyBorder="1" applyAlignment="1" applyProtection="1">
      <alignment horizontal="center" vertical="center"/>
    </xf>
    <xf numFmtId="164" fontId="20" fillId="0" borderId="83" xfId="7" applyNumberFormat="1" applyFont="1" applyFill="1" applyBorder="1" applyAlignment="1" applyProtection="1">
      <alignment horizontal="center" vertical="center"/>
    </xf>
    <xf numFmtId="164" fontId="36" fillId="8" borderId="83" xfId="6" applyNumberFormat="1" applyFont="1" applyFill="1" applyBorder="1" applyAlignment="1" applyProtection="1">
      <alignment horizontal="center" vertical="center"/>
    </xf>
    <xf numFmtId="0" fontId="28" fillId="0" borderId="83" xfId="1" applyFont="1" applyFill="1" applyBorder="1" applyAlignment="1" applyProtection="1">
      <alignment horizontal="center" vertical="top" wrapText="1"/>
    </xf>
    <xf numFmtId="164" fontId="20" fillId="0" borderId="76" xfId="5" applyNumberFormat="1" applyFont="1" applyFill="1" applyBorder="1" applyAlignment="1" applyProtection="1">
      <alignment horizontal="center" vertical="center" wrapText="1"/>
    </xf>
    <xf numFmtId="0" fontId="51" fillId="0" borderId="1" xfId="28" applyFont="1" applyAlignment="1" applyProtection="1">
      <alignment horizontal="center" vertical="center" wrapText="1"/>
      <protection hidden="1"/>
    </xf>
    <xf numFmtId="0" fontId="0" fillId="0" borderId="0" xfId="0" applyProtection="1">
      <protection hidden="1"/>
    </xf>
    <xf numFmtId="0" fontId="51" fillId="0" borderId="1" xfId="28" applyFont="1" applyFill="1" applyAlignment="1" applyProtection="1">
      <alignment horizontal="center" vertical="center" wrapText="1"/>
      <protection hidden="1"/>
    </xf>
    <xf numFmtId="0" fontId="50" fillId="0" borderId="1" xfId="28" applyFont="1" applyProtection="1">
      <protection hidden="1"/>
    </xf>
    <xf numFmtId="49" fontId="50" fillId="0" borderId="1" xfId="28" applyNumberFormat="1" applyFont="1" applyProtection="1">
      <protection hidden="1"/>
    </xf>
    <xf numFmtId="0" fontId="50" fillId="0" borderId="1" xfId="28" applyFont="1" applyAlignment="1" applyProtection="1">
      <alignment horizontal="center" vertical="center"/>
      <protection hidden="1"/>
    </xf>
    <xf numFmtId="0" fontId="50" fillId="0" borderId="1" xfId="28" applyFont="1" applyFill="1" applyAlignment="1" applyProtection="1">
      <alignment horizontal="left" vertical="center"/>
      <protection hidden="1"/>
    </xf>
    <xf numFmtId="0" fontId="1" fillId="0" borderId="1" xfId="28" applyProtection="1">
      <protection hidden="1"/>
    </xf>
    <xf numFmtId="0" fontId="52" fillId="0" borderId="0" xfId="0" applyFont="1" applyProtection="1">
      <protection hidden="1"/>
    </xf>
    <xf numFmtId="0" fontId="51" fillId="0" borderId="1" xfId="28" applyFont="1" applyProtection="1">
      <protection hidden="1"/>
    </xf>
    <xf numFmtId="0" fontId="50" fillId="0" borderId="1" xfId="28" applyFont="1" applyFill="1" applyBorder="1" applyProtection="1">
      <protection hidden="1"/>
    </xf>
    <xf numFmtId="0" fontId="50" fillId="0" borderId="1" xfId="28" applyFont="1" applyFill="1" applyBorder="1" applyAlignment="1" applyProtection="1">
      <alignment horizontal="center" vertical="center"/>
      <protection hidden="1"/>
    </xf>
    <xf numFmtId="1" fontId="23" fillId="24" borderId="83" xfId="0" applyNumberFormat="1" applyFont="1" applyFill="1" applyBorder="1" applyAlignment="1">
      <alignment horizontal="center" vertical="center" wrapText="1"/>
    </xf>
    <xf numFmtId="0" fontId="24" fillId="20" borderId="55" xfId="0" applyFont="1" applyFill="1" applyBorder="1" applyAlignment="1">
      <alignment horizontal="center" vertical="center" wrapText="1"/>
    </xf>
    <xf numFmtId="0" fontId="23" fillId="0" borderId="56" xfId="0" applyFont="1" applyBorder="1"/>
    <xf numFmtId="1" fontId="23" fillId="24" borderId="55" xfId="0" applyNumberFormat="1" applyFont="1" applyFill="1" applyBorder="1" applyAlignment="1">
      <alignment horizontal="center" vertical="center" wrapText="1"/>
    </xf>
    <xf numFmtId="0" fontId="24" fillId="0" borderId="58" xfId="0" applyFont="1" applyBorder="1"/>
    <xf numFmtId="1" fontId="24" fillId="24" borderId="59" xfId="0" applyNumberFormat="1" applyFont="1" applyFill="1" applyBorder="1" applyAlignment="1">
      <alignment horizontal="center" vertical="center" wrapText="1"/>
    </xf>
    <xf numFmtId="1" fontId="24" fillId="24" borderId="60" xfId="0" applyNumberFormat="1" applyFont="1" applyFill="1" applyBorder="1" applyAlignment="1">
      <alignment horizontal="center" vertical="center" wrapText="1"/>
    </xf>
    <xf numFmtId="0" fontId="19" fillId="0" borderId="3" xfId="0" applyFont="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5" fillId="5" borderId="17" xfId="0" applyFont="1" applyFill="1" applyBorder="1" applyAlignment="1">
      <alignment horizontal="center" vertical="center"/>
    </xf>
    <xf numFmtId="0" fontId="19" fillId="0" borderId="76" xfId="0" applyFont="1" applyBorder="1" applyAlignment="1" applyProtection="1">
      <alignment horizontal="center" vertical="center" wrapText="1"/>
    </xf>
    <xf numFmtId="164" fontId="23" fillId="0" borderId="83" xfId="0" applyNumberFormat="1" applyFont="1" applyFill="1" applyBorder="1" applyAlignment="1">
      <alignment horizontal="center" vertical="center" wrapText="1"/>
    </xf>
    <xf numFmtId="0" fontId="23" fillId="0" borderId="76" xfId="0" applyFont="1" applyBorder="1"/>
    <xf numFmtId="164" fontId="23" fillId="0" borderId="76" xfId="0" applyNumberFormat="1" applyFont="1" applyFill="1" applyBorder="1" applyAlignment="1">
      <alignment horizontal="center" vertical="center" wrapText="1"/>
    </xf>
    <xf numFmtId="0" fontId="24" fillId="0" borderId="50" xfId="0" applyFont="1" applyBorder="1"/>
    <xf numFmtId="164" fontId="24" fillId="0" borderId="51" xfId="0" applyNumberFormat="1" applyFont="1" applyFill="1" applyBorder="1" applyAlignment="1">
      <alignment horizontal="center" vertical="center" wrapText="1"/>
    </xf>
    <xf numFmtId="0" fontId="0" fillId="0" borderId="0" xfId="0" applyProtection="1"/>
    <xf numFmtId="0" fontId="26" fillId="0" borderId="76" xfId="0" applyFont="1" applyBorder="1" applyAlignment="1" applyProtection="1">
      <alignment vertical="center"/>
    </xf>
    <xf numFmtId="0" fontId="26" fillId="0" borderId="76" xfId="0" applyFont="1" applyBorder="1" applyAlignment="1" applyProtection="1">
      <alignment vertical="center" wrapText="1"/>
    </xf>
    <xf numFmtId="0" fontId="26" fillId="0" borderId="5" xfId="0" applyFont="1" applyBorder="1" applyAlignment="1" applyProtection="1">
      <alignment vertical="center" wrapText="1"/>
    </xf>
    <xf numFmtId="0" fontId="26" fillId="0" borderId="5" xfId="0" applyFont="1" applyBorder="1" applyAlignment="1" applyProtection="1">
      <alignment horizontal="center" vertical="center" wrapText="1"/>
    </xf>
    <xf numFmtId="0" fontId="0" fillId="0" borderId="83" xfId="0" applyBorder="1" applyAlignment="1" applyProtection="1">
      <alignment horizontal="center" vertical="center"/>
    </xf>
    <xf numFmtId="0" fontId="4" fillId="15" borderId="83" xfId="0" applyFont="1" applyFill="1" applyBorder="1" applyAlignment="1" applyProtection="1">
      <alignment horizontal="justify" vertical="center"/>
    </xf>
    <xf numFmtId="0" fontId="0" fillId="0" borderId="83" xfId="0" applyBorder="1" applyAlignment="1" applyProtection="1">
      <alignment horizontal="justify" vertical="center" wrapText="1"/>
    </xf>
    <xf numFmtId="9" fontId="46" fillId="0" borderId="83" xfId="0" applyNumberFormat="1" applyFont="1" applyBorder="1" applyAlignment="1" applyProtection="1">
      <alignment horizontal="center" vertical="center"/>
    </xf>
    <xf numFmtId="1" fontId="4" fillId="0" borderId="83" xfId="0" applyNumberFormat="1" applyFont="1" applyFill="1" applyBorder="1" applyAlignment="1" applyProtection="1">
      <alignment horizontal="center" vertical="center"/>
    </xf>
    <xf numFmtId="1" fontId="46" fillId="0" borderId="83" xfId="0" applyNumberFormat="1" applyFont="1" applyBorder="1" applyAlignment="1" applyProtection="1">
      <alignment horizontal="center" vertical="center"/>
    </xf>
    <xf numFmtId="0" fontId="4" fillId="20" borderId="83" xfId="0" applyFont="1" applyFill="1" applyBorder="1" applyAlignment="1" applyProtection="1">
      <alignment horizontal="justify" vertical="center"/>
    </xf>
    <xf numFmtId="0" fontId="4" fillId="0" borderId="83" xfId="0" applyFont="1" applyBorder="1" applyAlignment="1" applyProtection="1">
      <alignment horizontal="center" vertical="center"/>
    </xf>
    <xf numFmtId="0" fontId="4" fillId="0" borderId="83" xfId="0" applyFont="1" applyBorder="1" applyAlignment="1" applyProtection="1">
      <alignment horizontal="justify" vertical="center" wrapText="1"/>
    </xf>
    <xf numFmtId="0" fontId="4" fillId="17" borderId="83"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26" borderId="83" xfId="0" applyFont="1" applyFill="1" applyBorder="1" applyAlignment="1" applyProtection="1">
      <alignment horizontal="center" vertical="center"/>
    </xf>
    <xf numFmtId="0" fontId="4" fillId="0" borderId="83" xfId="0" applyFont="1" applyBorder="1" applyAlignment="1" applyProtection="1">
      <alignment horizontal="left" vertical="center" wrapText="1"/>
    </xf>
    <xf numFmtId="0" fontId="0" fillId="7" borderId="83" xfId="0" applyFill="1" applyBorder="1" applyAlignment="1" applyProtection="1">
      <alignment horizontal="justify" vertical="center"/>
    </xf>
    <xf numFmtId="0" fontId="0" fillId="15" borderId="83" xfId="0" applyFill="1" applyBorder="1" applyAlignment="1" applyProtection="1">
      <alignment horizontal="justify" vertical="center"/>
    </xf>
    <xf numFmtId="0" fontId="0" fillId="20" borderId="83" xfId="0" applyFill="1" applyBorder="1" applyAlignment="1" applyProtection="1">
      <alignment horizontal="justify" vertical="center"/>
    </xf>
    <xf numFmtId="9" fontId="0" fillId="0" borderId="83" xfId="0" applyNumberFormat="1" applyBorder="1" applyAlignment="1" applyProtection="1">
      <alignment horizontal="justify" vertical="center" wrapText="1"/>
    </xf>
    <xf numFmtId="0" fontId="0" fillId="0" borderId="83" xfId="0" applyBorder="1" applyAlignment="1" applyProtection="1">
      <alignment horizontal="justify"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0" xfId="0" applyAlignment="1" applyProtection="1">
      <alignment horizontal="justify" vertical="center" wrapText="1"/>
    </xf>
    <xf numFmtId="164" fontId="20" fillId="0" borderId="76" xfId="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xf>
    <xf numFmtId="164" fontId="20" fillId="0" borderId="76" xfId="26" applyNumberFormat="1" applyFont="1" applyBorder="1" applyAlignment="1" applyProtection="1">
      <alignment horizontal="center" vertical="center" wrapText="1"/>
    </xf>
    <xf numFmtId="164" fontId="20" fillId="0" borderId="3" xfId="6" applyNumberFormat="1" applyFont="1" applyBorder="1" applyAlignment="1" applyProtection="1">
      <alignment horizontal="center" vertical="center" wrapText="1"/>
    </xf>
    <xf numFmtId="164" fontId="20" fillId="8" borderId="3" xfId="5" applyNumberFormat="1" applyFont="1" applyFill="1" applyBorder="1" applyAlignment="1" applyProtection="1">
      <alignment horizontal="center" vertical="center"/>
    </xf>
    <xf numFmtId="164" fontId="20" fillId="0" borderId="76" xfId="6" applyNumberFormat="1" applyFont="1" applyFill="1" applyBorder="1" applyAlignment="1" applyProtection="1">
      <alignment horizontal="center" vertical="center" wrapText="1"/>
    </xf>
    <xf numFmtId="164" fontId="20" fillId="19" borderId="76" xfId="7" applyNumberFormat="1" applyFont="1" applyFill="1" applyBorder="1" applyAlignment="1" applyProtection="1">
      <alignment horizontal="center" vertical="center" wrapText="1"/>
    </xf>
    <xf numFmtId="164" fontId="20" fillId="0" borderId="3" xfId="5" applyNumberFormat="1" applyFont="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xf>
    <xf numFmtId="164" fontId="21" fillId="4" borderId="11" xfId="3" applyNumberFormat="1" applyFont="1" applyFill="1" applyBorder="1" applyAlignment="1" applyProtection="1">
      <alignment horizontal="center" vertical="center"/>
    </xf>
    <xf numFmtId="164" fontId="21" fillId="4" borderId="82" xfId="5" applyNumberFormat="1" applyFont="1" applyFill="1" applyBorder="1" applyAlignment="1" applyProtection="1">
      <alignment horizontal="center" vertical="center"/>
    </xf>
    <xf numFmtId="164" fontId="20" fillId="0" borderId="3" xfId="7" applyNumberFormat="1" applyFont="1" applyBorder="1" applyAlignment="1" applyProtection="1">
      <alignment horizontal="center" vertical="center" wrapText="1"/>
    </xf>
    <xf numFmtId="0" fontId="19" fillId="0" borderId="83" xfId="23" applyFont="1" applyBorder="1" applyAlignment="1" applyProtection="1">
      <alignment horizontal="justify" vertical="center" wrapText="1"/>
    </xf>
    <xf numFmtId="164" fontId="20" fillId="8" borderId="3" xfId="6"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xf>
    <xf numFmtId="164" fontId="20" fillId="18" borderId="3" xfId="7"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wrapText="1"/>
    </xf>
    <xf numFmtId="164" fontId="20" fillId="18" borderId="2" xfId="7" applyNumberFormat="1" applyFont="1" applyFill="1" applyBorder="1" applyAlignment="1" applyProtection="1">
      <alignment horizontal="center" vertical="center"/>
    </xf>
    <xf numFmtId="10" fontId="20" fillId="0" borderId="3" xfId="6" applyNumberFormat="1" applyFont="1" applyFill="1" applyBorder="1" applyAlignment="1" applyProtection="1">
      <alignment horizontal="center" vertical="center" wrapText="1"/>
    </xf>
    <xf numFmtId="164" fontId="36" fillId="0" borderId="2" xfId="0" applyNumberFormat="1" applyFont="1" applyBorder="1" applyAlignment="1" applyProtection="1">
      <alignment horizontal="center" vertical="center" wrapText="1"/>
    </xf>
    <xf numFmtId="164" fontId="36" fillId="8" borderId="3" xfId="5" applyNumberFormat="1" applyFont="1" applyFill="1" applyBorder="1" applyAlignment="1" applyProtection="1">
      <alignment horizontal="center" vertical="center"/>
    </xf>
    <xf numFmtId="164" fontId="36" fillId="0" borderId="2" xfId="0" applyNumberFormat="1" applyFont="1" applyFill="1" applyBorder="1" applyAlignment="1" applyProtection="1">
      <alignment horizontal="center" vertical="center" wrapText="1"/>
    </xf>
    <xf numFmtId="164" fontId="36" fillId="0" borderId="3" xfId="5" applyNumberFormat="1" applyFont="1" applyBorder="1" applyAlignment="1" applyProtection="1">
      <alignment horizontal="center" vertical="center" wrapText="1"/>
    </xf>
    <xf numFmtId="164" fontId="36" fillId="0" borderId="3" xfId="5" applyNumberFormat="1" applyFont="1" applyFill="1" applyBorder="1" applyAlignment="1" applyProtection="1">
      <alignment horizontal="center" vertical="center" wrapText="1"/>
    </xf>
    <xf numFmtId="164" fontId="20" fillId="8" borderId="3" xfId="0" applyNumberFormat="1" applyFont="1" applyFill="1" applyBorder="1" applyAlignment="1" applyProtection="1">
      <alignment horizontal="center" vertical="center"/>
    </xf>
    <xf numFmtId="164" fontId="20" fillId="0" borderId="0" xfId="5" applyNumberFormat="1" applyFont="1" applyAlignment="1" applyProtection="1">
      <alignment horizontal="center" vertical="center"/>
    </xf>
    <xf numFmtId="164" fontId="20" fillId="8" borderId="76" xfId="0" applyNumberFormat="1" applyFont="1" applyFill="1" applyBorder="1" applyAlignment="1" applyProtection="1">
      <alignment horizontal="center" vertical="center"/>
    </xf>
    <xf numFmtId="164" fontId="20" fillId="0" borderId="76" xfId="7" applyNumberFormat="1" applyFont="1" applyBorder="1" applyAlignment="1" applyProtection="1">
      <alignment horizontal="center" vertical="center" wrapText="1"/>
    </xf>
    <xf numFmtId="0" fontId="23" fillId="0" borderId="0" xfId="0" applyFont="1" applyFill="1" applyProtection="1">
      <protection hidden="1"/>
    </xf>
    <xf numFmtId="0" fontId="23" fillId="0" borderId="1" xfId="0" applyFont="1" applyFill="1" applyBorder="1" applyAlignment="1" applyProtection="1">
      <alignment horizontal="center" vertical="center"/>
      <protection hidden="1"/>
    </xf>
    <xf numFmtId="0" fontId="23" fillId="0" borderId="1" xfId="0" applyFont="1" applyFill="1" applyBorder="1" applyProtection="1">
      <protection hidden="1"/>
    </xf>
    <xf numFmtId="0" fontId="23" fillId="0" borderId="0" xfId="0" applyFont="1" applyFill="1" applyAlignment="1" applyProtection="1">
      <alignment horizontal="justify" vertical="center"/>
      <protection hidden="1"/>
    </xf>
    <xf numFmtId="0" fontId="8" fillId="0" borderId="1" xfId="0" applyFont="1" applyBorder="1" applyAlignment="1" applyProtection="1">
      <alignment horizontal="center" vertical="center"/>
      <protection hidden="1"/>
    </xf>
    <xf numFmtId="0" fontId="23" fillId="0" borderId="0" xfId="0" applyFont="1" applyAlignment="1" applyProtection="1">
      <alignment horizontal="justify" vertical="center"/>
      <protection hidden="1"/>
    </xf>
    <xf numFmtId="0" fontId="23" fillId="0" borderId="0" xfId="0" applyFont="1" applyProtection="1">
      <protection hidden="1"/>
    </xf>
    <xf numFmtId="0" fontId="11"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justify" vertical="center"/>
      <protection hidden="1"/>
    </xf>
    <xf numFmtId="0" fontId="8" fillId="0"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center"/>
      <protection hidden="1"/>
    </xf>
    <xf numFmtId="0" fontId="47" fillId="0" borderId="1" xfId="0" applyFont="1" applyFill="1" applyBorder="1" applyAlignment="1" applyProtection="1">
      <alignment horizontal="justify" vertical="center"/>
      <protection hidden="1"/>
    </xf>
    <xf numFmtId="0" fontId="53" fillId="0" borderId="0" xfId="0" applyFont="1" applyFill="1" applyProtection="1">
      <protection hidden="1"/>
    </xf>
    <xf numFmtId="0" fontId="23" fillId="0" borderId="0" xfId="0" applyFont="1" applyFill="1" applyAlignment="1" applyProtection="1">
      <alignment horizontal="center" vertical="center"/>
      <protection hidden="1"/>
    </xf>
    <xf numFmtId="0" fontId="23" fillId="0" borderId="57" xfId="0" applyFont="1" applyFill="1" applyBorder="1" applyProtection="1">
      <protection hidden="1"/>
    </xf>
    <xf numFmtId="0" fontId="23" fillId="0" borderId="5" xfId="0" applyFont="1" applyFill="1" applyBorder="1" applyAlignment="1" applyProtection="1">
      <alignment horizontal="center" vertical="center"/>
      <protection hidden="1"/>
    </xf>
    <xf numFmtId="164" fontId="23" fillId="0" borderId="83" xfId="0" applyNumberFormat="1" applyFont="1" applyFill="1" applyBorder="1" applyAlignment="1" applyProtection="1">
      <alignment horizontal="center" vertical="center" wrapText="1"/>
      <protection hidden="1"/>
    </xf>
    <xf numFmtId="164" fontId="23" fillId="0" borderId="1" xfId="0" applyNumberFormat="1" applyFont="1" applyFill="1" applyBorder="1" applyAlignment="1" applyProtection="1">
      <alignment horizontal="center" vertical="center" wrapText="1"/>
      <protection hidden="1"/>
    </xf>
    <xf numFmtId="0" fontId="23" fillId="0" borderId="56" xfId="0" applyFont="1" applyFill="1" applyBorder="1" applyProtection="1">
      <protection hidden="1"/>
    </xf>
    <xf numFmtId="0" fontId="23" fillId="0" borderId="54" xfId="0" applyFont="1" applyFill="1" applyBorder="1" applyProtection="1">
      <protection hidden="1"/>
    </xf>
    <xf numFmtId="0" fontId="23" fillId="0" borderId="80" xfId="0" applyFont="1" applyFill="1" applyBorder="1" applyAlignment="1" applyProtection="1">
      <alignment horizontal="center" vertical="center"/>
      <protection hidden="1"/>
    </xf>
    <xf numFmtId="164" fontId="23" fillId="0" borderId="76" xfId="0" applyNumberFormat="1" applyFont="1" applyFill="1" applyBorder="1" applyAlignment="1" applyProtection="1">
      <alignment horizontal="center" vertical="center" wrapText="1"/>
      <protection hidden="1"/>
    </xf>
    <xf numFmtId="0" fontId="24" fillId="0" borderId="50" xfId="0" applyFont="1" applyFill="1" applyBorder="1" applyProtection="1">
      <protection hidden="1"/>
    </xf>
    <xf numFmtId="0" fontId="24" fillId="0" borderId="33" xfId="0" applyFont="1" applyFill="1" applyBorder="1" applyAlignment="1" applyProtection="1">
      <alignment horizontal="center" vertical="center"/>
      <protection hidden="1"/>
    </xf>
    <xf numFmtId="164" fontId="24" fillId="0" borderId="33" xfId="0" applyNumberFormat="1" applyFont="1" applyFill="1" applyBorder="1" applyAlignment="1" applyProtection="1">
      <alignment horizontal="center" vertical="center" wrapText="1"/>
      <protection hidden="1"/>
    </xf>
    <xf numFmtId="164" fontId="24" fillId="0" borderId="51" xfId="0" applyNumberFormat="1" applyFont="1" applyFill="1" applyBorder="1" applyAlignment="1" applyProtection="1">
      <alignment horizontal="center" vertical="center" wrapText="1"/>
      <protection hidden="1"/>
    </xf>
    <xf numFmtId="164" fontId="23" fillId="0" borderId="5" xfId="0" applyNumberFormat="1" applyFont="1" applyFill="1" applyBorder="1" applyAlignment="1" applyProtection="1">
      <alignment horizontal="center" vertical="center" wrapText="1"/>
      <protection hidden="1"/>
    </xf>
    <xf numFmtId="0" fontId="24" fillId="0" borderId="50" xfId="0" applyFont="1" applyFill="1" applyBorder="1" applyAlignment="1" applyProtection="1">
      <alignment vertical="center" wrapText="1"/>
      <protection hidden="1"/>
    </xf>
    <xf numFmtId="0" fontId="19" fillId="0" borderId="0" xfId="0" applyFont="1" applyFill="1" applyProtection="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justify" vertical="center"/>
      <protection hidden="1"/>
    </xf>
    <xf numFmtId="0" fontId="8" fillId="21" borderId="0" xfId="0" applyFont="1" applyFill="1" applyProtection="1">
      <protection hidden="1"/>
    </xf>
    <xf numFmtId="0" fontId="24" fillId="22" borderId="83" xfId="0" applyFont="1" applyFill="1" applyBorder="1" applyAlignment="1" applyProtection="1">
      <alignment horizontal="center" vertical="center" wrapText="1"/>
      <protection hidden="1"/>
    </xf>
    <xf numFmtId="0" fontId="24" fillId="22" borderId="83" xfId="0" applyFont="1" applyFill="1" applyBorder="1" applyAlignment="1" applyProtection="1">
      <alignment horizontal="center" vertical="center"/>
      <protection hidden="1"/>
    </xf>
    <xf numFmtId="3" fontId="23" fillId="0" borderId="83" xfId="0" applyNumberFormat="1" applyFont="1" applyFill="1" applyBorder="1" applyAlignment="1" applyProtection="1">
      <alignment horizontal="center" vertical="center"/>
      <protection hidden="1"/>
    </xf>
    <xf numFmtId="0" fontId="23" fillId="0" borderId="83" xfId="0" applyFont="1" applyFill="1" applyBorder="1" applyAlignment="1" applyProtection="1">
      <alignment horizontal="justify" vertical="center" wrapText="1"/>
      <protection hidden="1"/>
    </xf>
    <xf numFmtId="0" fontId="23" fillId="0" borderId="83" xfId="0" applyFont="1" applyFill="1" applyBorder="1" applyAlignment="1" applyProtection="1">
      <alignment horizontal="center" vertical="center" wrapText="1"/>
      <protection hidden="1"/>
    </xf>
    <xf numFmtId="165" fontId="23" fillId="0" borderId="83" xfId="0" applyNumberFormat="1" applyFont="1" applyFill="1" applyBorder="1" applyAlignment="1" applyProtection="1">
      <alignment horizontal="center" vertical="center"/>
      <protection hidden="1"/>
    </xf>
    <xf numFmtId="164" fontId="23" fillId="0" borderId="83" xfId="5" applyNumberFormat="1" applyFont="1" applyFill="1" applyBorder="1" applyAlignment="1" applyProtection="1">
      <alignment horizontal="center" vertical="center" wrapText="1"/>
      <protection hidden="1"/>
    </xf>
    <xf numFmtId="164" fontId="46" fillId="0" borderId="83" xfId="0" applyNumberFormat="1" applyFont="1" applyFill="1" applyBorder="1" applyAlignment="1" applyProtection="1">
      <alignment horizontal="justify" vertical="center" wrapText="1"/>
      <protection hidden="1"/>
    </xf>
    <xf numFmtId="9" fontId="23" fillId="0" borderId="83" xfId="5" applyFont="1" applyFill="1" applyBorder="1" applyAlignment="1" applyProtection="1">
      <alignment horizontal="center" vertical="center"/>
      <protection hidden="1"/>
    </xf>
    <xf numFmtId="164" fontId="23" fillId="0" borderId="83" xfId="5" applyNumberFormat="1" applyFont="1" applyFill="1" applyBorder="1" applyAlignment="1" applyProtection="1">
      <alignment horizontal="center" vertical="center"/>
      <protection hidden="1"/>
    </xf>
    <xf numFmtId="9" fontId="24" fillId="0" borderId="83" xfId="0" applyNumberFormat="1" applyFont="1" applyFill="1" applyBorder="1" applyAlignment="1" applyProtection="1">
      <alignment horizontal="center" vertical="center" wrapText="1"/>
      <protection hidden="1"/>
    </xf>
    <xf numFmtId="164" fontId="24" fillId="0" borderId="83"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justify" vertical="center" wrapText="1"/>
      <protection hidden="1"/>
    </xf>
    <xf numFmtId="0" fontId="24" fillId="21" borderId="0" xfId="0" applyFont="1" applyFill="1" applyProtection="1">
      <protection hidden="1"/>
    </xf>
    <xf numFmtId="9" fontId="46" fillId="0" borderId="83" xfId="0" applyNumberFormat="1" applyFont="1" applyFill="1" applyBorder="1" applyAlignment="1" applyProtection="1">
      <alignment horizontal="center" vertical="center" wrapText="1"/>
      <protection hidden="1"/>
    </xf>
    <xf numFmtId="9" fontId="23" fillId="0" borderId="83" xfId="7" applyFont="1" applyFill="1" applyBorder="1" applyAlignment="1" applyProtection="1">
      <alignment horizontal="center" vertical="center"/>
      <protection hidden="1"/>
    </xf>
    <xf numFmtId="0" fontId="8" fillId="0" borderId="0" xfId="0" applyFont="1" applyFill="1" applyProtection="1">
      <protection hidden="1"/>
    </xf>
    <xf numFmtId="0" fontId="8" fillId="0" borderId="0" xfId="0" applyFont="1" applyFill="1" applyAlignment="1" applyProtection="1">
      <alignment horizontal="center" vertical="center"/>
      <protection hidden="1"/>
    </xf>
    <xf numFmtId="164" fontId="23" fillId="0" borderId="83" xfId="7" applyNumberFormat="1" applyFont="1" applyFill="1" applyBorder="1" applyAlignment="1" applyProtection="1">
      <alignment horizontal="center" vertical="center"/>
      <protection hidden="1"/>
    </xf>
    <xf numFmtId="164" fontId="23" fillId="3" borderId="83" xfId="0" applyNumberFormat="1" applyFont="1" applyFill="1" applyBorder="1" applyAlignment="1" applyProtection="1">
      <alignment horizontal="center" vertical="center" wrapText="1"/>
      <protection hidden="1"/>
    </xf>
    <xf numFmtId="9" fontId="23" fillId="0" borderId="83" xfId="0" applyNumberFormat="1" applyFont="1" applyFill="1" applyBorder="1" applyAlignment="1" applyProtection="1">
      <alignment horizontal="center" vertical="center" wrapText="1"/>
      <protection hidden="1"/>
    </xf>
    <xf numFmtId="0" fontId="24" fillId="0" borderId="83" xfId="0" applyFont="1" applyFill="1" applyBorder="1" applyAlignment="1" applyProtection="1">
      <alignment horizontal="center"/>
      <protection hidden="1"/>
    </xf>
    <xf numFmtId="9" fontId="24" fillId="0" borderId="1" xfId="0" applyNumberFormat="1" applyFont="1" applyFill="1" applyBorder="1" applyAlignment="1" applyProtection="1">
      <alignment horizontal="center" vertical="center" wrapText="1"/>
      <protection hidden="1"/>
    </xf>
    <xf numFmtId="9" fontId="23" fillId="0" borderId="86" xfId="0" applyNumberFormat="1" applyFont="1" applyFill="1" applyBorder="1" applyAlignment="1" applyProtection="1">
      <alignment horizontal="center" vertical="center" wrapText="1"/>
      <protection hidden="1"/>
    </xf>
    <xf numFmtId="164" fontId="46" fillId="0" borderId="83" xfId="0" applyNumberFormat="1" applyFont="1" applyFill="1" applyBorder="1" applyAlignment="1" applyProtection="1">
      <alignment horizontal="center" vertical="center" wrapText="1"/>
      <protection hidden="1"/>
    </xf>
    <xf numFmtId="165" fontId="23" fillId="0" borderId="83" xfId="27" applyNumberFormat="1" applyFont="1" applyFill="1" applyBorder="1" applyAlignment="1" applyProtection="1">
      <alignment horizontal="center" vertical="center"/>
      <protection hidden="1"/>
    </xf>
    <xf numFmtId="164" fontId="4" fillId="0" borderId="83" xfId="0" applyNumberFormat="1" applyFont="1" applyFill="1" applyBorder="1" applyAlignment="1" applyProtection="1">
      <alignment horizontal="justify" vertical="center" wrapText="1"/>
      <protection hidden="1"/>
    </xf>
    <xf numFmtId="165" fontId="23" fillId="0" borderId="0" xfId="0" applyNumberFormat="1" applyFont="1" applyFill="1" applyProtection="1">
      <protection hidden="1"/>
    </xf>
    <xf numFmtId="164" fontId="46" fillId="0" borderId="83" xfId="5" applyNumberFormat="1" applyFont="1" applyFill="1" applyBorder="1" applyAlignment="1" applyProtection="1">
      <alignment horizontal="center" vertical="center" wrapText="1"/>
      <protection hidden="1"/>
    </xf>
    <xf numFmtId="9" fontId="23" fillId="0" borderId="83" xfId="5" applyFont="1" applyFill="1" applyBorder="1" applyAlignment="1" applyProtection="1">
      <alignment horizontal="center" vertical="center" wrapText="1"/>
      <protection hidden="1"/>
    </xf>
    <xf numFmtId="164" fontId="46" fillId="0" borderId="1" xfId="0" applyNumberFormat="1" applyFont="1" applyFill="1" applyBorder="1" applyAlignment="1" applyProtection="1">
      <alignment horizontal="justify" vertical="center" wrapText="1"/>
      <protection hidden="1"/>
    </xf>
    <xf numFmtId="164" fontId="24" fillId="0" borderId="83" xfId="0" applyNumberFormat="1" applyFont="1" applyFill="1" applyBorder="1" applyAlignment="1" applyProtection="1">
      <alignment horizontal="justify" vertical="center" wrapText="1"/>
      <protection hidden="1"/>
    </xf>
    <xf numFmtId="10" fontId="23" fillId="0" borderId="83" xfId="0" applyNumberFormat="1" applyFont="1" applyFill="1" applyBorder="1" applyAlignment="1" applyProtection="1">
      <alignment horizontal="center" vertical="center" wrapText="1"/>
      <protection hidden="1"/>
    </xf>
    <xf numFmtId="10" fontId="24" fillId="0" borderId="83" xfId="0" applyNumberFormat="1" applyFont="1" applyFill="1" applyBorder="1" applyAlignment="1" applyProtection="1">
      <alignment horizontal="center" vertical="center" wrapText="1"/>
      <protection hidden="1"/>
    </xf>
    <xf numFmtId="9" fontId="23" fillId="0" borderId="83" xfId="0" applyNumberFormat="1" applyFont="1" applyFill="1" applyBorder="1" applyAlignment="1" applyProtection="1">
      <alignment horizontal="justify" vertical="center" wrapText="1"/>
      <protection hidden="1"/>
    </xf>
    <xf numFmtId="0" fontId="24" fillId="0" borderId="1" xfId="0" applyFont="1" applyFill="1" applyBorder="1" applyAlignment="1" applyProtection="1">
      <alignment horizontal="center"/>
      <protection hidden="1"/>
    </xf>
    <xf numFmtId="3" fontId="23" fillId="0" borderId="83" xfId="27" applyNumberFormat="1" applyFont="1" applyFill="1" applyBorder="1" applyAlignment="1" applyProtection="1">
      <alignment horizontal="center" vertical="center"/>
      <protection hidden="1"/>
    </xf>
    <xf numFmtId="0" fontId="36" fillId="0" borderId="2" xfId="0" applyFont="1" applyBorder="1" applyAlignment="1" applyProtection="1">
      <alignment horizontal="left" vertical="center" wrapText="1"/>
    </xf>
    <xf numFmtId="9" fontId="36" fillId="0" borderId="2" xfId="0" applyNumberFormat="1" applyFont="1" applyBorder="1" applyAlignment="1" applyProtection="1">
      <alignment horizontal="center" vertical="center" wrapText="1"/>
    </xf>
    <xf numFmtId="0" fontId="36" fillId="0" borderId="76" xfId="24" applyFont="1" applyBorder="1" applyAlignment="1" applyProtection="1">
      <alignment horizontal="left" vertical="center" wrapText="1"/>
    </xf>
    <xf numFmtId="0" fontId="36" fillId="2" borderId="2" xfId="1" applyFont="1" applyFill="1" applyBorder="1" applyAlignment="1" applyProtection="1">
      <alignment horizontal="left" vertical="center" wrapText="1"/>
    </xf>
    <xf numFmtId="3" fontId="36" fillId="3" borderId="2" xfId="23" applyNumberFormat="1" applyFont="1" applyFill="1" applyBorder="1" applyAlignment="1" applyProtection="1">
      <alignment horizontal="center" vertical="center" wrapText="1"/>
    </xf>
    <xf numFmtId="0" fontId="36" fillId="0" borderId="6" xfId="23" applyFont="1" applyBorder="1" applyAlignment="1" applyProtection="1">
      <alignment horizontal="left" vertical="center" wrapText="1"/>
    </xf>
    <xf numFmtId="0" fontId="36" fillId="3" borderId="6" xfId="23" applyFont="1" applyFill="1" applyBorder="1" applyAlignment="1" applyProtection="1">
      <alignment horizontal="left" vertical="center" wrapText="1"/>
    </xf>
    <xf numFmtId="0" fontId="36" fillId="0" borderId="2" xfId="23" applyFont="1" applyBorder="1" applyAlignment="1" applyProtection="1">
      <alignment horizontal="center" vertical="center" wrapText="1"/>
    </xf>
    <xf numFmtId="0" fontId="36" fillId="0" borderId="2" xfId="24" applyFont="1" applyBorder="1" applyAlignment="1" applyProtection="1">
      <alignment vertical="center" wrapText="1"/>
    </xf>
    <xf numFmtId="0" fontId="36" fillId="0" borderId="2" xfId="0" applyNumberFormat="1" applyFont="1" applyBorder="1" applyAlignment="1" applyProtection="1">
      <alignment horizontal="center" vertical="center" wrapText="1"/>
    </xf>
    <xf numFmtId="0" fontId="36" fillId="3" borderId="76" xfId="24"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3" fontId="36" fillId="0" borderId="2" xfId="23" applyNumberFormat="1" applyFont="1" applyBorder="1" applyAlignment="1" applyProtection="1">
      <alignment horizontal="center" vertical="center" wrapText="1"/>
    </xf>
    <xf numFmtId="0" fontId="36" fillId="0" borderId="6" xfId="23" applyFont="1" applyFill="1" applyBorder="1" applyAlignment="1" applyProtection="1">
      <alignment horizontal="left" vertical="center" wrapText="1"/>
    </xf>
    <xf numFmtId="0" fontId="19" fillId="0" borderId="76" xfId="0" applyFont="1" applyBorder="1" applyAlignment="1" applyProtection="1">
      <alignment horizontal="center" vertical="center" wrapText="1"/>
    </xf>
    <xf numFmtId="164" fontId="44" fillId="3" borderId="83" xfId="0" applyNumberFormat="1" applyFont="1" applyFill="1" applyBorder="1" applyAlignment="1" applyProtection="1">
      <alignment horizontal="center" vertical="center" wrapText="1"/>
    </xf>
    <xf numFmtId="3" fontId="19" fillId="0" borderId="83" xfId="0" applyNumberFormat="1" applyFont="1" applyBorder="1" applyAlignment="1">
      <alignment horizontal="center" vertical="center" wrapText="1"/>
    </xf>
    <xf numFmtId="0" fontId="19" fillId="0" borderId="83" xfId="0" applyFont="1" applyBorder="1" applyAlignment="1">
      <alignment horizontal="center" vertical="center" wrapText="1"/>
    </xf>
    <xf numFmtId="0" fontId="19" fillId="0" borderId="86" xfId="23" applyFont="1" applyBorder="1" applyAlignment="1">
      <alignment horizontal="justify" vertical="center" wrapText="1"/>
    </xf>
    <xf numFmtId="0" fontId="19" fillId="0" borderId="86" xfId="23" applyFont="1" applyBorder="1" applyAlignment="1">
      <alignment horizontal="left" vertical="center" wrapText="1"/>
    </xf>
    <xf numFmtId="0" fontId="23" fillId="3" borderId="83" xfId="0" applyFont="1" applyFill="1" applyBorder="1" applyAlignment="1">
      <alignment horizontal="center" vertical="center" wrapText="1"/>
    </xf>
    <xf numFmtId="0" fontId="23" fillId="0" borderId="83" xfId="0" applyFont="1" applyBorder="1" applyAlignment="1">
      <alignment horizontal="center" vertical="center" wrapText="1"/>
    </xf>
    <xf numFmtId="0" fontId="19" fillId="0" borderId="0" xfId="0" applyFont="1" applyAlignment="1">
      <alignment horizontal="center" vertical="center" wrapText="1"/>
    </xf>
    <xf numFmtId="9" fontId="19" fillId="0" borderId="83" xfId="0" applyNumberFormat="1" applyFont="1" applyBorder="1" applyAlignment="1">
      <alignment horizontal="center" vertical="center" wrapText="1"/>
    </xf>
    <xf numFmtId="0" fontId="19" fillId="0" borderId="83" xfId="0" applyFont="1" applyBorder="1" applyAlignment="1">
      <alignment horizontal="center" vertical="center"/>
    </xf>
    <xf numFmtId="0" fontId="39" fillId="0" borderId="83" xfId="0" applyFont="1" applyBorder="1" applyAlignment="1">
      <alignment horizontal="justify" vertical="center" readingOrder="1"/>
    </xf>
    <xf numFmtId="164" fontId="19" fillId="0" borderId="83" xfId="0" applyNumberFormat="1" applyFont="1" applyBorder="1" applyAlignment="1">
      <alignment horizontal="center" vertical="center" wrapText="1"/>
    </xf>
    <xf numFmtId="3" fontId="20" fillId="0" borderId="3" xfId="6" applyNumberFormat="1" applyFont="1" applyFill="1" applyBorder="1" applyAlignment="1" applyProtection="1">
      <alignment horizontal="center" vertical="center" wrapText="1"/>
    </xf>
    <xf numFmtId="164" fontId="20" fillId="0" borderId="83" xfId="26" applyNumberFormat="1" applyFont="1" applyFill="1" applyBorder="1" applyAlignment="1" applyProtection="1">
      <alignment horizontal="center" vertical="center" wrapText="1"/>
    </xf>
    <xf numFmtId="164" fontId="20" fillId="0" borderId="76" xfId="26" applyNumberFormat="1" applyFont="1" applyFill="1" applyBorder="1" applyAlignment="1" applyProtection="1">
      <alignment horizontal="center" vertical="center" wrapText="1"/>
    </xf>
    <xf numFmtId="0" fontId="26" fillId="0" borderId="5" xfId="0" applyFont="1" applyBorder="1" applyAlignment="1" applyProtection="1">
      <alignment horizontal="center" vertical="center"/>
    </xf>
    <xf numFmtId="0" fontId="24" fillId="22" borderId="83" xfId="0" applyFont="1" applyFill="1" applyBorder="1" applyAlignment="1" applyProtection="1">
      <alignment horizontal="center" vertical="center" wrapText="1"/>
      <protection hidden="1"/>
    </xf>
    <xf numFmtId="0" fontId="24" fillId="0" borderId="83" xfId="0" applyFont="1" applyFill="1" applyBorder="1" applyAlignment="1" applyProtection="1">
      <alignment horizontal="center"/>
      <protection hidden="1"/>
    </xf>
    <xf numFmtId="0" fontId="24" fillId="22" borderId="83" xfId="0"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center"/>
      <protection hidden="1"/>
    </xf>
    <xf numFmtId="0" fontId="24" fillId="27" borderId="83" xfId="0" applyFont="1" applyFill="1" applyBorder="1" applyAlignment="1" applyProtection="1">
      <alignment horizontal="center" vertical="center" wrapText="1"/>
      <protection hidden="1"/>
    </xf>
    <xf numFmtId="0" fontId="24" fillId="0" borderId="1" xfId="0" applyFont="1" applyFill="1" applyBorder="1" applyAlignment="1" applyProtection="1">
      <alignment vertical="center" wrapText="1"/>
      <protection hidden="1"/>
    </xf>
    <xf numFmtId="0" fontId="24" fillId="0" borderId="0" xfId="0" applyFont="1" applyFill="1" applyAlignment="1" applyProtection="1">
      <alignment horizontal="center" vertical="center"/>
      <protection hidden="1"/>
    </xf>
    <xf numFmtId="0" fontId="24" fillId="20" borderId="44" xfId="0" applyFont="1" applyFill="1" applyBorder="1" applyAlignment="1" applyProtection="1">
      <alignment horizontal="center" vertical="center" wrapText="1"/>
      <protection hidden="1"/>
    </xf>
    <xf numFmtId="0" fontId="24" fillId="20" borderId="46" xfId="0" applyFont="1" applyFill="1" applyBorder="1" applyAlignment="1" applyProtection="1">
      <alignment horizontal="center" vertical="center"/>
      <protection hidden="1"/>
    </xf>
    <xf numFmtId="0" fontId="54" fillId="27" borderId="83" xfId="0" applyFont="1" applyFill="1" applyBorder="1" applyAlignment="1" applyProtection="1">
      <alignment horizontal="center" vertical="center" wrapText="1"/>
      <protection hidden="1"/>
    </xf>
    <xf numFmtId="9" fontId="23" fillId="0" borderId="0" xfId="5" applyFont="1" applyFill="1" applyProtection="1">
      <protection hidden="1"/>
    </xf>
    <xf numFmtId="164" fontId="23" fillId="0" borderId="0" xfId="5" applyNumberFormat="1" applyFont="1" applyFill="1" applyProtection="1">
      <protection hidden="1"/>
    </xf>
    <xf numFmtId="43" fontId="23" fillId="0" borderId="0" xfId="33" applyFont="1" applyFill="1" applyProtection="1">
      <protection hidden="1"/>
    </xf>
    <xf numFmtId="0" fontId="19" fillId="0" borderId="83" xfId="23" applyFont="1" applyBorder="1" applyAlignment="1">
      <alignment horizontal="center" vertical="center" wrapText="1"/>
    </xf>
    <xf numFmtId="0" fontId="19" fillId="0" borderId="83" xfId="6" applyNumberFormat="1" applyFont="1" applyFill="1" applyBorder="1" applyAlignment="1" applyProtection="1">
      <alignment horizontal="left" vertical="center" wrapText="1"/>
    </xf>
    <xf numFmtId="164" fontId="20" fillId="0" borderId="95" xfId="7" applyNumberFormat="1" applyFont="1" applyFill="1" applyBorder="1" applyAlignment="1" applyProtection="1">
      <alignment horizontal="center" vertical="center" wrapText="1"/>
    </xf>
    <xf numFmtId="164" fontId="20" fillId="0" borderId="95" xfId="6" applyNumberFormat="1" applyFont="1" applyFill="1" applyBorder="1" applyAlignment="1" applyProtection="1">
      <alignment horizontal="center" vertical="center" wrapText="1"/>
    </xf>
    <xf numFmtId="9" fontId="23" fillId="0" borderId="83" xfId="7" applyNumberFormat="1" applyFont="1" applyFill="1" applyBorder="1" applyAlignment="1" applyProtection="1">
      <alignment horizontal="center" vertical="center"/>
      <protection hidden="1"/>
    </xf>
    <xf numFmtId="166" fontId="46" fillId="0" borderId="1" xfId="5" applyNumberFormat="1" applyFont="1" applyBorder="1" applyAlignment="1" applyProtection="1">
      <alignment horizontal="center" vertical="center"/>
      <protection locked="0"/>
    </xf>
    <xf numFmtId="166" fontId="46" fillId="0" borderId="1" xfId="0" applyNumberFormat="1" applyFont="1" applyBorder="1" applyAlignment="1" applyProtection="1">
      <alignment horizontal="center" vertical="center"/>
      <protection locked="0"/>
    </xf>
    <xf numFmtId="164" fontId="6" fillId="0" borderId="1" xfId="5" applyNumberFormat="1" applyFont="1" applyBorder="1" applyAlignment="1">
      <alignment vertical="center"/>
    </xf>
    <xf numFmtId="164" fontId="23" fillId="0" borderId="0" xfId="0" applyNumberFormat="1" applyFont="1" applyFill="1" applyProtection="1">
      <protection hidden="1"/>
    </xf>
    <xf numFmtId="167" fontId="23" fillId="0" borderId="0" xfId="0" applyNumberFormat="1" applyFont="1" applyFill="1" applyProtection="1">
      <protection hidden="1"/>
    </xf>
    <xf numFmtId="165" fontId="23" fillId="3" borderId="0" xfId="0" applyNumberFormat="1" applyFont="1" applyFill="1" applyProtection="1">
      <protection hidden="1"/>
    </xf>
    <xf numFmtId="164" fontId="4" fillId="3" borderId="83" xfId="0" applyNumberFormat="1" applyFont="1" applyFill="1" applyBorder="1" applyAlignment="1" applyProtection="1">
      <alignment horizontal="justify" vertical="center" wrapText="1"/>
      <protection hidden="1"/>
    </xf>
    <xf numFmtId="165" fontId="56" fillId="0" borderId="0" xfId="0" applyNumberFormat="1" applyFont="1" applyFill="1" applyProtection="1">
      <protection hidden="1"/>
    </xf>
    <xf numFmtId="0" fontId="24" fillId="20" borderId="83" xfId="0" applyFont="1" applyFill="1" applyBorder="1" applyAlignment="1">
      <alignment horizontal="center" vertical="center" wrapText="1"/>
    </xf>
    <xf numFmtId="9" fontId="23" fillId="3" borderId="0" xfId="5" applyFont="1" applyFill="1" applyProtection="1">
      <protection hidden="1"/>
    </xf>
    <xf numFmtId="164" fontId="46" fillId="3" borderId="83" xfId="0" applyNumberFormat="1" applyFont="1" applyFill="1" applyBorder="1" applyAlignment="1" applyProtection="1">
      <alignment horizontal="justify" vertical="center" wrapText="1"/>
      <protection hidden="1"/>
    </xf>
    <xf numFmtId="0" fontId="23" fillId="0" borderId="83" xfId="0" applyFont="1" applyBorder="1" applyAlignment="1">
      <alignment vertical="center"/>
    </xf>
    <xf numFmtId="0" fontId="4" fillId="0" borderId="83" xfId="0" applyFont="1" applyBorder="1" applyAlignment="1">
      <alignment wrapText="1"/>
    </xf>
    <xf numFmtId="0" fontId="4" fillId="0" borderId="83" xfId="0" applyFont="1" applyBorder="1" applyAlignment="1">
      <alignment vertical="center" wrapText="1"/>
    </xf>
    <xf numFmtId="0" fontId="23" fillId="0" borderId="83" xfId="0" applyFont="1" applyBorder="1" applyAlignment="1">
      <alignment vertical="center" wrapText="1"/>
    </xf>
    <xf numFmtId="0" fontId="0" fillId="0" borderId="83" xfId="0" applyBorder="1" applyAlignment="1">
      <alignment vertical="center" wrapText="1"/>
    </xf>
    <xf numFmtId="10" fontId="20" fillId="0" borderId="76" xfId="6" applyNumberFormat="1" applyFont="1" applyBorder="1" applyAlignment="1" applyProtection="1">
      <alignment horizontal="center" vertical="center" wrapText="1"/>
    </xf>
    <xf numFmtId="1" fontId="20" fillId="0" borderId="76" xfId="6" applyNumberFormat="1" applyFont="1" applyBorder="1" applyAlignment="1" applyProtection="1">
      <alignment horizontal="center" vertical="center" wrapText="1"/>
    </xf>
    <xf numFmtId="3" fontId="19" fillId="0" borderId="83" xfId="0" applyNumberFormat="1" applyFont="1" applyFill="1" applyBorder="1" applyAlignment="1">
      <alignment horizontal="center" vertical="center" wrapText="1"/>
    </xf>
    <xf numFmtId="0" fontId="19" fillId="0" borderId="86" xfId="23" applyFont="1" applyFill="1" applyBorder="1" applyAlignment="1">
      <alignment horizontal="justify" vertical="center" wrapText="1"/>
    </xf>
    <xf numFmtId="0" fontId="19" fillId="0" borderId="86" xfId="23" applyFont="1" applyFill="1" applyBorder="1" applyAlignment="1">
      <alignment horizontal="center" vertical="center" wrapText="1"/>
    </xf>
    <xf numFmtId="0" fontId="19" fillId="0" borderId="83" xfId="23" applyFont="1" applyFill="1" applyBorder="1" applyAlignment="1" applyProtection="1">
      <alignment horizontal="justify" vertical="center" wrapText="1"/>
    </xf>
    <xf numFmtId="3" fontId="19" fillId="0" borderId="76" xfId="0" applyNumberFormat="1" applyFont="1" applyFill="1" applyBorder="1" applyAlignment="1">
      <alignment horizontal="center" vertical="center" wrapText="1"/>
    </xf>
    <xf numFmtId="0" fontId="19" fillId="0" borderId="94" xfId="23" applyFont="1" applyFill="1" applyBorder="1" applyAlignment="1">
      <alignment horizontal="justify" vertical="center" wrapText="1"/>
    </xf>
    <xf numFmtId="3" fontId="19" fillId="0" borderId="94" xfId="23" applyNumberFormat="1" applyFont="1" applyFill="1" applyBorder="1" applyAlignment="1">
      <alignment horizontal="center" vertical="center" wrapText="1"/>
    </xf>
    <xf numFmtId="3" fontId="19" fillId="0" borderId="86" xfId="23" applyNumberFormat="1" applyFont="1" applyFill="1" applyBorder="1" applyAlignment="1">
      <alignment horizontal="center" vertical="center" wrapText="1"/>
    </xf>
    <xf numFmtId="0" fontId="19" fillId="0" borderId="2" xfId="19" applyFont="1" applyFill="1" applyBorder="1" applyAlignment="1" applyProtection="1">
      <alignment horizontal="justify" vertical="center" wrapText="1"/>
    </xf>
    <xf numFmtId="0" fontId="19" fillId="0" borderId="2" xfId="19" applyFont="1" applyFill="1" applyBorder="1" applyAlignment="1" applyProtection="1">
      <alignment horizontal="left" vertical="center" wrapText="1"/>
    </xf>
    <xf numFmtId="0" fontId="19" fillId="0" borderId="2" xfId="19" applyFont="1" applyFill="1" applyBorder="1" applyAlignment="1" applyProtection="1">
      <alignment horizontal="center" vertical="center" wrapText="1"/>
    </xf>
    <xf numFmtId="0" fontId="19" fillId="0" borderId="86" xfId="23" applyFont="1" applyFill="1" applyBorder="1" applyAlignment="1">
      <alignment horizontal="left" vertical="center" wrapText="1"/>
    </xf>
    <xf numFmtId="0" fontId="19" fillId="0" borderId="83" xfId="23" applyFont="1" applyFill="1" applyBorder="1" applyAlignment="1">
      <alignment horizontal="left" vertical="center" wrapText="1"/>
    </xf>
    <xf numFmtId="9" fontId="19" fillId="0" borderId="83" xfId="7" applyFont="1" applyFill="1" applyBorder="1" applyAlignment="1">
      <alignment horizontal="center" vertical="center" wrapText="1"/>
    </xf>
    <xf numFmtId="0" fontId="19" fillId="0" borderId="90" xfId="23" applyFont="1" applyFill="1" applyBorder="1" applyAlignment="1">
      <alignment horizontal="justify" vertical="center" wrapText="1"/>
    </xf>
    <xf numFmtId="0" fontId="19" fillId="0" borderId="3" xfId="19" applyFont="1" applyFill="1" applyBorder="1" applyAlignment="1" applyProtection="1">
      <alignment horizontal="justify" vertical="center" wrapText="1"/>
    </xf>
    <xf numFmtId="0" fontId="19" fillId="0" borderId="83" xfId="0" applyFont="1" applyFill="1" applyBorder="1" applyAlignment="1">
      <alignment horizontal="center" vertical="center" wrapText="1"/>
    </xf>
    <xf numFmtId="0" fontId="19" fillId="0" borderId="3" xfId="0"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19" fillId="0" borderId="6" xfId="19" applyFont="1" applyFill="1" applyBorder="1" applyAlignment="1" applyProtection="1">
      <alignment horizontal="left" vertical="center" wrapText="1"/>
    </xf>
    <xf numFmtId="0" fontId="19" fillId="0" borderId="83" xfId="6" applyNumberFormat="1" applyFont="1" applyFill="1" applyBorder="1" applyAlignment="1" applyProtection="1">
      <alignment horizontal="center" vertical="center" wrapText="1"/>
    </xf>
    <xf numFmtId="0" fontId="19" fillId="0" borderId="95" xfId="0" applyFont="1" applyFill="1" applyBorder="1" applyAlignment="1">
      <alignment horizontal="left" vertical="center" wrapText="1"/>
    </xf>
    <xf numFmtId="0" fontId="19" fillId="0" borderId="83" xfId="23" applyFont="1" applyFill="1" applyBorder="1" applyAlignment="1">
      <alignment horizontal="center" vertical="center" wrapText="1"/>
    </xf>
    <xf numFmtId="0" fontId="19" fillId="0" borderId="83" xfId="6" applyNumberFormat="1" applyFont="1" applyFill="1" applyBorder="1" applyAlignment="1">
      <alignment horizontal="center" vertical="center" wrapText="1"/>
    </xf>
    <xf numFmtId="0" fontId="19" fillId="0" borderId="2" xfId="6" applyNumberFormat="1" applyFont="1" applyFill="1" applyBorder="1" applyAlignment="1" applyProtection="1">
      <alignment horizontal="left" vertical="center" wrapText="1"/>
    </xf>
    <xf numFmtId="3" fontId="20" fillId="0" borderId="76" xfId="6" applyNumberFormat="1" applyFont="1" applyBorder="1" applyAlignment="1" applyProtection="1">
      <alignment horizontal="center" vertical="center" wrapText="1"/>
    </xf>
    <xf numFmtId="9" fontId="20" fillId="0" borderId="3" xfId="5" applyFont="1" applyFill="1" applyBorder="1" applyAlignment="1" applyProtection="1">
      <alignment horizontal="center" vertical="center" wrapText="1"/>
    </xf>
    <xf numFmtId="0" fontId="0" fillId="0" borderId="76" xfId="0" applyBorder="1" applyAlignment="1" applyProtection="1">
      <alignment horizontal="center" vertical="center"/>
    </xf>
    <xf numFmtId="0" fontId="0" fillId="0" borderId="5" xfId="0" applyBorder="1" applyAlignment="1" applyProtection="1">
      <alignment horizontal="center" vertical="center"/>
    </xf>
    <xf numFmtId="0" fontId="0" fillId="0" borderId="80" xfId="0" applyBorder="1" applyAlignment="1" applyProtection="1">
      <alignment horizontal="center" vertical="center"/>
    </xf>
    <xf numFmtId="0" fontId="26" fillId="0" borderId="5" xfId="0" applyFont="1" applyBorder="1" applyAlignment="1" applyProtection="1">
      <alignment horizontal="center" vertical="center"/>
    </xf>
    <xf numFmtId="0" fontId="36" fillId="0" borderId="83" xfId="0" applyFont="1" applyBorder="1" applyAlignment="1" applyProtection="1">
      <alignment horizontal="center" vertical="center"/>
    </xf>
    <xf numFmtId="0" fontId="26" fillId="17" borderId="84" xfId="0" applyFont="1" applyFill="1" applyBorder="1" applyAlignment="1" applyProtection="1">
      <alignment horizontal="center" vertical="center" wrapText="1"/>
      <protection hidden="1"/>
    </xf>
    <xf numFmtId="0" fontId="26" fillId="17" borderId="85" xfId="0" applyFont="1" applyFill="1" applyBorder="1" applyAlignment="1" applyProtection="1">
      <alignment horizontal="center" vertical="center" wrapText="1"/>
      <protection hidden="1"/>
    </xf>
    <xf numFmtId="0" fontId="26" fillId="17" borderId="86" xfId="0" applyFont="1" applyFill="1" applyBorder="1" applyAlignment="1" applyProtection="1">
      <alignment horizontal="center" vertical="center" wrapText="1"/>
      <protection hidden="1"/>
    </xf>
    <xf numFmtId="0" fontId="26" fillId="23" borderId="67" xfId="0" applyFont="1" applyFill="1" applyBorder="1" applyAlignment="1" applyProtection="1">
      <alignment horizontal="center" vertical="center" wrapText="1"/>
      <protection hidden="1"/>
    </xf>
    <xf numFmtId="0" fontId="26" fillId="23" borderId="85" xfId="0" applyFont="1" applyFill="1" applyBorder="1" applyAlignment="1" applyProtection="1">
      <alignment horizontal="center" vertical="center" wrapText="1"/>
      <protection hidden="1"/>
    </xf>
    <xf numFmtId="0" fontId="49" fillId="25" borderId="84" xfId="0" applyFont="1" applyFill="1" applyBorder="1" applyAlignment="1" applyProtection="1">
      <alignment horizontal="center" vertical="center" wrapText="1"/>
      <protection hidden="1"/>
    </xf>
    <xf numFmtId="0" fontId="49" fillId="25" borderId="85" xfId="0" applyFont="1" applyFill="1" applyBorder="1" applyAlignment="1" applyProtection="1">
      <alignment horizontal="center" vertical="center" wrapText="1"/>
      <protection hidden="1"/>
    </xf>
    <xf numFmtId="0" fontId="26" fillId="0" borderId="0" xfId="0" applyFont="1" applyAlignment="1">
      <alignment horizontal="center"/>
    </xf>
    <xf numFmtId="0" fontId="19" fillId="0" borderId="76" xfId="0" applyFont="1" applyBorder="1" applyAlignment="1">
      <alignment horizontal="center" vertical="center" wrapText="1"/>
    </xf>
    <xf numFmtId="0" fontId="19" fillId="0" borderId="80" xfId="0" applyFont="1" applyBorder="1" applyAlignment="1">
      <alignment horizontal="center" vertical="center" wrapText="1"/>
    </xf>
    <xf numFmtId="0" fontId="19" fillId="0" borderId="5" xfId="0" applyFont="1" applyBorder="1" applyAlignment="1">
      <alignment horizontal="center" vertical="center" wrapText="1"/>
    </xf>
    <xf numFmtId="0" fontId="23" fillId="0" borderId="76" xfId="0" applyFont="1" applyBorder="1" applyAlignment="1">
      <alignment horizontal="center" vertical="center"/>
    </xf>
    <xf numFmtId="0" fontId="23" fillId="0" borderId="80" xfId="0" applyFont="1" applyBorder="1" applyAlignment="1">
      <alignment horizontal="center" vertical="center"/>
    </xf>
    <xf numFmtId="0" fontId="23" fillId="0" borderId="5" xfId="0" applyFont="1" applyBorder="1" applyAlignment="1">
      <alignment horizontal="center" vertical="center"/>
    </xf>
    <xf numFmtId="0" fontId="11" fillId="0" borderId="1" xfId="0" applyFont="1" applyBorder="1" applyAlignment="1">
      <alignment horizontal="center" vertical="center"/>
    </xf>
    <xf numFmtId="0" fontId="47" fillId="0" borderId="1" xfId="0" applyFont="1" applyBorder="1" applyAlignment="1">
      <alignment horizontal="center"/>
    </xf>
    <xf numFmtId="0" fontId="8" fillId="0" borderId="1" xfId="0" applyFont="1" applyBorder="1" applyAlignment="1">
      <alignment horizontal="center" vertical="center"/>
    </xf>
    <xf numFmtId="0" fontId="24" fillId="20" borderId="52" xfId="0" applyFont="1" applyFill="1" applyBorder="1" applyAlignment="1">
      <alignment horizontal="center" vertical="center" wrapText="1"/>
    </xf>
    <xf numFmtId="0" fontId="24" fillId="20" borderId="53" xfId="0" applyFont="1" applyFill="1" applyBorder="1" applyAlignment="1">
      <alignment horizontal="center" vertical="center" wrapText="1"/>
    </xf>
    <xf numFmtId="0" fontId="24" fillId="20" borderId="83" xfId="0" applyFont="1" applyFill="1" applyBorder="1" applyAlignment="1">
      <alignment horizontal="center" vertical="center" wrapText="1"/>
    </xf>
    <xf numFmtId="0" fontId="24" fillId="20" borderId="89" xfId="0" applyFont="1" applyFill="1" applyBorder="1" applyAlignment="1">
      <alignment horizontal="center" vertical="center"/>
    </xf>
    <xf numFmtId="0" fontId="24" fillId="20" borderId="56" xfId="0" applyFont="1" applyFill="1" applyBorder="1" applyAlignment="1">
      <alignment horizontal="center" vertical="center"/>
    </xf>
    <xf numFmtId="3" fontId="23" fillId="0" borderId="76" xfId="0" applyNumberFormat="1" applyFont="1" applyFill="1" applyBorder="1" applyAlignment="1" applyProtection="1">
      <alignment horizontal="center" vertical="center"/>
      <protection hidden="1"/>
    </xf>
    <xf numFmtId="3" fontId="23" fillId="0" borderId="80" xfId="0" applyNumberFormat="1" applyFont="1" applyFill="1" applyBorder="1" applyAlignment="1" applyProtection="1">
      <alignment horizontal="center" vertical="center"/>
      <protection hidden="1"/>
    </xf>
    <xf numFmtId="3" fontId="23" fillId="0" borderId="5" xfId="0" applyNumberFormat="1" applyFont="1" applyFill="1" applyBorder="1" applyAlignment="1" applyProtection="1">
      <alignment horizontal="center" vertical="center"/>
      <protection hidden="1"/>
    </xf>
    <xf numFmtId="0" fontId="26" fillId="15" borderId="83" xfId="0" applyFont="1" applyFill="1" applyBorder="1" applyAlignment="1" applyProtection="1">
      <alignment horizontal="center" vertical="center"/>
      <protection hidden="1"/>
    </xf>
    <xf numFmtId="0" fontId="24" fillId="22" borderId="83" xfId="0" applyFont="1" applyFill="1" applyBorder="1" applyAlignment="1" applyProtection="1">
      <alignment horizontal="center" vertical="center" wrapText="1"/>
      <protection hidden="1"/>
    </xf>
    <xf numFmtId="0" fontId="24" fillId="22" borderId="83" xfId="0" applyFont="1" applyFill="1" applyBorder="1" applyAlignment="1" applyProtection="1">
      <alignment horizontal="center" vertical="center"/>
      <protection hidden="1"/>
    </xf>
    <xf numFmtId="0" fontId="24" fillId="22" borderId="84" xfId="0" applyFont="1" applyFill="1" applyBorder="1" applyAlignment="1" applyProtection="1">
      <alignment horizontal="center" vertical="center" wrapText="1"/>
      <protection hidden="1"/>
    </xf>
    <xf numFmtId="0" fontId="24" fillId="22" borderId="85" xfId="0" applyFont="1" applyFill="1" applyBorder="1" applyAlignment="1" applyProtection="1">
      <alignment horizontal="center" vertical="center" wrapText="1"/>
      <protection hidden="1"/>
    </xf>
    <xf numFmtId="0" fontId="24" fillId="22" borderId="86"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center"/>
      <protection hidden="1"/>
    </xf>
    <xf numFmtId="0" fontId="24" fillId="20" borderId="89" xfId="0" applyFont="1" applyFill="1" applyBorder="1" applyAlignment="1" applyProtection="1">
      <alignment horizontal="center" vertical="center"/>
      <protection hidden="1"/>
    </xf>
    <xf numFmtId="0" fontId="24" fillId="20" borderId="58" xfId="0" applyFont="1" applyFill="1" applyBorder="1" applyAlignment="1" applyProtection="1">
      <alignment horizontal="center" vertical="center"/>
      <protection hidden="1"/>
    </xf>
    <xf numFmtId="0" fontId="24" fillId="20" borderId="25" xfId="0" applyFont="1" applyFill="1" applyBorder="1" applyAlignment="1" applyProtection="1">
      <alignment horizontal="center" vertical="center" wrapText="1"/>
      <protection hidden="1"/>
    </xf>
    <xf numFmtId="0" fontId="24" fillId="20" borderId="59" xfId="0" applyFont="1" applyFill="1" applyBorder="1" applyAlignment="1" applyProtection="1">
      <alignment horizontal="center" vertical="center" wrapText="1"/>
      <protection hidden="1"/>
    </xf>
    <xf numFmtId="0" fontId="24" fillId="27" borderId="83" xfId="0" applyFont="1" applyFill="1" applyBorder="1" applyAlignment="1" applyProtection="1">
      <alignment horizontal="center" vertical="center" wrapText="1"/>
      <protection hidden="1"/>
    </xf>
    <xf numFmtId="0" fontId="24" fillId="0" borderId="84" xfId="0" applyFont="1" applyFill="1" applyBorder="1" applyAlignment="1" applyProtection="1">
      <alignment horizontal="center"/>
      <protection hidden="1"/>
    </xf>
    <xf numFmtId="0" fontId="24" fillId="0" borderId="85" xfId="0" applyFont="1" applyFill="1" applyBorder="1" applyAlignment="1" applyProtection="1">
      <alignment horizontal="center"/>
      <protection hidden="1"/>
    </xf>
    <xf numFmtId="0" fontId="24" fillId="0" borderId="86" xfId="0" applyFont="1" applyFill="1" applyBorder="1" applyAlignment="1" applyProtection="1">
      <alignment horizontal="center"/>
      <protection hidden="1"/>
    </xf>
    <xf numFmtId="0" fontId="24" fillId="20" borderId="91" xfId="0" applyFont="1" applyFill="1" applyBorder="1" applyAlignment="1" applyProtection="1">
      <alignment horizontal="center" vertical="center" wrapText="1"/>
      <protection hidden="1"/>
    </xf>
    <xf numFmtId="0" fontId="24" fillId="20" borderId="93" xfId="0" applyFont="1" applyFill="1" applyBorder="1" applyAlignment="1" applyProtection="1">
      <alignment horizontal="center" vertical="center" wrapText="1"/>
      <protection hidden="1"/>
    </xf>
    <xf numFmtId="0" fontId="24" fillId="20" borderId="92" xfId="0" applyFont="1" applyFill="1" applyBorder="1" applyAlignment="1" applyProtection="1">
      <alignment horizontal="center" vertical="center" wrapText="1"/>
      <protection hidden="1"/>
    </xf>
    <xf numFmtId="0" fontId="24" fillId="22" borderId="83" xfId="0" applyFont="1" applyFill="1" applyBorder="1" applyAlignment="1" applyProtection="1">
      <alignment horizontal="justify" vertical="center" wrapText="1"/>
      <protection hidden="1"/>
    </xf>
    <xf numFmtId="0" fontId="23" fillId="0" borderId="76" xfId="0" applyFont="1" applyFill="1" applyBorder="1" applyAlignment="1" applyProtection="1">
      <alignment horizontal="left" vertical="center" wrapText="1"/>
      <protection hidden="1"/>
    </xf>
    <xf numFmtId="0" fontId="23" fillId="0" borderId="5" xfId="0" applyFont="1" applyFill="1" applyBorder="1" applyAlignment="1" applyProtection="1">
      <alignment horizontal="left" vertical="center" wrapText="1"/>
      <protection hidden="1"/>
    </xf>
    <xf numFmtId="0" fontId="23" fillId="0" borderId="80" xfId="0" applyFont="1" applyFill="1" applyBorder="1" applyAlignment="1" applyProtection="1">
      <alignment horizontal="left" vertical="center" wrapText="1"/>
      <protection hidden="1"/>
    </xf>
    <xf numFmtId="0" fontId="24" fillId="0" borderId="83" xfId="0" applyFont="1" applyFill="1" applyBorder="1" applyAlignment="1" applyProtection="1">
      <alignment horizontal="center"/>
      <protection hidden="1"/>
    </xf>
    <xf numFmtId="0" fontId="24" fillId="22" borderId="86" xfId="0" applyFont="1" applyFill="1" applyBorder="1" applyAlignment="1" applyProtection="1">
      <alignment horizontal="justify" vertical="center" wrapText="1"/>
      <protection hidden="1"/>
    </xf>
    <xf numFmtId="0" fontId="8" fillId="0" borderId="1" xfId="0" applyFont="1" applyBorder="1" applyAlignment="1" applyProtection="1">
      <alignment horizontal="center" vertical="center"/>
      <protection hidden="1"/>
    </xf>
    <xf numFmtId="14" fontId="19" fillId="0" borderId="84" xfId="1" applyNumberFormat="1" applyFont="1" applyBorder="1" applyAlignment="1" applyProtection="1">
      <alignment horizontal="center" vertical="center"/>
    </xf>
    <xf numFmtId="14" fontId="19" fillId="0" borderId="86" xfId="1" applyNumberFormat="1" applyFont="1" applyBorder="1" applyAlignment="1" applyProtection="1">
      <alignment horizontal="center" vertical="center"/>
    </xf>
    <xf numFmtId="0" fontId="19" fillId="0" borderId="83" xfId="1" applyFont="1" applyBorder="1" applyAlignment="1" applyProtection="1">
      <alignment horizontal="left" vertical="center"/>
    </xf>
    <xf numFmtId="0" fontId="8" fillId="0" borderId="83" xfId="1" applyFont="1" applyBorder="1" applyAlignment="1" applyProtection="1">
      <alignment horizontal="left" vertical="center"/>
    </xf>
    <xf numFmtId="0" fontId="6" fillId="0" borderId="1" xfId="1" applyFont="1" applyBorder="1" applyAlignment="1" applyProtection="1">
      <alignment horizontal="left" vertical="center"/>
    </xf>
    <xf numFmtId="0" fontId="9" fillId="7" borderId="84"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80" xfId="0" applyFont="1" applyBorder="1" applyAlignment="1" applyProtection="1">
      <alignment horizontal="center" vertical="center" wrapText="1"/>
    </xf>
    <xf numFmtId="0" fontId="11" fillId="10" borderId="84" xfId="1" applyFont="1" applyFill="1" applyBorder="1" applyAlignment="1" applyProtection="1">
      <alignment horizontal="right" vertical="center"/>
    </xf>
    <xf numFmtId="0" fontId="11" fillId="10" borderId="85"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4" fillId="0" borderId="84" xfId="1" applyFont="1" applyBorder="1" applyAlignment="1" applyProtection="1">
      <alignment horizontal="left" vertical="top"/>
    </xf>
    <xf numFmtId="0" fontId="4" fillId="0" borderId="85" xfId="1" applyFont="1" applyBorder="1" applyAlignment="1" applyProtection="1">
      <alignment horizontal="left" vertical="top"/>
    </xf>
    <xf numFmtId="0" fontId="4" fillId="0" borderId="86" xfId="1" applyFont="1" applyBorder="1" applyAlignment="1" applyProtection="1">
      <alignment horizontal="left" vertical="top"/>
    </xf>
    <xf numFmtId="0" fontId="9" fillId="0" borderId="83" xfId="1" applyFont="1" applyFill="1" applyBorder="1" applyAlignment="1" applyProtection="1">
      <alignment horizontal="center" vertical="center" wrapText="1"/>
    </xf>
    <xf numFmtId="0" fontId="19" fillId="0" borderId="76" xfId="25" applyFont="1" applyFill="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19" fillId="0" borderId="76"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6" fillId="0" borderId="1" xfId="1" applyFont="1" applyAlignment="1" applyProtection="1">
      <alignment vertical="center"/>
    </xf>
    <xf numFmtId="0" fontId="9" fillId="0" borderId="84"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0"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27" fillId="9" borderId="81" xfId="1" applyFont="1" applyFill="1" applyBorder="1" applyAlignment="1" applyProtection="1">
      <alignment horizontal="center" vertical="center" wrapText="1"/>
    </xf>
    <xf numFmtId="0" fontId="26" fillId="9" borderId="79" xfId="1" applyFont="1" applyFill="1" applyBorder="1" applyAlignment="1" applyProtection="1">
      <alignment horizontal="center" vertical="center" wrapText="1"/>
    </xf>
    <xf numFmtId="0" fontId="19" fillId="0" borderId="69" xfId="1" applyFont="1" applyBorder="1" applyAlignment="1" applyProtection="1">
      <alignment horizontal="left" vertical="center"/>
    </xf>
    <xf numFmtId="0" fontId="19" fillId="0" borderId="70" xfId="1" applyFont="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4" fillId="3" borderId="25" xfId="0" applyFont="1" applyFill="1" applyBorder="1" applyAlignment="1" applyProtection="1">
      <alignment horizontal="left"/>
    </xf>
    <xf numFmtId="0" fontId="23" fillId="3" borderId="26" xfId="0" applyFont="1" applyFill="1" applyBorder="1" applyAlignment="1" applyProtection="1">
      <alignment horizontal="left"/>
    </xf>
    <xf numFmtId="0" fontId="24" fillId="3" borderId="67" xfId="0" applyFont="1" applyFill="1" applyBorder="1" applyAlignment="1" applyProtection="1">
      <alignment horizontal="left"/>
    </xf>
    <xf numFmtId="0" fontId="23" fillId="3" borderId="68" xfId="0" applyFont="1" applyFill="1" applyBorder="1" applyAlignment="1" applyProtection="1">
      <alignment horizontal="left"/>
    </xf>
    <xf numFmtId="15" fontId="23" fillId="3" borderId="31" xfId="0" quotePrefix="1" applyNumberFormat="1" applyFont="1" applyFill="1" applyBorder="1" applyAlignment="1" applyProtection="1">
      <alignment horizontal="left"/>
    </xf>
    <xf numFmtId="0" fontId="23" fillId="3" borderId="32" xfId="0" applyFont="1" applyFill="1" applyBorder="1" applyAlignment="1" applyProtection="1">
      <alignment horizontal="left"/>
    </xf>
    <xf numFmtId="0" fontId="8" fillId="0" borderId="20" xfId="8" applyFont="1" applyFill="1" applyBorder="1" applyAlignment="1">
      <alignment horizontal="center" vertical="center"/>
    </xf>
    <xf numFmtId="0" fontId="8" fillId="0" borderId="21" xfId="8" applyFont="1" applyFill="1" applyBorder="1" applyAlignment="1">
      <alignment horizontal="center" vertical="center"/>
    </xf>
    <xf numFmtId="0" fontId="8" fillId="0" borderId="22" xfId="8" applyFont="1" applyFill="1" applyBorder="1" applyAlignment="1">
      <alignment horizontal="center" vertical="center"/>
    </xf>
    <xf numFmtId="0" fontId="29" fillId="0" borderId="34" xfId="8" applyFont="1" applyBorder="1" applyAlignment="1">
      <alignment horizontal="center" vertical="center"/>
    </xf>
    <xf numFmtId="0" fontId="29" fillId="0" borderId="35" xfId="8" applyFont="1" applyBorder="1" applyAlignment="1">
      <alignment horizontal="center" vertical="center"/>
    </xf>
    <xf numFmtId="0" fontId="29" fillId="0" borderId="36" xfId="8" applyFont="1" applyBorder="1" applyAlignment="1">
      <alignment horizontal="center" vertical="center"/>
    </xf>
    <xf numFmtId="0" fontId="29" fillId="0" borderId="87" xfId="8" applyFont="1" applyBorder="1" applyAlignment="1">
      <alignment horizontal="center" vertical="center"/>
    </xf>
    <xf numFmtId="0" fontId="29" fillId="0" borderId="1" xfId="8" applyFont="1" applyBorder="1" applyAlignment="1">
      <alignment horizontal="center" vertical="center"/>
    </xf>
    <xf numFmtId="0" fontId="29" fillId="0" borderId="19" xfId="8" applyFont="1" applyBorder="1" applyAlignment="1">
      <alignment horizontal="center" vertical="center"/>
    </xf>
    <xf numFmtId="0" fontId="29" fillId="0" borderId="31" xfId="8" applyFont="1" applyBorder="1" applyAlignment="1">
      <alignment horizontal="center" vertical="center"/>
    </xf>
    <xf numFmtId="0" fontId="29" fillId="0" borderId="37" xfId="8" applyFont="1" applyBorder="1" applyAlignment="1">
      <alignment horizontal="center" vertical="center"/>
    </xf>
    <xf numFmtId="0" fontId="29" fillId="0" borderId="38" xfId="8" applyFont="1" applyBorder="1" applyAlignment="1">
      <alignment horizontal="center" vertical="center"/>
    </xf>
    <xf numFmtId="0" fontId="24" fillId="3" borderId="25" xfId="8" applyFont="1" applyFill="1" applyBorder="1" applyAlignment="1">
      <alignment horizontal="left"/>
    </xf>
    <xf numFmtId="0" fontId="23" fillId="3" borderId="26" xfId="8" applyFont="1" applyFill="1" applyBorder="1" applyAlignment="1">
      <alignment horizontal="left"/>
    </xf>
    <xf numFmtId="0" fontId="24" fillId="3" borderId="67" xfId="8" applyFont="1" applyFill="1" applyBorder="1" applyAlignment="1">
      <alignment horizontal="left"/>
    </xf>
    <xf numFmtId="0" fontId="23" fillId="3" borderId="68" xfId="8" applyFont="1" applyFill="1" applyBorder="1" applyAlignment="1">
      <alignment horizontal="left"/>
    </xf>
    <xf numFmtId="15" fontId="23" fillId="3" borderId="31" xfId="8" quotePrefix="1" applyNumberFormat="1" applyFont="1" applyFill="1" applyBorder="1" applyAlignment="1">
      <alignment horizontal="left"/>
    </xf>
    <xf numFmtId="0" fontId="23" fillId="3" borderId="32" xfId="8" applyFont="1" applyFill="1" applyBorder="1" applyAlignment="1">
      <alignment horizontal="left"/>
    </xf>
    <xf numFmtId="0" fontId="5" fillId="5" borderId="16" xfId="8" applyFont="1" applyFill="1" applyBorder="1" applyAlignment="1">
      <alignment horizontal="center" vertical="center"/>
    </xf>
    <xf numFmtId="0" fontId="5" fillId="5" borderId="17" xfId="8" applyFont="1" applyFill="1" applyBorder="1" applyAlignment="1">
      <alignment horizontal="center" vertical="center"/>
    </xf>
    <xf numFmtId="0" fontId="5" fillId="5" borderId="18" xfId="8" applyFont="1" applyFill="1" applyBorder="1" applyAlignment="1">
      <alignment horizontal="center" vertical="center"/>
    </xf>
    <xf numFmtId="0" fontId="8" fillId="6" borderId="80"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8" fillId="6" borderId="80" xfId="8" applyFont="1" applyFill="1" applyBorder="1" applyAlignment="1">
      <alignment horizontal="center" vertical="center" wrapText="1"/>
    </xf>
    <xf numFmtId="0" fontId="8" fillId="6" borderId="5" xfId="8" applyFont="1" applyFill="1" applyBorder="1" applyAlignment="1">
      <alignment horizontal="center" vertical="center" wrapText="1"/>
    </xf>
    <xf numFmtId="0" fontId="6" fillId="0" borderId="1" xfId="1" applyFont="1" applyAlignment="1">
      <alignment vertical="center"/>
    </xf>
    <xf numFmtId="0" fontId="19" fillId="0" borderId="76" xfId="8" applyFont="1" applyBorder="1" applyAlignment="1" applyProtection="1">
      <alignment horizontal="center" vertical="center" wrapText="1"/>
    </xf>
    <xf numFmtId="0" fontId="19" fillId="0" borderId="80" xfId="8" applyFont="1" applyBorder="1" applyAlignment="1" applyProtection="1">
      <alignment horizontal="center" vertical="center" wrapText="1"/>
    </xf>
    <xf numFmtId="0" fontId="19" fillId="0" borderId="5" xfId="8" applyFont="1" applyBorder="1" applyAlignment="1" applyProtection="1">
      <alignment horizontal="center" vertical="center" wrapText="1"/>
    </xf>
    <xf numFmtId="0" fontId="4" fillId="0" borderId="84" xfId="1" applyFont="1" applyBorder="1" applyAlignment="1" applyProtection="1">
      <alignment horizontal="left" vertical="top"/>
      <protection locked="0"/>
    </xf>
    <xf numFmtId="0" fontId="4" fillId="0" borderId="85" xfId="1" applyFont="1" applyBorder="1" applyAlignment="1" applyProtection="1">
      <alignment horizontal="left" vertical="top"/>
      <protection locked="0"/>
    </xf>
    <xf numFmtId="0" fontId="4" fillId="0" borderId="86" xfId="1" applyFont="1" applyBorder="1" applyAlignment="1" applyProtection="1">
      <alignment horizontal="left" vertical="top"/>
      <protection locked="0"/>
    </xf>
    <xf numFmtId="14" fontId="19" fillId="0" borderId="7" xfId="1" applyNumberFormat="1" applyFont="1" applyBorder="1" applyAlignment="1" applyProtection="1">
      <alignment horizontal="center" vertical="center" wrapText="1"/>
      <protection locked="0"/>
    </xf>
    <xf numFmtId="14" fontId="19" fillId="0" borderId="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wrapText="1"/>
      <protection locked="0"/>
    </xf>
    <xf numFmtId="0" fontId="8" fillId="0" borderId="83" xfId="1" applyFont="1" applyBorder="1" applyAlignment="1" applyProtection="1">
      <alignment horizontal="left" vertical="center" wrapText="1"/>
      <protection locked="0"/>
    </xf>
    <xf numFmtId="0" fontId="6" fillId="0" borderId="1" xfId="1" applyFont="1" applyBorder="1" applyAlignment="1">
      <alignment horizontal="left" vertical="center"/>
    </xf>
    <xf numFmtId="0" fontId="8" fillId="0" borderId="3" xfId="0" applyFont="1" applyBorder="1" applyAlignment="1" applyProtection="1">
      <alignment horizontal="center" vertical="top" wrapText="1"/>
    </xf>
    <xf numFmtId="0" fontId="8" fillId="0" borderId="80"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14" fontId="19" fillId="0" borderId="84" xfId="1" applyNumberFormat="1" applyFont="1" applyBorder="1" applyAlignment="1" applyProtection="1">
      <alignment horizontal="center" vertical="center" wrapText="1"/>
      <protection locked="0"/>
    </xf>
    <xf numFmtId="14" fontId="19" fillId="0" borderId="8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protection locked="0"/>
    </xf>
    <xf numFmtId="0" fontId="8" fillId="0" borderId="83" xfId="1" applyFont="1" applyBorder="1" applyAlignment="1" applyProtection="1">
      <alignment horizontal="left" vertical="center"/>
      <protection locked="0"/>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87" xfId="0" applyFont="1" applyBorder="1" applyAlignment="1">
      <alignment horizontal="center" vertical="center"/>
    </xf>
    <xf numFmtId="0" fontId="29" fillId="0" borderId="1" xfId="0" applyFont="1" applyBorder="1" applyAlignment="1">
      <alignment horizontal="center" vertical="center"/>
    </xf>
    <xf numFmtId="0" fontId="29" fillId="0" borderId="19"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4" fillId="3" borderId="25" xfId="0" applyFont="1" applyFill="1" applyBorder="1" applyAlignment="1">
      <alignment horizontal="left"/>
    </xf>
    <xf numFmtId="0" fontId="23" fillId="3" borderId="26" xfId="0" applyFont="1" applyFill="1" applyBorder="1" applyAlignment="1">
      <alignment horizontal="left"/>
    </xf>
    <xf numFmtId="0" fontId="24" fillId="3" borderId="67" xfId="0" applyFont="1" applyFill="1" applyBorder="1" applyAlignment="1">
      <alignment horizontal="left"/>
    </xf>
    <xf numFmtId="0" fontId="23" fillId="3" borderId="68" xfId="0" applyFont="1" applyFill="1" applyBorder="1" applyAlignment="1">
      <alignment horizontal="left"/>
    </xf>
    <xf numFmtId="15" fontId="23" fillId="3" borderId="31" xfId="0" quotePrefix="1" applyNumberFormat="1" applyFont="1" applyFill="1" applyBorder="1" applyAlignment="1">
      <alignment horizontal="left"/>
    </xf>
    <xf numFmtId="0" fontId="23" fillId="3" borderId="32" xfId="0" applyFont="1" applyFill="1" applyBorder="1" applyAlignment="1">
      <alignment horizontal="left"/>
    </xf>
    <xf numFmtId="0" fontId="36" fillId="0" borderId="3" xfId="0" applyFont="1" applyBorder="1" applyAlignment="1" applyProtection="1">
      <alignment horizontal="center"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7" fillId="9" borderId="10" xfId="1" applyFont="1" applyFill="1" applyBorder="1" applyAlignment="1" applyProtection="1">
      <alignment horizontal="center" vertical="center" wrapText="1"/>
    </xf>
    <xf numFmtId="0" fontId="26" fillId="9" borderId="9"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19" fillId="0" borderId="2"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24" fillId="3" borderId="29" xfId="0" applyFont="1" applyFill="1" applyBorder="1" applyAlignment="1">
      <alignment horizontal="left"/>
    </xf>
    <xf numFmtId="0" fontId="23" fillId="3" borderId="30" xfId="0" applyFont="1" applyFill="1" applyBorder="1" applyAlignment="1">
      <alignment horizontal="left"/>
    </xf>
    <xf numFmtId="0" fontId="29" fillId="0" borderId="8" xfId="0" applyFont="1" applyBorder="1" applyAlignment="1">
      <alignment horizontal="center" vertical="center"/>
    </xf>
    <xf numFmtId="0" fontId="11" fillId="0" borderId="7" xfId="1" applyFont="1" applyBorder="1" applyAlignment="1" applyProtection="1">
      <alignment horizontal="left" vertical="top"/>
      <protection locked="0"/>
    </xf>
    <xf numFmtId="0" fontId="4" fillId="0" borderId="15"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8" fillId="6" borderId="62"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41" fillId="0" borderId="3" xfId="0" applyFont="1" applyBorder="1" applyAlignment="1" applyProtection="1">
      <alignment horizontal="center" vertical="top" wrapText="1"/>
    </xf>
    <xf numFmtId="0" fontId="41" fillId="0" borderId="80"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4" fillId="0" borderId="1" xfId="1" applyFont="1" applyBorder="1" applyAlignment="1" applyProtection="1">
      <alignment horizontal="left" vertical="center"/>
      <protection locked="0"/>
    </xf>
    <xf numFmtId="0" fontId="4" fillId="0" borderId="7" xfId="1" applyFont="1" applyBorder="1" applyAlignment="1" applyProtection="1">
      <alignment horizontal="left" vertical="top"/>
      <protection locked="0"/>
    </xf>
    <xf numFmtId="0" fontId="19" fillId="0" borderId="76" xfId="0" applyFont="1" applyBorder="1" applyAlignment="1" applyProtection="1">
      <alignment horizontal="center" vertical="center" wrapText="1"/>
    </xf>
    <xf numFmtId="0" fontId="19" fillId="0" borderId="76"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8" fillId="0" borderId="2" xfId="1" applyFont="1" applyBorder="1" applyAlignment="1" applyProtection="1">
      <alignment horizontal="left" vertical="center"/>
      <protection locked="0"/>
    </xf>
    <xf numFmtId="0" fontId="19" fillId="0" borderId="5"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19" fillId="0" borderId="23" xfId="1" applyFont="1" applyFill="1" applyBorder="1" applyAlignment="1" applyProtection="1">
      <alignment horizontal="left" vertical="center"/>
    </xf>
    <xf numFmtId="0" fontId="19" fillId="0" borderId="24" xfId="1" applyFont="1" applyFill="1" applyBorder="1" applyAlignment="1" applyProtection="1">
      <alignment horizontal="left" vertical="center"/>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8" fillId="0" borderId="25" xfId="0" applyFont="1" applyFill="1" applyBorder="1" applyAlignment="1">
      <alignment horizontal="left"/>
    </xf>
    <xf numFmtId="0" fontId="19" fillId="0" borderId="26" xfId="0" applyFont="1" applyFill="1" applyBorder="1" applyAlignment="1">
      <alignment horizontal="left"/>
    </xf>
    <xf numFmtId="0" fontId="8" fillId="0" borderId="29" xfId="0" applyFont="1" applyFill="1" applyBorder="1" applyAlignment="1">
      <alignment horizontal="left"/>
    </xf>
    <xf numFmtId="0" fontId="19" fillId="0" borderId="30" xfId="0" applyFont="1" applyFill="1" applyBorder="1" applyAlignment="1">
      <alignment horizontal="left"/>
    </xf>
    <xf numFmtId="15" fontId="19" fillId="0" borderId="31" xfId="0" quotePrefix="1" applyNumberFormat="1" applyFont="1" applyFill="1" applyBorder="1" applyAlignment="1">
      <alignment horizontal="left"/>
    </xf>
    <xf numFmtId="0" fontId="19" fillId="0" borderId="32" xfId="0" applyFont="1" applyFill="1" applyBorder="1" applyAlignment="1">
      <alignment horizontal="left"/>
    </xf>
    <xf numFmtId="0" fontId="36" fillId="0" borderId="8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6" fillId="0" borderId="1" xfId="1" applyFont="1" applyFill="1" applyBorder="1" applyAlignment="1">
      <alignment horizontal="left" vertical="center"/>
    </xf>
    <xf numFmtId="0" fontId="36" fillId="0" borderId="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6" fillId="0" borderId="1" xfId="1" applyFont="1" applyFill="1" applyAlignment="1">
      <alignment vertical="center"/>
    </xf>
    <xf numFmtId="14" fontId="19" fillId="0" borderId="7"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protection locked="0"/>
    </xf>
    <xf numFmtId="0" fontId="19" fillId="0" borderId="2"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0" fontId="19" fillId="0" borderId="3" xfId="24" applyFont="1" applyBorder="1" applyAlignment="1" applyProtection="1">
      <alignment horizontal="center" vertical="top" wrapText="1"/>
    </xf>
    <xf numFmtId="0" fontId="19" fillId="0" borderId="4" xfId="24" applyFont="1" applyBorder="1" applyAlignment="1" applyProtection="1">
      <alignment horizontal="center" vertical="top" wrapText="1"/>
    </xf>
    <xf numFmtId="0" fontId="19" fillId="0" borderId="5" xfId="24" applyFont="1" applyBorder="1" applyAlignment="1" applyProtection="1">
      <alignment horizontal="center" vertical="top" wrapText="1"/>
    </xf>
    <xf numFmtId="0" fontId="19" fillId="0" borderId="2" xfId="1" applyFont="1" applyBorder="1" applyAlignment="1" applyProtection="1">
      <alignment horizontal="left" vertical="center"/>
      <protection locked="0"/>
    </xf>
    <xf numFmtId="14" fontId="19" fillId="0" borderId="7" xfId="1" applyNumberFormat="1" applyFont="1" applyFill="1" applyBorder="1" applyAlignment="1" applyProtection="1">
      <alignment horizontal="center" vertical="center"/>
      <protection locked="0"/>
    </xf>
    <xf numFmtId="0" fontId="9" fillId="0" borderId="73" xfId="1" applyFont="1" applyFill="1" applyBorder="1" applyAlignment="1" applyProtection="1">
      <alignment horizontal="center" vertical="center" wrapText="1"/>
    </xf>
    <xf numFmtId="0" fontId="9" fillId="7" borderId="74" xfId="1" applyFont="1" applyFill="1" applyBorder="1" applyAlignment="1" applyProtection="1">
      <alignment horizontal="center" vertical="center" wrapText="1"/>
    </xf>
    <xf numFmtId="0" fontId="9" fillId="7" borderId="75" xfId="1" applyFont="1" applyFill="1" applyBorder="1" applyAlignment="1" applyProtection="1">
      <alignment horizontal="center" vertical="center" wrapText="1"/>
    </xf>
    <xf numFmtId="0" fontId="11" fillId="10" borderId="74" xfId="1" applyFont="1" applyFill="1" applyBorder="1" applyAlignment="1" applyProtection="1">
      <alignment horizontal="right" vertical="center"/>
    </xf>
    <xf numFmtId="0" fontId="11" fillId="10" borderId="77" xfId="1" applyFont="1" applyFill="1" applyBorder="1" applyAlignment="1" applyProtection="1">
      <alignment horizontal="right" vertical="center"/>
    </xf>
    <xf numFmtId="0" fontId="11" fillId="10" borderId="75" xfId="1" applyFont="1" applyFill="1" applyBorder="1" applyAlignment="1" applyProtection="1">
      <alignment horizontal="right" vertical="center"/>
    </xf>
    <xf numFmtId="0" fontId="4" fillId="0" borderId="74" xfId="1" applyFont="1" applyBorder="1" applyAlignment="1" applyProtection="1">
      <alignment horizontal="left" vertical="top"/>
      <protection locked="0"/>
    </xf>
    <xf numFmtId="0" fontId="4" fillId="0" borderId="77" xfId="1" applyFont="1" applyBorder="1" applyAlignment="1" applyProtection="1">
      <alignment horizontal="left" vertical="top"/>
      <protection locked="0"/>
    </xf>
    <xf numFmtId="0" fontId="4" fillId="0" borderId="75" xfId="1" applyFont="1" applyBorder="1" applyAlignment="1" applyProtection="1">
      <alignment horizontal="left" vertical="top"/>
      <protection locked="0"/>
    </xf>
    <xf numFmtId="0" fontId="19" fillId="0" borderId="73" xfId="1" applyFont="1" applyBorder="1" applyAlignment="1" applyProtection="1">
      <alignment horizontal="left" vertical="center"/>
      <protection locked="0"/>
    </xf>
    <xf numFmtId="0" fontId="8" fillId="0" borderId="73" xfId="1" applyFont="1" applyBorder="1" applyAlignment="1" applyProtection="1">
      <alignment horizontal="left" vertical="center"/>
      <protection locked="0"/>
    </xf>
    <xf numFmtId="0" fontId="9" fillId="0" borderId="74" xfId="1" applyFont="1" applyFill="1" applyBorder="1" applyAlignment="1" applyProtection="1">
      <alignment horizontal="center" vertical="center" wrapText="1"/>
    </xf>
    <xf numFmtId="0" fontId="9" fillId="0" borderId="75" xfId="1" applyFont="1" applyFill="1" applyBorder="1" applyAlignment="1" applyProtection="1">
      <alignment horizontal="center" vertical="center" wrapText="1"/>
    </xf>
    <xf numFmtId="0" fontId="8" fillId="6" borderId="71" xfId="0" applyFont="1" applyFill="1" applyBorder="1" applyAlignment="1" applyProtection="1">
      <alignment horizontal="center" vertical="center" wrapText="1"/>
    </xf>
    <xf numFmtId="0" fontId="8" fillId="6" borderId="71" xfId="0" applyFont="1" applyFill="1" applyBorder="1" applyAlignment="1">
      <alignment horizontal="center" vertical="center" wrapText="1"/>
    </xf>
    <xf numFmtId="0" fontId="27" fillId="9" borderId="72" xfId="1" applyFont="1" applyFill="1" applyBorder="1" applyAlignment="1" applyProtection="1">
      <alignment horizontal="center" vertical="center" wrapText="1"/>
    </xf>
    <xf numFmtId="0" fontId="29" fillId="0" borderId="66" xfId="0" applyFont="1" applyBorder="1" applyAlignment="1">
      <alignment horizontal="center" vertical="center"/>
    </xf>
    <xf numFmtId="0" fontId="41" fillId="0" borderId="76" xfId="0" applyFont="1" applyBorder="1" applyAlignment="1" applyProtection="1">
      <alignment horizontal="center" vertical="top" wrapText="1"/>
    </xf>
    <xf numFmtId="14" fontId="19" fillId="0" borderId="7" xfId="1" applyNumberFormat="1" applyFont="1" applyBorder="1" applyAlignment="1" applyProtection="1">
      <alignment horizontal="center" vertical="center"/>
      <protection locked="0"/>
    </xf>
    <xf numFmtId="0" fontId="36" fillId="0" borderId="76"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66" xfId="0" applyFont="1" applyBorder="1" applyAlignment="1">
      <alignment horizontal="center" vertical="center"/>
    </xf>
    <xf numFmtId="0" fontId="42" fillId="0" borderId="1" xfId="0" applyFont="1" applyBorder="1" applyAlignment="1">
      <alignment horizontal="center" vertical="center"/>
    </xf>
    <xf numFmtId="0" fontId="42" fillId="0" borderId="19" xfId="0" applyFont="1" applyBorder="1" applyAlignment="1">
      <alignment horizontal="center" vertical="center"/>
    </xf>
    <xf numFmtId="0" fontId="42" fillId="0" borderId="31" xfId="0" applyFont="1" applyBorder="1" applyAlignment="1">
      <alignment horizontal="center" vertical="center"/>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8" fillId="6" borderId="80" xfId="0" applyFont="1" applyFill="1" applyBorder="1" applyAlignment="1">
      <alignment horizontal="center" vertical="center" wrapText="1"/>
    </xf>
    <xf numFmtId="14" fontId="19" fillId="0" borderId="84" xfId="1" applyNumberFormat="1" applyFont="1" applyBorder="1" applyAlignment="1" applyProtection="1">
      <alignment horizontal="center" vertical="center"/>
      <protection locked="0"/>
    </xf>
    <xf numFmtId="0" fontId="19" fillId="0" borderId="4" xfId="0" applyFont="1" applyBorder="1" applyAlignment="1" applyProtection="1">
      <alignment horizontal="center" vertical="center" wrapText="1"/>
    </xf>
    <xf numFmtId="0" fontId="36" fillId="0" borderId="80" xfId="0" applyFont="1" applyBorder="1" applyAlignment="1" applyProtection="1">
      <alignment horizontal="center" vertical="top" wrapText="1"/>
    </xf>
    <xf numFmtId="0" fontId="4" fillId="0" borderId="84" xfId="1" applyFont="1" applyBorder="1" applyAlignment="1" applyProtection="1">
      <alignment horizontal="left" vertical="top" wrapText="1"/>
      <protection locked="0"/>
    </xf>
    <xf numFmtId="0" fontId="4" fillId="0" borderId="85" xfId="1" applyFont="1" applyBorder="1" applyAlignment="1" applyProtection="1">
      <alignment horizontal="left" vertical="top" wrapText="1"/>
      <protection locked="0"/>
    </xf>
    <xf numFmtId="0" fontId="4" fillId="0" borderId="86" xfId="1" applyFont="1" applyBorder="1" applyAlignment="1" applyProtection="1">
      <alignment horizontal="left" vertical="top" wrapText="1"/>
      <protection locked="0"/>
    </xf>
    <xf numFmtId="0" fontId="30" fillId="11" borderId="47" xfId="22" applyFont="1" applyFill="1" applyBorder="1" applyAlignment="1">
      <alignment horizontal="center" vertical="center"/>
    </xf>
    <xf numFmtId="0" fontId="30" fillId="11" borderId="35" xfId="22" applyFont="1" applyFill="1" applyBorder="1" applyAlignment="1">
      <alignment horizontal="center" vertical="center"/>
    </xf>
    <xf numFmtId="0" fontId="30" fillId="11" borderId="48"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5" xfId="22" applyFont="1" applyFill="1" applyBorder="1" applyAlignment="1">
      <alignment horizontal="left" vertical="center" wrapText="1"/>
    </xf>
    <xf numFmtId="0" fontId="8" fillId="0" borderId="20" xfId="22" applyFont="1" applyFill="1" applyBorder="1" applyAlignment="1">
      <alignment horizontal="center" vertical="center"/>
    </xf>
    <xf numFmtId="0" fontId="8" fillId="0" borderId="21" xfId="22" applyFont="1" applyFill="1" applyBorder="1" applyAlignment="1">
      <alignment horizontal="center" vertical="center"/>
    </xf>
    <xf numFmtId="0" fontId="8" fillId="0" borderId="22" xfId="22" applyFont="1" applyFill="1" applyBorder="1" applyAlignment="1">
      <alignment horizontal="center" vertical="center"/>
    </xf>
    <xf numFmtId="0" fontId="8" fillId="0" borderId="34" xfId="22" applyFont="1" applyFill="1" applyBorder="1" applyAlignment="1">
      <alignment horizontal="center" vertical="center"/>
    </xf>
    <xf numFmtId="0" fontId="8" fillId="0" borderId="35"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31" xfId="22" applyFont="1" applyFill="1" applyBorder="1" applyAlignment="1">
      <alignment horizontal="center" vertical="center"/>
    </xf>
    <xf numFmtId="0" fontId="8" fillId="0" borderId="37" xfId="22" applyFont="1" applyFill="1" applyBorder="1" applyAlignment="1">
      <alignment horizontal="center" vertical="center"/>
    </xf>
    <xf numFmtId="0" fontId="24" fillId="3" borderId="25" xfId="22" applyFont="1" applyFill="1" applyBorder="1" applyAlignment="1">
      <alignment horizontal="left"/>
    </xf>
    <xf numFmtId="0" fontId="23" fillId="3" borderId="26" xfId="22" applyFont="1" applyFill="1" applyBorder="1" applyAlignment="1">
      <alignment horizontal="left"/>
    </xf>
    <xf numFmtId="0" fontId="24" fillId="3" borderId="29" xfId="22" applyFont="1" applyFill="1" applyBorder="1" applyAlignment="1">
      <alignment horizontal="left"/>
    </xf>
    <xf numFmtId="0" fontId="23" fillId="3" borderId="30" xfId="22" applyFont="1" applyFill="1" applyBorder="1" applyAlignment="1">
      <alignment horizontal="left"/>
    </xf>
    <xf numFmtId="15" fontId="23" fillId="3" borderId="31" xfId="22" quotePrefix="1" applyNumberFormat="1" applyFont="1" applyFill="1" applyBorder="1" applyAlignment="1">
      <alignment horizontal="left"/>
    </xf>
    <xf numFmtId="0" fontId="23" fillId="3" borderId="32" xfId="22" applyFont="1" applyFill="1" applyBorder="1" applyAlignment="1">
      <alignment horizontal="left"/>
    </xf>
    <xf numFmtId="0" fontId="19" fillId="0" borderId="2"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19" fillId="0" borderId="49" xfId="22" applyFont="1" applyBorder="1" applyAlignment="1">
      <alignment horizontal="center" vertical="center" wrapText="1"/>
    </xf>
    <xf numFmtId="0" fontId="19" fillId="0" borderId="37" xfId="22" applyFont="1" applyBorder="1" applyAlignment="1">
      <alignment horizontal="center" vertical="center" wrapText="1"/>
    </xf>
    <xf numFmtId="0" fontId="19" fillId="0" borderId="32" xfId="22" applyFont="1" applyBorder="1" applyAlignment="1">
      <alignment horizontal="center" vertical="center" wrapText="1"/>
    </xf>
    <xf numFmtId="0" fontId="30" fillId="11" borderId="33" xfId="22" applyFont="1" applyFill="1" applyBorder="1" applyAlignment="1">
      <alignment horizontal="center" vertical="center"/>
    </xf>
    <xf numFmtId="0" fontId="30" fillId="11" borderId="51" xfId="22" applyFont="1" applyFill="1" applyBorder="1" applyAlignment="1">
      <alignment horizontal="center" vertical="center"/>
    </xf>
    <xf numFmtId="0" fontId="19" fillId="0" borderId="52" xfId="22" applyFont="1" applyFill="1" applyBorder="1" applyAlignment="1">
      <alignment horizontal="left" vertical="center" wrapText="1"/>
    </xf>
    <xf numFmtId="0" fontId="19" fillId="0" borderId="53" xfId="22" applyFont="1" applyFill="1" applyBorder="1" applyAlignment="1">
      <alignment horizontal="left" vertical="center" wrapText="1"/>
    </xf>
    <xf numFmtId="0" fontId="19" fillId="0" borderId="5" xfId="22" applyFont="1" applyFill="1" applyBorder="1" applyAlignment="1">
      <alignment horizontal="left" vertical="center" wrapText="1"/>
    </xf>
    <xf numFmtId="0" fontId="19" fillId="0" borderId="28" xfId="22" applyFont="1" applyFill="1" applyBorder="1" applyAlignment="1">
      <alignment horizontal="left" vertical="center" wrapText="1"/>
    </xf>
    <xf numFmtId="0" fontId="19" fillId="0" borderId="59" xfId="22" applyFont="1" applyFill="1" applyBorder="1" applyAlignment="1">
      <alignment horizontal="left" vertical="center" wrapText="1"/>
    </xf>
    <xf numFmtId="0" fontId="19" fillId="0" borderId="60" xfId="22" applyFont="1" applyFill="1" applyBorder="1" applyAlignment="1">
      <alignment horizontal="left" vertical="center" wrapText="1"/>
    </xf>
    <xf numFmtId="0" fontId="8" fillId="14" borderId="20" xfId="8" applyFont="1" applyFill="1" applyBorder="1" applyAlignment="1">
      <alignment horizontal="left" vertical="center"/>
    </xf>
    <xf numFmtId="0" fontId="8" fillId="14" borderId="39" xfId="8" applyFont="1" applyFill="1" applyBorder="1" applyAlignment="1">
      <alignment horizontal="left" vertical="center"/>
    </xf>
    <xf numFmtId="0" fontId="8" fillId="14" borderId="45" xfId="8" applyFont="1" applyFill="1" applyBorder="1" applyAlignment="1">
      <alignment horizontal="left" vertical="center"/>
    </xf>
    <xf numFmtId="0" fontId="4" fillId="0" borderId="22" xfId="8" applyFont="1" applyBorder="1" applyAlignment="1">
      <alignment horizontal="left" vertical="center" wrapText="1"/>
    </xf>
    <xf numFmtId="0" fontId="4" fillId="0" borderId="44" xfId="8" applyFont="1" applyBorder="1" applyAlignment="1">
      <alignment horizontal="left" vertical="center" wrapText="1"/>
    </xf>
    <xf numFmtId="0" fontId="4" fillId="0" borderId="44" xfId="8" applyFont="1" applyBorder="1" applyAlignment="1">
      <alignment horizontal="left" vertical="center"/>
    </xf>
    <xf numFmtId="0" fontId="4" fillId="0" borderId="46" xfId="8" applyFont="1" applyBorder="1" applyAlignment="1">
      <alignment horizontal="left"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8" applyFont="1" applyBorder="1" applyAlignment="1">
      <alignment horizontal="left" vertical="center" wrapText="1"/>
    </xf>
    <xf numFmtId="0" fontId="4" fillId="0" borderId="15"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left"/>
    </xf>
    <xf numFmtId="0" fontId="4" fillId="0" borderId="7" xfId="8" applyFont="1" applyBorder="1" applyAlignment="1">
      <alignment horizontal="left"/>
    </xf>
    <xf numFmtId="0" fontId="4" fillId="0" borderId="15" xfId="8" applyFont="1" applyBorder="1" applyAlignment="1">
      <alignment horizontal="left"/>
    </xf>
    <xf numFmtId="0" fontId="4" fillId="0" borderId="6" xfId="8" applyFont="1" applyBorder="1" applyAlignment="1">
      <alignment horizontal="left"/>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9" xfId="8" applyFont="1" applyFill="1" applyBorder="1" applyAlignment="1">
      <alignment horizontal="center" vertical="center" wrapText="1"/>
    </xf>
    <xf numFmtId="0" fontId="25" fillId="12" borderId="43" xfId="8" applyFont="1" applyFill="1" applyBorder="1" applyAlignment="1">
      <alignment horizontal="center" vertical="center" wrapText="1"/>
    </xf>
    <xf numFmtId="0" fontId="25" fillId="12" borderId="41" xfId="8" applyFont="1" applyFill="1" applyBorder="1" applyAlignment="1">
      <alignment horizontal="center" vertical="center" wrapText="1"/>
    </xf>
    <xf numFmtId="0" fontId="25" fillId="12" borderId="12" xfId="8" applyFont="1" applyFill="1" applyBorder="1" applyAlignment="1">
      <alignment horizontal="center" vertical="center" wrapText="1"/>
    </xf>
    <xf numFmtId="0" fontId="25" fillId="12" borderId="13" xfId="8" applyFont="1" applyFill="1" applyBorder="1" applyAlignment="1">
      <alignment horizontal="center" vertical="center" wrapText="1"/>
    </xf>
    <xf numFmtId="0" fontId="25" fillId="12" borderId="14" xfId="8" applyFont="1" applyFill="1" applyBorder="1" applyAlignment="1">
      <alignment horizontal="center" vertical="center" wrapText="1"/>
    </xf>
    <xf numFmtId="0" fontId="25" fillId="12" borderId="2" xfId="8" applyFont="1" applyFill="1" applyBorder="1" applyAlignment="1">
      <alignment horizontal="center" vertical="center"/>
    </xf>
    <xf numFmtId="0" fontId="30" fillId="11"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19" fillId="0" borderId="20" xfId="8" applyFont="1" applyBorder="1" applyAlignment="1">
      <alignment horizontal="center"/>
    </xf>
    <xf numFmtId="0" fontId="19" fillId="0" borderId="39" xfId="8" applyFont="1" applyBorder="1" applyAlignment="1">
      <alignment horizontal="center"/>
    </xf>
    <xf numFmtId="0" fontId="19" fillId="0" borderId="21" xfId="8" applyFont="1" applyBorder="1" applyAlignment="1">
      <alignment horizontal="center"/>
    </xf>
    <xf numFmtId="0" fontId="19" fillId="0" borderId="4" xfId="8" applyFont="1" applyBorder="1" applyAlignment="1">
      <alignment horizontal="center"/>
    </xf>
    <xf numFmtId="0" fontId="19" fillId="0" borderId="22" xfId="8" applyFont="1" applyBorder="1" applyAlignment="1">
      <alignment horizontal="center"/>
    </xf>
    <xf numFmtId="0" fontId="19" fillId="0" borderId="44" xfId="8" applyFont="1" applyBorder="1" applyAlignment="1">
      <alignment horizontal="center"/>
    </xf>
    <xf numFmtId="0" fontId="8" fillId="0" borderId="39" xfId="8" applyFont="1" applyBorder="1" applyAlignment="1">
      <alignment horizontal="center" vertical="center" wrapText="1"/>
    </xf>
    <xf numFmtId="0" fontId="8" fillId="0" borderId="4" xfId="8" applyFont="1" applyBorder="1" applyAlignment="1">
      <alignment horizontal="center" vertical="center" wrapText="1"/>
    </xf>
    <xf numFmtId="0" fontId="8" fillId="0" borderId="44" xfId="8" applyFont="1" applyBorder="1" applyAlignment="1">
      <alignment horizontal="center" vertical="center" wrapText="1"/>
    </xf>
    <xf numFmtId="0" fontId="24" fillId="3" borderId="40" xfId="8" applyFont="1" applyFill="1" applyBorder="1" applyAlignment="1">
      <alignment horizontal="left"/>
    </xf>
    <xf numFmtId="0" fontId="24" fillId="3" borderId="29" xfId="8" applyFont="1" applyFill="1" applyBorder="1" applyAlignment="1">
      <alignment horizontal="left"/>
    </xf>
    <xf numFmtId="0" fontId="24" fillId="3" borderId="41" xfId="8" applyFont="1" applyFill="1" applyBorder="1" applyAlignment="1">
      <alignment horizontal="left"/>
    </xf>
    <xf numFmtId="0" fontId="24" fillId="3" borderId="30" xfId="8" applyFont="1" applyFill="1" applyBorder="1" applyAlignment="1">
      <alignment horizontal="left"/>
    </xf>
    <xf numFmtId="0" fontId="23" fillId="3" borderId="12" xfId="8" applyFont="1" applyFill="1" applyBorder="1" applyAlignment="1">
      <alignment horizontal="left"/>
    </xf>
    <xf numFmtId="0" fontId="23" fillId="3" borderId="14" xfId="8" applyFont="1" applyFill="1" applyBorder="1" applyAlignment="1">
      <alignment horizontal="left"/>
    </xf>
    <xf numFmtId="0" fontId="23" fillId="3" borderId="12" xfId="8" applyFont="1" applyFill="1" applyBorder="1" applyAlignment="1">
      <alignment horizontal="center"/>
    </xf>
    <xf numFmtId="0" fontId="23" fillId="3" borderId="42" xfId="8" applyFont="1" applyFill="1" applyBorder="1" applyAlignment="1">
      <alignment horizontal="center"/>
    </xf>
    <xf numFmtId="0" fontId="24" fillId="3" borderId="43" xfId="8" applyFont="1" applyFill="1" applyBorder="1" applyAlignment="1">
      <alignment horizontal="left"/>
    </xf>
    <xf numFmtId="0" fontId="23" fillId="3" borderId="30" xfId="8" applyFont="1" applyFill="1" applyBorder="1" applyAlignment="1">
      <alignment horizontal="left"/>
    </xf>
    <xf numFmtId="15" fontId="23" fillId="3" borderId="37" xfId="8" quotePrefix="1" applyNumberFormat="1" applyFont="1" applyFill="1" applyBorder="1" applyAlignment="1">
      <alignment horizontal="left"/>
    </xf>
  </cellXfs>
  <cellStyles count="34">
    <cellStyle name="Excel_BuiltIn_Percent" xfId="15" xr:uid="{00000000-0005-0000-0000-000000000000}"/>
    <cellStyle name="Millares" xfId="33" builtinId="3"/>
    <cellStyle name="Millares [0]" xfId="27" builtinId="6"/>
    <cellStyle name="Millares [0] 2" xfId="32" xr:uid="{00000000-0005-0000-0000-000002000000}"/>
    <cellStyle name="Millares 2" xfId="6" xr:uid="{00000000-0005-0000-0000-000003000000}"/>
    <cellStyle name="Millares 2 2" xfId="26" xr:uid="{00000000-0005-0000-0000-000004000000}"/>
    <cellStyle name="Millares 3" xfId="21" xr:uid="{00000000-0005-0000-0000-000005000000}"/>
    <cellStyle name="Normal" xfId="0" builtinId="0"/>
    <cellStyle name="Normal 10" xfId="8" xr:uid="{00000000-0005-0000-0000-000007000000}"/>
    <cellStyle name="Normal 11" xfId="14" xr:uid="{00000000-0005-0000-0000-000008000000}"/>
    <cellStyle name="Normal 12" xfId="19" xr:uid="{00000000-0005-0000-0000-000009000000}"/>
    <cellStyle name="Normal 12 2" xfId="23" xr:uid="{00000000-0005-0000-0000-00000A000000}"/>
    <cellStyle name="Normal 13" xfId="20" xr:uid="{00000000-0005-0000-0000-00000B000000}"/>
    <cellStyle name="Normal 14" xfId="24" xr:uid="{00000000-0005-0000-0000-00000C000000}"/>
    <cellStyle name="Normal 15" xfId="25" xr:uid="{00000000-0005-0000-0000-00000D000000}"/>
    <cellStyle name="Normal 16" xfId="28" xr:uid="{00000000-0005-0000-0000-00000E000000}"/>
    <cellStyle name="Normal 2" xfId="2" xr:uid="{00000000-0005-0000-0000-00000F000000}"/>
    <cellStyle name="Normal 2 2" xfId="16" xr:uid="{00000000-0005-0000-0000-000010000000}"/>
    <cellStyle name="Normal 2 3" xfId="22" xr:uid="{00000000-0005-0000-0000-000011000000}"/>
    <cellStyle name="Normal 2 4" xfId="29" xr:uid="{00000000-0005-0000-0000-000012000000}"/>
    <cellStyle name="Normal 3" xfId="1" xr:uid="{00000000-0005-0000-0000-000013000000}"/>
    <cellStyle name="Normal 3 2" xfId="17" xr:uid="{00000000-0005-0000-0000-000014000000}"/>
    <cellStyle name="Normal 3 3" xfId="30" xr:uid="{00000000-0005-0000-0000-000015000000}"/>
    <cellStyle name="Normal 4" xfId="4" xr:uid="{00000000-0005-0000-0000-000016000000}"/>
    <cellStyle name="Normal 4 2" xfId="18" xr:uid="{00000000-0005-0000-0000-000017000000}"/>
    <cellStyle name="Normal 5" xfId="9" xr:uid="{00000000-0005-0000-0000-000018000000}"/>
    <cellStyle name="Normal 6" xfId="10" xr:uid="{00000000-0005-0000-0000-000019000000}"/>
    <cellStyle name="Normal 7" xfId="11" xr:uid="{00000000-0005-0000-0000-00001A000000}"/>
    <cellStyle name="Normal 8" xfId="12" xr:uid="{00000000-0005-0000-0000-00001B000000}"/>
    <cellStyle name="Normal 9" xfId="13" xr:uid="{00000000-0005-0000-0000-00001C000000}"/>
    <cellStyle name="Porcentaje" xfId="5" builtinId="5"/>
    <cellStyle name="Porcentaje 2" xfId="3" xr:uid="{00000000-0005-0000-0000-00001E000000}"/>
    <cellStyle name="Porcentaje 3" xfId="7" xr:uid="{00000000-0005-0000-0000-00001F000000}"/>
    <cellStyle name="Porcentaje 4" xfId="31" xr:uid="{00000000-0005-0000-0000-000020000000}"/>
  </cellStyles>
  <dxfs count="134">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ont>
        <color theme="0"/>
      </font>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0" tint="-0.2499465926084170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s>
  <tableStyles count="0" defaultTableStyle="TableStyleMedium9" defaultPivotStyle="PivotStyleMedium4"/>
  <colors>
    <mruColors>
      <color rgb="FF00FF00"/>
      <color rgb="FF00CC66"/>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'Resúmen Desempeño de Procesos'!$C$9</c:f>
              <c:strCache>
                <c:ptCount val="1"/>
                <c:pt idx="0">
                  <c:v>Desempeño 
Promedio 
Año 2020</c:v>
                </c:pt>
              </c:strCache>
            </c:strRef>
          </c:tx>
          <c:spPr>
            <a:solidFill>
              <a:srgbClr val="00B0F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'Resúmen Desempeño de Procesos'!$B$10:$B$25</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'Resúmen Desempeño de Procesos'!$C$10:$C$25</c:f>
              <c:numCache>
                <c:formatCode>0.0%</c:formatCode>
                <c:ptCount val="16"/>
                <c:pt idx="0">
                  <c:v>0.82189561403508771</c:v>
                </c:pt>
                <c:pt idx="1">
                  <c:v>1.175</c:v>
                </c:pt>
                <c:pt idx="2">
                  <c:v>0.9400152207001522</c:v>
                </c:pt>
                <c:pt idx="3">
                  <c:v>1</c:v>
                </c:pt>
                <c:pt idx="4">
                  <c:v>0.98333333333333339</c:v>
                </c:pt>
                <c:pt idx="5">
                  <c:v>0.71887971784158422</c:v>
                </c:pt>
                <c:pt idx="6">
                  <c:v>0.73097359464207301</c:v>
                </c:pt>
                <c:pt idx="7">
                  <c:v>0.36499999999999999</c:v>
                </c:pt>
                <c:pt idx="8">
                  <c:v>0.91379524635215581</c:v>
                </c:pt>
                <c:pt idx="9">
                  <c:v>1.1002990381937752</c:v>
                </c:pt>
                <c:pt idx="10">
                  <c:v>0.99</c:v>
                </c:pt>
                <c:pt idx="11">
                  <c:v>0.89368421052631586</c:v>
                </c:pt>
                <c:pt idx="12">
                  <c:v>0.86190476190476206</c:v>
                </c:pt>
                <c:pt idx="13">
                  <c:v>1</c:v>
                </c:pt>
                <c:pt idx="14">
                  <c:v>5.8695652173913045E-2</c:v>
                </c:pt>
                <c:pt idx="15">
                  <c:v>0.75</c:v>
                </c:pt>
              </c:numCache>
            </c:numRef>
          </c:val>
          <c:extLst>
            <c:ext xmlns:c16="http://schemas.microsoft.com/office/drawing/2014/chart" uri="{C3380CC4-5D6E-409C-BE32-E72D297353CC}">
              <c16:uniqueId val="{00000000-8725-43A5-98D0-ED2E6559A2B0}"/>
            </c:ext>
          </c:extLst>
        </c:ser>
        <c:dLbls>
          <c:showLegendKey val="0"/>
          <c:showVal val="0"/>
          <c:showCatName val="0"/>
          <c:showSerName val="0"/>
          <c:showPercent val="0"/>
          <c:showBubbleSize val="0"/>
        </c:dLbls>
        <c:gapWidth val="182"/>
        <c:axId val="514618896"/>
        <c:axId val="514625136"/>
      </c:barChart>
      <c:catAx>
        <c:axId val="51461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14625136"/>
        <c:crosses val="autoZero"/>
        <c:auto val="1"/>
        <c:lblAlgn val="ctr"/>
        <c:lblOffset val="100"/>
        <c:noMultiLvlLbl val="0"/>
      </c:catAx>
      <c:valAx>
        <c:axId val="5146251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61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459440</xdr:colOff>
      <xdr:row>7</xdr:row>
      <xdr:rowOff>212911</xdr:rowOff>
    </xdr:from>
    <xdr:to>
      <xdr:col>7</xdr:col>
      <xdr:colOff>156883</xdr:colOff>
      <xdr:row>27</xdr:row>
      <xdr:rowOff>481852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H25"/>
  <sheetViews>
    <sheetView workbookViewId="0">
      <selection activeCell="A4" sqref="A4"/>
    </sheetView>
  </sheetViews>
  <sheetFormatPr baseColWidth="10" defaultRowHeight="12.75"/>
  <cols>
    <col min="1" max="1" width="36.28515625" style="298" customWidth="1"/>
    <col min="2" max="2" width="11.42578125" style="298"/>
    <col min="3" max="3" width="39.85546875" style="298" customWidth="1"/>
    <col min="4" max="7" width="11.42578125" style="298"/>
    <col min="8" max="8" width="27.140625" style="305" customWidth="1"/>
    <col min="9" max="16384" width="11.42578125" style="298"/>
  </cols>
  <sheetData>
    <row r="1" spans="1:8" ht="22.5">
      <c r="A1" s="297" t="s">
        <v>579</v>
      </c>
      <c r="B1" s="297" t="s">
        <v>683</v>
      </c>
      <c r="C1" s="297" t="s">
        <v>684</v>
      </c>
      <c r="D1" s="297" t="s">
        <v>685</v>
      </c>
      <c r="E1" s="297" t="s">
        <v>686</v>
      </c>
      <c r="F1" s="297" t="s">
        <v>687</v>
      </c>
      <c r="H1" s="299" t="s">
        <v>712</v>
      </c>
    </row>
    <row r="2" spans="1:8">
      <c r="A2" s="300" t="s">
        <v>583</v>
      </c>
      <c r="B2" s="300" t="s">
        <v>688</v>
      </c>
      <c r="C2" s="301" t="s">
        <v>689</v>
      </c>
      <c r="D2" s="302" t="s">
        <v>690</v>
      </c>
      <c r="E2" s="302" t="s">
        <v>582</v>
      </c>
      <c r="F2" s="302" t="s">
        <v>691</v>
      </c>
      <c r="H2" s="303" t="s">
        <v>704</v>
      </c>
    </row>
    <row r="3" spans="1:8">
      <c r="A3" s="300" t="s">
        <v>584</v>
      </c>
      <c r="B3" s="300" t="s">
        <v>688</v>
      </c>
      <c r="C3" s="301" t="s">
        <v>693</v>
      </c>
      <c r="D3" s="302" t="s">
        <v>694</v>
      </c>
      <c r="E3" s="302" t="s">
        <v>695</v>
      </c>
      <c r="F3" s="302" t="s">
        <v>696</v>
      </c>
      <c r="H3" s="303" t="s">
        <v>713</v>
      </c>
    </row>
    <row r="4" spans="1:8" ht="15">
      <c r="A4" s="300" t="s">
        <v>585</v>
      </c>
      <c r="B4" s="300" t="s">
        <v>688</v>
      </c>
      <c r="C4" s="301" t="s">
        <v>698</v>
      </c>
      <c r="D4" s="302" t="s">
        <v>699</v>
      </c>
      <c r="E4" s="302" t="s">
        <v>700</v>
      </c>
      <c r="F4" s="304"/>
      <c r="H4" s="305" t="s">
        <v>675</v>
      </c>
    </row>
    <row r="5" spans="1:8" ht="15">
      <c r="A5" s="300" t="s">
        <v>586</v>
      </c>
      <c r="B5" s="300" t="s">
        <v>688</v>
      </c>
      <c r="C5" s="300" t="s">
        <v>701</v>
      </c>
      <c r="D5" s="304"/>
      <c r="E5" s="304"/>
      <c r="F5" s="304"/>
      <c r="H5" s="305" t="s">
        <v>714</v>
      </c>
    </row>
    <row r="6" spans="1:8" ht="15">
      <c r="A6" s="300" t="s">
        <v>590</v>
      </c>
      <c r="B6" s="300" t="s">
        <v>702</v>
      </c>
      <c r="C6" s="301" t="s">
        <v>703</v>
      </c>
      <c r="D6" s="304"/>
      <c r="E6" s="304"/>
      <c r="F6" s="304"/>
      <c r="H6" s="305" t="s">
        <v>692</v>
      </c>
    </row>
    <row r="7" spans="1:8" ht="15">
      <c r="A7" s="300" t="s">
        <v>705</v>
      </c>
      <c r="B7" s="300" t="s">
        <v>702</v>
      </c>
      <c r="C7" s="301" t="s">
        <v>706</v>
      </c>
      <c r="D7" s="304"/>
      <c r="E7" s="304"/>
      <c r="F7" s="304"/>
    </row>
    <row r="8" spans="1:8" ht="15">
      <c r="A8" s="300" t="s">
        <v>592</v>
      </c>
      <c r="B8" s="300" t="s">
        <v>702</v>
      </c>
      <c r="C8" s="301" t="s">
        <v>707</v>
      </c>
      <c r="D8" s="304"/>
      <c r="E8" s="304"/>
      <c r="F8" s="304"/>
    </row>
    <row r="9" spans="1:8" ht="15">
      <c r="A9" s="300" t="s">
        <v>594</v>
      </c>
      <c r="B9" s="300" t="s">
        <v>708</v>
      </c>
      <c r="C9" s="301" t="s">
        <v>709</v>
      </c>
      <c r="D9" s="304"/>
      <c r="E9" s="304"/>
      <c r="F9" s="304"/>
    </row>
    <row r="10" spans="1:8" ht="15">
      <c r="A10" s="300" t="s">
        <v>595</v>
      </c>
      <c r="B10" s="300" t="s">
        <v>708</v>
      </c>
      <c r="C10" s="304"/>
      <c r="D10" s="304"/>
      <c r="E10" s="304"/>
      <c r="F10" s="304"/>
    </row>
    <row r="11" spans="1:8" ht="15">
      <c r="A11" s="300" t="s">
        <v>596</v>
      </c>
      <c r="B11" s="300" t="s">
        <v>708</v>
      </c>
      <c r="C11" s="304"/>
      <c r="D11" s="304"/>
      <c r="E11" s="304"/>
      <c r="F11" s="304"/>
    </row>
    <row r="12" spans="1:8" ht="15">
      <c r="A12" s="300" t="s">
        <v>597</v>
      </c>
      <c r="B12" s="300" t="s">
        <v>708</v>
      </c>
      <c r="C12" s="301"/>
      <c r="D12" s="304"/>
      <c r="E12" s="304"/>
      <c r="F12" s="304"/>
    </row>
    <row r="13" spans="1:8" ht="15">
      <c r="A13" s="300" t="s">
        <v>598</v>
      </c>
      <c r="B13" s="300" t="s">
        <v>710</v>
      </c>
      <c r="C13" s="301"/>
      <c r="D13" s="304"/>
      <c r="E13" s="304"/>
      <c r="F13" s="304"/>
    </row>
    <row r="14" spans="1:8" ht="15">
      <c r="A14" s="300" t="s">
        <v>599</v>
      </c>
      <c r="B14" s="300" t="s">
        <v>708</v>
      </c>
      <c r="C14" s="301"/>
      <c r="D14" s="304"/>
      <c r="E14" s="304"/>
      <c r="F14" s="304"/>
    </row>
    <row r="15" spans="1:8" ht="15">
      <c r="A15" s="300" t="s">
        <v>587</v>
      </c>
      <c r="B15" s="300" t="s">
        <v>688</v>
      </c>
      <c r="C15" s="301"/>
      <c r="D15" s="304"/>
      <c r="E15" s="304"/>
      <c r="F15" s="304"/>
    </row>
    <row r="16" spans="1:8" ht="15">
      <c r="A16" s="300" t="s">
        <v>601</v>
      </c>
      <c r="B16" s="300" t="s">
        <v>710</v>
      </c>
      <c r="C16" s="301"/>
      <c r="D16" s="304"/>
      <c r="E16" s="304"/>
      <c r="F16" s="304"/>
    </row>
    <row r="17" spans="1:6" ht="15">
      <c r="A17" s="300" t="s">
        <v>602</v>
      </c>
      <c r="B17" s="300" t="s">
        <v>710</v>
      </c>
      <c r="C17" s="301"/>
      <c r="D17" s="304"/>
      <c r="E17" s="304"/>
      <c r="F17" s="304"/>
    </row>
    <row r="20" spans="1:6" ht="15">
      <c r="A20" s="306" t="s">
        <v>697</v>
      </c>
      <c r="B20" s="304"/>
      <c r="C20" s="304"/>
      <c r="D20" s="304"/>
      <c r="E20" s="304"/>
      <c r="F20" s="304"/>
    </row>
    <row r="21" spans="1:6" ht="15">
      <c r="A21" s="300" t="s">
        <v>588</v>
      </c>
      <c r="B21" s="304"/>
      <c r="C21" s="304"/>
      <c r="D21" s="304"/>
      <c r="E21" s="304"/>
      <c r="F21" s="304"/>
    </row>
    <row r="22" spans="1:6" ht="15">
      <c r="A22" s="304"/>
      <c r="B22" s="304"/>
      <c r="C22" s="304"/>
      <c r="D22" s="304"/>
      <c r="E22" s="304"/>
      <c r="F22" s="304"/>
    </row>
    <row r="23" spans="1:6" ht="15">
      <c r="A23" s="304"/>
      <c r="B23" s="304"/>
      <c r="C23" s="304"/>
      <c r="D23" s="304"/>
      <c r="E23" s="304"/>
      <c r="F23" s="304"/>
    </row>
    <row r="24" spans="1:6">
      <c r="A24" s="307"/>
      <c r="B24" s="307"/>
      <c r="C24" s="307"/>
      <c r="D24" s="308"/>
      <c r="E24" s="308"/>
      <c r="F24" s="308"/>
    </row>
    <row r="25" spans="1:6">
      <c r="A25" s="307"/>
      <c r="B25" s="307"/>
      <c r="C25" s="307"/>
      <c r="D25" s="308"/>
      <c r="E25" s="308"/>
      <c r="F25" s="308"/>
    </row>
  </sheetData>
  <sheetProtection algorithmName="SHA-512" hashValue="YbtBuMk6InJpUaPvEoxiHm3oVpa0BEj4uIWhisNmQf/O7mMP9edhseOTqogsLbILgDI31k5CCMqg+i4Aw4Kgng==" saltValue="eCGRCrZHKsgCuPSwRfO57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N109"/>
  <sheetViews>
    <sheetView showGridLines="0" zoomScaleNormal="100" workbookViewId="0">
      <pane xSplit="4" ySplit="4" topLeftCell="E5" activePane="bottomRight" state="frozen"/>
      <selection activeCell="AP17" sqref="AP17"/>
      <selection pane="topRight" activeCell="AP17" sqref="AP17"/>
      <selection pane="bottomLeft" activeCell="AP17" sqref="AP17"/>
      <selection pane="bottomRight" activeCell="AP17" sqref="AP17"/>
    </sheetView>
  </sheetViews>
  <sheetFormatPr baseColWidth="10" defaultRowHeight="12.75"/>
  <cols>
    <col min="1" max="1" width="1.7109375" style="325" customWidth="1"/>
    <col min="2" max="2" width="6.5703125" style="348" customWidth="1"/>
    <col min="3" max="3" width="27.85546875" style="349" customWidth="1"/>
    <col min="4" max="4" width="16" style="348" customWidth="1"/>
    <col min="5" max="5" width="41.85546875" style="350" customWidth="1"/>
    <col min="6" max="6" width="13.42578125" style="348" customWidth="1"/>
    <col min="7" max="7" width="19" style="325" customWidth="1"/>
    <col min="8" max="8" width="13.140625" style="325" customWidth="1"/>
    <col min="9" max="12" width="11.42578125" style="325"/>
    <col min="13" max="14" width="15.5703125" style="325" customWidth="1"/>
    <col min="15" max="16384" width="11.42578125" style="325"/>
  </cols>
  <sheetData>
    <row r="2" spans="2:14" ht="18">
      <c r="B2" s="547" t="s">
        <v>766</v>
      </c>
      <c r="C2" s="547"/>
      <c r="D2" s="547"/>
      <c r="E2" s="547"/>
      <c r="F2" s="547"/>
      <c r="G2" s="547"/>
      <c r="H2" s="547"/>
      <c r="I2" s="547"/>
      <c r="J2" s="547"/>
      <c r="K2" s="547"/>
      <c r="L2" s="547"/>
      <c r="M2" s="547"/>
      <c r="N2" s="547"/>
    </row>
    <row r="3" spans="2:14" ht="17.25" customHeight="1">
      <c r="B3" s="326"/>
      <c r="C3" s="326"/>
      <c r="D3" s="327"/>
      <c r="E3" s="327"/>
      <c r="F3" s="327"/>
      <c r="G3" s="546" t="s">
        <v>679</v>
      </c>
      <c r="H3" s="546"/>
      <c r="I3" s="546"/>
      <c r="J3" s="546"/>
      <c r="K3" s="546"/>
      <c r="L3" s="546"/>
      <c r="M3" s="546"/>
      <c r="N3" s="546"/>
    </row>
    <row r="4" spans="2:14" ht="25.5" customHeight="1">
      <c r="B4" s="479" t="s">
        <v>678</v>
      </c>
      <c r="C4" s="479" t="s">
        <v>681</v>
      </c>
      <c r="D4" s="328" t="s">
        <v>676</v>
      </c>
      <c r="E4" s="329" t="s">
        <v>677</v>
      </c>
      <c r="F4" s="328" t="s">
        <v>680</v>
      </c>
      <c r="G4" s="551" t="s">
        <v>769</v>
      </c>
      <c r="H4" s="552"/>
      <c r="I4" s="548" t="s">
        <v>770</v>
      </c>
      <c r="J4" s="549"/>
      <c r="K4" s="549"/>
      <c r="L4" s="550"/>
      <c r="M4" s="553" t="s">
        <v>768</v>
      </c>
      <c r="N4" s="554"/>
    </row>
    <row r="5" spans="2:14" ht="25.5">
      <c r="B5" s="330">
        <v>1</v>
      </c>
      <c r="C5" s="331" t="s">
        <v>583</v>
      </c>
      <c r="D5" s="330" t="s">
        <v>717</v>
      </c>
      <c r="E5" s="332" t="str">
        <f>'01 Direcc Estratégico POA 2020 '!E13</f>
        <v>Plan operativo formulado</v>
      </c>
      <c r="F5" s="330" t="s">
        <v>690</v>
      </c>
      <c r="G5" s="333" t="s">
        <v>713</v>
      </c>
      <c r="H5" s="334">
        <v>100</v>
      </c>
      <c r="I5" s="288" t="str">
        <f>IF(OR($G5="Mayor A:",$G5="Menor A:"),"Desde (&gt;=):",
IF(OR($G5="Mayor o Igual A:",$G5="Menor o Igual A:"),"Desde (&gt;):",
IF($G5="Igual A:","No Aplica",
IF($G5="",""))))</f>
        <v>Desde (&gt;):</v>
      </c>
      <c r="J5" s="288">
        <f t="shared" ref="J5" si="0">IF(H5&gt;N5,N5,
IF(H5&lt;N5,H5,
IF(H5=N5,"No Aplica","")))</f>
        <v>98</v>
      </c>
      <c r="K5" s="288" t="str">
        <f>IF(OR($G5="Mayor A:",$G5="Menor A:"),"Hasta (&lt;=):",
IF(OR($G5="Mayor o Igual A:",$G5="Menor o Igual A:"),"Hasta (&lt;):",
IF($G5="Igual A:","No Aplica",
IF($G5="",""))))</f>
        <v>Hasta (&lt;):</v>
      </c>
      <c r="L5" s="288">
        <f t="shared" ref="L5" si="1">IF(H5&gt;N5,H5,
IF(H5&lt;N5,N5,
IF(H5=N5,"No Aplica","")))</f>
        <v>100</v>
      </c>
      <c r="M5" s="288" t="str">
        <f>IF($G5="Mayor A:","Menor A:",
IF($G5="Menor A:","Mayor A:",
IF($G5="Mayor o Igual A:","Menor o Igual A:",
IF($G5="Menor o Igual A:","Mayor o Igual A:",
IF($G5="Igual A:","Igual A:",
IF($G5="",""))))))</f>
        <v>Menor o Igual A:</v>
      </c>
      <c r="N5" s="335">
        <v>98</v>
      </c>
    </row>
    <row r="6" spans="2:14" ht="25.5">
      <c r="B6" s="330">
        <f>1+B5</f>
        <v>2</v>
      </c>
      <c r="C6" s="331" t="s">
        <v>583</v>
      </c>
      <c r="D6" s="330" t="s">
        <v>612</v>
      </c>
      <c r="E6" s="332" t="str">
        <f>'01 Direcc Estratégico POA 2020 '!E14</f>
        <v>Avance en la implementación del Modelo (MIPG)</v>
      </c>
      <c r="F6" s="330" t="s">
        <v>690</v>
      </c>
      <c r="G6" s="333" t="s">
        <v>713</v>
      </c>
      <c r="H6" s="334">
        <v>95</v>
      </c>
      <c r="I6" s="288" t="str">
        <f>IF(OR($G6="Mayor A:",$G6="Menor A:"),"Desde (&gt;=):",
IF(OR($G6="Mayor o Igual A:",$G6="Menor o Igual A:"),"Desde (&gt;):",
IF($G6="Igual A:","No Aplica",
IF($G6="",""))))</f>
        <v>Desde (&gt;):</v>
      </c>
      <c r="J6" s="288">
        <f t="shared" ref="J6" si="2">IF(H6&gt;N6,N6,
IF(H6&lt;N6,H6,
IF(H6=N6,"No Aplica","")))</f>
        <v>70</v>
      </c>
      <c r="K6" s="288" t="str">
        <f>IF(OR($G6="Mayor A:",$G6="Menor A:"),"Hasta (&lt;=):",
IF(OR($G6="Mayor o Igual A:",$G6="Menor o Igual A:"),"Hasta (&lt;):",
IF($G6="Igual A:","No Aplica",
IF($G6="",""))))</f>
        <v>Hasta (&lt;):</v>
      </c>
      <c r="L6" s="288">
        <f t="shared" ref="L6" si="3">IF(H6&gt;N6,H6,
IF(H6&lt;N6,N6,
IF(H6=N6,"No Aplica","")))</f>
        <v>95</v>
      </c>
      <c r="M6" s="288" t="str">
        <f>IF($G6="Mayor A:","Menor A:",
IF($G6="Menor A:","Mayor A:",
IF($G6="Mayor o Igual A:","Menor o Igual A:",
IF($G6="Menor o Igual A:","Mayor o Igual A:",
IF($G6="Igual A:","Igual A:",
IF($G6="",""))))))</f>
        <v>Menor o Igual A:</v>
      </c>
      <c r="N6" s="335">
        <v>70</v>
      </c>
    </row>
    <row r="7" spans="2:14" ht="38.25">
      <c r="B7" s="330">
        <f t="shared" ref="B7:B68" si="4">1+B6</f>
        <v>3</v>
      </c>
      <c r="C7" s="331" t="s">
        <v>583</v>
      </c>
      <c r="D7" s="330" t="s">
        <v>719</v>
      </c>
      <c r="E7" s="332" t="str">
        <f>'01 Direcc Estratégico POA 2020 '!E15</f>
        <v xml:space="preserve">Avance en la implementación de acciones para la sostenibilidad del Sistema de Gestión de la Calidad </v>
      </c>
      <c r="F7" s="330" t="s">
        <v>690</v>
      </c>
      <c r="G7" s="333" t="s">
        <v>713</v>
      </c>
      <c r="H7" s="334">
        <v>90</v>
      </c>
      <c r="I7" s="288" t="str">
        <f t="shared" ref="I7:I69" si="5">IF(OR($G7="Mayor A:",$G7="Menor A:"),"Desde (&gt;=):",
IF(OR($G7="Mayor o Igual A:",$G7="Menor o Igual A:"),"Desde (&gt;):",
IF($G7="Igual A:","No Aplica",
IF($G7="",""))))</f>
        <v>Desde (&gt;):</v>
      </c>
      <c r="J7" s="288">
        <f t="shared" ref="J7:J69" si="6">IF(H7&gt;N7,N7,
IF(H7&lt;N7,H7,
IF(H7=N7,"No Aplica","")))</f>
        <v>80</v>
      </c>
      <c r="K7" s="288" t="str">
        <f t="shared" ref="K7:K69" si="7">IF(OR($G7="Mayor A:",$G7="Menor A:"),"Hasta (&lt;=):",
IF(OR($G7="Mayor o Igual A:",$G7="Menor o Igual A:"),"Hasta (&lt;):",
IF($G7="Igual A:","No Aplica",
IF($G7="",""))))</f>
        <v>Hasta (&lt;):</v>
      </c>
      <c r="L7" s="288">
        <f t="shared" ref="L7:L69" si="8">IF(H7&gt;N7,H7,
IF(H7&lt;N7,N7,
IF(H7=N7,"No Aplica","")))</f>
        <v>90</v>
      </c>
      <c r="M7" s="288" t="str">
        <f t="shared" ref="M7:M69" si="9">IF($G7="Mayor A:","Menor A:",
IF($G7="Menor A:","Mayor A:",
IF($G7="Mayor o Igual A:","Menor o Igual A:",
IF($G7="Menor o Igual A:","Mayor o Igual A:",
IF($G7="Igual A:","Igual A:",
IF($G7="",""))))))</f>
        <v>Menor o Igual A:</v>
      </c>
      <c r="N7" s="335">
        <v>80</v>
      </c>
    </row>
    <row r="8" spans="2:14" ht="33" customHeight="1">
      <c r="B8" s="330">
        <f t="shared" si="4"/>
        <v>4</v>
      </c>
      <c r="C8" s="331" t="s">
        <v>583</v>
      </c>
      <c r="D8" s="330" t="s">
        <v>720</v>
      </c>
      <c r="E8" s="332" t="str">
        <f>'01 Direcc Estratégico POA 2020 '!E16</f>
        <v>Porcentaje de avance en las  actividades programadas PAAC</v>
      </c>
      <c r="F8" s="330" t="s">
        <v>690</v>
      </c>
      <c r="G8" s="333" t="s">
        <v>713</v>
      </c>
      <c r="H8" s="334">
        <v>90</v>
      </c>
      <c r="I8" s="288" t="str">
        <f t="shared" si="5"/>
        <v>Desde (&gt;):</v>
      </c>
      <c r="J8" s="288">
        <f t="shared" si="6"/>
        <v>80</v>
      </c>
      <c r="K8" s="288" t="str">
        <f t="shared" si="7"/>
        <v>Hasta (&lt;):</v>
      </c>
      <c r="L8" s="288">
        <f t="shared" si="8"/>
        <v>90</v>
      </c>
      <c r="M8" s="288" t="str">
        <f t="shared" si="9"/>
        <v>Menor o Igual A:</v>
      </c>
      <c r="N8" s="335">
        <v>80</v>
      </c>
    </row>
    <row r="9" spans="2:14" ht="25.5">
      <c r="B9" s="330">
        <f t="shared" si="4"/>
        <v>5</v>
      </c>
      <c r="C9" s="331" t="s">
        <v>583</v>
      </c>
      <c r="D9" s="330" t="s">
        <v>613</v>
      </c>
      <c r="E9" s="332" t="str">
        <f>'01 Direcc Estratégico POA 2020 '!E17</f>
        <v>Visitas para realizar control a la gestión</v>
      </c>
      <c r="F9" s="330" t="s">
        <v>690</v>
      </c>
      <c r="G9" s="333" t="s">
        <v>713</v>
      </c>
      <c r="H9" s="334">
        <v>90</v>
      </c>
      <c r="I9" s="288" t="str">
        <f t="shared" si="5"/>
        <v>Desde (&gt;):</v>
      </c>
      <c r="J9" s="288">
        <f t="shared" si="6"/>
        <v>80</v>
      </c>
      <c r="K9" s="288" t="str">
        <f t="shared" si="7"/>
        <v>Hasta (&lt;):</v>
      </c>
      <c r="L9" s="288">
        <f t="shared" si="8"/>
        <v>90</v>
      </c>
      <c r="M9" s="288" t="str">
        <f t="shared" si="9"/>
        <v>Menor o Igual A:</v>
      </c>
      <c r="N9" s="335">
        <v>80</v>
      </c>
    </row>
    <row r="10" spans="2:14" ht="35.25" customHeight="1">
      <c r="B10" s="330">
        <f t="shared" si="4"/>
        <v>6</v>
      </c>
      <c r="C10" s="331" t="s">
        <v>583</v>
      </c>
      <c r="D10" s="330" t="s">
        <v>614</v>
      </c>
      <c r="E10" s="332" t="str">
        <f>'01 Direcc Estratégico POA 2020 '!E18</f>
        <v>Publicación  de seguimiento a planes, programas y proyectos</v>
      </c>
      <c r="F10" s="330" t="s">
        <v>690</v>
      </c>
      <c r="G10" s="333" t="s">
        <v>713</v>
      </c>
      <c r="H10" s="334">
        <v>90</v>
      </c>
      <c r="I10" s="288" t="str">
        <f t="shared" si="5"/>
        <v>Desde (&gt;):</v>
      </c>
      <c r="J10" s="288">
        <f t="shared" si="6"/>
        <v>80</v>
      </c>
      <c r="K10" s="288" t="str">
        <f t="shared" si="7"/>
        <v>Hasta (&lt;):</v>
      </c>
      <c r="L10" s="288">
        <f t="shared" si="8"/>
        <v>90</v>
      </c>
      <c r="M10" s="288" t="str">
        <f t="shared" si="9"/>
        <v>Menor o Igual A:</v>
      </c>
      <c r="N10" s="335">
        <v>80</v>
      </c>
    </row>
    <row r="11" spans="2:14" ht="25.5" customHeight="1">
      <c r="B11" s="330">
        <f t="shared" si="4"/>
        <v>7</v>
      </c>
      <c r="C11" s="336" t="s">
        <v>584</v>
      </c>
      <c r="D11" s="330" t="s">
        <v>721</v>
      </c>
      <c r="E11" s="332" t="str">
        <f>'02 G. Conoc Innovación POA 2020'!E13</f>
        <v>Espacios  de transferencia  de conocimientos realizados .</v>
      </c>
      <c r="F11" s="337" t="s">
        <v>690</v>
      </c>
      <c r="G11" s="333" t="s">
        <v>713</v>
      </c>
      <c r="H11" s="334">
        <v>90</v>
      </c>
      <c r="I11" s="288" t="str">
        <f t="shared" si="5"/>
        <v>Desde (&gt;):</v>
      </c>
      <c r="J11" s="288">
        <f t="shared" si="6"/>
        <v>60</v>
      </c>
      <c r="K11" s="288" t="str">
        <f t="shared" si="7"/>
        <v>Hasta (&lt;):</v>
      </c>
      <c r="L11" s="288">
        <f t="shared" si="8"/>
        <v>90</v>
      </c>
      <c r="M11" s="288" t="str">
        <f t="shared" si="9"/>
        <v>Menor o Igual A:</v>
      </c>
      <c r="N11" s="335">
        <v>60</v>
      </c>
    </row>
    <row r="12" spans="2:14" ht="32.25" customHeight="1">
      <c r="B12" s="330">
        <f t="shared" si="4"/>
        <v>8</v>
      </c>
      <c r="C12" s="336" t="s">
        <v>584</v>
      </c>
      <c r="D12" s="330" t="s">
        <v>718</v>
      </c>
      <c r="E12" s="332" t="str">
        <f>'02 G. Conoc Innovación POA 2020'!E14</f>
        <v>Espacios  de  ideación y creación de innovación pública realizados</v>
      </c>
      <c r="F12" s="337" t="s">
        <v>690</v>
      </c>
      <c r="G12" s="333" t="s">
        <v>713</v>
      </c>
      <c r="H12" s="334">
        <v>90</v>
      </c>
      <c r="I12" s="288" t="str">
        <f t="shared" si="5"/>
        <v>Desde (&gt;):</v>
      </c>
      <c r="J12" s="288">
        <f t="shared" si="6"/>
        <v>60</v>
      </c>
      <c r="K12" s="288" t="str">
        <f t="shared" si="7"/>
        <v>Hasta (&lt;):</v>
      </c>
      <c r="L12" s="288">
        <f t="shared" si="8"/>
        <v>90</v>
      </c>
      <c r="M12" s="288" t="str">
        <f t="shared" si="9"/>
        <v>Menor o Igual A:</v>
      </c>
      <c r="N12" s="335">
        <v>60</v>
      </c>
    </row>
    <row r="13" spans="2:14" ht="51">
      <c r="B13" s="330">
        <f t="shared" si="4"/>
        <v>9</v>
      </c>
      <c r="C13" s="336" t="s">
        <v>584</v>
      </c>
      <c r="D13" s="330" t="s">
        <v>722</v>
      </c>
      <c r="E13" s="332" t="str">
        <f>'02 G. Conoc Innovación POA 2020'!E15</f>
        <v>Mecanismo implementado para la documentación y/o registro de la memoria institucional,  conservación en el repositorio institucional y difusión</v>
      </c>
      <c r="F13" s="337" t="s">
        <v>690</v>
      </c>
      <c r="G13" s="333" t="s">
        <v>713</v>
      </c>
      <c r="H13" s="334">
        <v>90</v>
      </c>
      <c r="I13" s="288" t="str">
        <f t="shared" si="5"/>
        <v>Desde (&gt;):</v>
      </c>
      <c r="J13" s="288">
        <f t="shared" si="6"/>
        <v>60</v>
      </c>
      <c r="K13" s="288" t="str">
        <f t="shared" si="7"/>
        <v>Hasta (&lt;):</v>
      </c>
      <c r="L13" s="288">
        <f t="shared" si="8"/>
        <v>90</v>
      </c>
      <c r="M13" s="288" t="str">
        <f t="shared" si="9"/>
        <v>Menor o Igual A:</v>
      </c>
      <c r="N13" s="335">
        <v>60</v>
      </c>
    </row>
    <row r="14" spans="2:14" ht="38.25">
      <c r="B14" s="330">
        <f t="shared" si="4"/>
        <v>10</v>
      </c>
      <c r="C14" s="331" t="s">
        <v>585</v>
      </c>
      <c r="D14" s="330" t="s">
        <v>618</v>
      </c>
      <c r="E14" s="332" t="str">
        <f>'03 Direccionamient TIC POA 2020'!E13</f>
        <v>Avance en la  implementación de las mejores prácticas para la adecuada gestión de la infraestructura tecnológica de la Entidad</v>
      </c>
      <c r="F14" s="337" t="s">
        <v>690</v>
      </c>
      <c r="G14" s="333" t="s">
        <v>713</v>
      </c>
      <c r="H14" s="334">
        <v>90</v>
      </c>
      <c r="I14" s="288" t="str">
        <f t="shared" si="5"/>
        <v>Desde (&gt;):</v>
      </c>
      <c r="J14" s="288">
        <f t="shared" si="6"/>
        <v>69</v>
      </c>
      <c r="K14" s="288" t="str">
        <f t="shared" si="7"/>
        <v>Hasta (&lt;):</v>
      </c>
      <c r="L14" s="288">
        <f t="shared" si="8"/>
        <v>90</v>
      </c>
      <c r="M14" s="288" t="str">
        <f t="shared" si="9"/>
        <v>Menor o Igual A:</v>
      </c>
      <c r="N14" s="335">
        <v>69</v>
      </c>
    </row>
    <row r="15" spans="2:14" ht="38.25">
      <c r="B15" s="330">
        <f t="shared" si="4"/>
        <v>11</v>
      </c>
      <c r="C15" s="331" t="s">
        <v>585</v>
      </c>
      <c r="D15" s="330" t="s">
        <v>619</v>
      </c>
      <c r="E15" s="332" t="str">
        <f>'03 Direccionamient TIC POA 2020'!E14</f>
        <v>Avance para mantener y evolucionar los sistemas de información de la Entidad acorde a las necesidades</v>
      </c>
      <c r="F15" s="337" t="s">
        <v>690</v>
      </c>
      <c r="G15" s="333" t="s">
        <v>713</v>
      </c>
      <c r="H15" s="334">
        <v>90</v>
      </c>
      <c r="I15" s="288" t="str">
        <f t="shared" si="5"/>
        <v>Desde (&gt;):</v>
      </c>
      <c r="J15" s="288">
        <f t="shared" si="6"/>
        <v>69</v>
      </c>
      <c r="K15" s="288" t="str">
        <f t="shared" si="7"/>
        <v>Hasta (&lt;):</v>
      </c>
      <c r="L15" s="288">
        <f t="shared" si="8"/>
        <v>90</v>
      </c>
      <c r="M15" s="288" t="str">
        <f t="shared" si="9"/>
        <v>Menor o Igual A:</v>
      </c>
      <c r="N15" s="335">
        <v>69</v>
      </c>
    </row>
    <row r="16" spans="2:14" ht="38.25">
      <c r="B16" s="330">
        <f t="shared" si="4"/>
        <v>12</v>
      </c>
      <c r="C16" s="331" t="s">
        <v>585</v>
      </c>
      <c r="D16" s="330" t="s">
        <v>620</v>
      </c>
      <c r="E16" s="332" t="str">
        <f>'03 Direccionamient TIC POA 2020'!E15</f>
        <v>Avance en el desarrollo de las actividades requeridas para la implementación del Sistema de Gestión de Seguridad de la Información SGSI</v>
      </c>
      <c r="F16" s="337" t="s">
        <v>690</v>
      </c>
      <c r="G16" s="333" t="s">
        <v>713</v>
      </c>
      <c r="H16" s="334">
        <v>90</v>
      </c>
      <c r="I16" s="288" t="str">
        <f t="shared" si="5"/>
        <v>Desde (&gt;):</v>
      </c>
      <c r="J16" s="288">
        <f t="shared" si="6"/>
        <v>69</v>
      </c>
      <c r="K16" s="288" t="str">
        <f t="shared" si="7"/>
        <v>Hasta (&lt;):</v>
      </c>
      <c r="L16" s="288">
        <f t="shared" si="8"/>
        <v>90</v>
      </c>
      <c r="M16" s="288" t="str">
        <f t="shared" si="9"/>
        <v>Menor o Igual A:</v>
      </c>
      <c r="N16" s="335">
        <v>69</v>
      </c>
    </row>
    <row r="17" spans="2:14" ht="38.25">
      <c r="B17" s="330">
        <f t="shared" si="4"/>
        <v>13</v>
      </c>
      <c r="C17" s="331" t="s">
        <v>585</v>
      </c>
      <c r="D17" s="330" t="s">
        <v>621</v>
      </c>
      <c r="E17" s="332" t="str">
        <f>'03 Direccionamient TIC POA 2020'!E16</f>
        <v>Avance del desarrollo del plan de acción enmarcadas en el manual de la política de Gobierno Digital</v>
      </c>
      <c r="F17" s="337" t="s">
        <v>690</v>
      </c>
      <c r="G17" s="333" t="s">
        <v>713</v>
      </c>
      <c r="H17" s="334">
        <v>90</v>
      </c>
      <c r="I17" s="288" t="str">
        <f t="shared" si="5"/>
        <v>Desde (&gt;):</v>
      </c>
      <c r="J17" s="288">
        <f t="shared" si="6"/>
        <v>69</v>
      </c>
      <c r="K17" s="288" t="str">
        <f t="shared" si="7"/>
        <v>Hasta (&lt;):</v>
      </c>
      <c r="L17" s="288">
        <f t="shared" si="8"/>
        <v>90</v>
      </c>
      <c r="M17" s="288" t="str">
        <f t="shared" si="9"/>
        <v>Menor o Igual A:</v>
      </c>
      <c r="N17" s="335">
        <v>69</v>
      </c>
    </row>
    <row r="18" spans="2:14" ht="25.5">
      <c r="B18" s="330">
        <f t="shared" si="4"/>
        <v>14</v>
      </c>
      <c r="C18" s="331" t="s">
        <v>585</v>
      </c>
      <c r="D18" s="330" t="s">
        <v>723</v>
      </c>
      <c r="E18" s="332" t="str">
        <f>'03 Direccionamient TIC POA 2020'!E17</f>
        <v>Porcentaje de requerimientos atendidos oportunamente</v>
      </c>
      <c r="F18" s="337" t="s">
        <v>690</v>
      </c>
      <c r="G18" s="333" t="s">
        <v>713</v>
      </c>
      <c r="H18" s="334">
        <v>90</v>
      </c>
      <c r="I18" s="288" t="str">
        <f t="shared" si="5"/>
        <v>Desde (&gt;):</v>
      </c>
      <c r="J18" s="288">
        <f t="shared" si="6"/>
        <v>69</v>
      </c>
      <c r="K18" s="288" t="str">
        <f t="shared" si="7"/>
        <v>Hasta (&lt;):</v>
      </c>
      <c r="L18" s="288">
        <f t="shared" si="8"/>
        <v>90</v>
      </c>
      <c r="M18" s="288" t="str">
        <f t="shared" si="9"/>
        <v>Menor o Igual A:</v>
      </c>
      <c r="N18" s="335">
        <v>69</v>
      </c>
    </row>
    <row r="19" spans="2:14">
      <c r="B19" s="330">
        <f t="shared" si="4"/>
        <v>15</v>
      </c>
      <c r="C19" s="331" t="s">
        <v>585</v>
      </c>
      <c r="D19" s="330" t="s">
        <v>622</v>
      </c>
      <c r="E19" s="332" t="str">
        <f>'03 Direccionamient TIC POA 2020'!E18</f>
        <v>Porcentaje de usuarios satisfechos</v>
      </c>
      <c r="F19" s="337" t="s">
        <v>690</v>
      </c>
      <c r="G19" s="333" t="s">
        <v>713</v>
      </c>
      <c r="H19" s="334">
        <v>90</v>
      </c>
      <c r="I19" s="288" t="str">
        <f t="shared" si="5"/>
        <v>Desde (&gt;):</v>
      </c>
      <c r="J19" s="288">
        <f t="shared" si="6"/>
        <v>69</v>
      </c>
      <c r="K19" s="288" t="str">
        <f t="shared" si="7"/>
        <v>Hasta (&lt;):</v>
      </c>
      <c r="L19" s="288">
        <f t="shared" si="8"/>
        <v>90</v>
      </c>
      <c r="M19" s="288" t="str">
        <f t="shared" si="9"/>
        <v>Menor o Igual A:</v>
      </c>
      <c r="N19" s="335">
        <v>69</v>
      </c>
    </row>
    <row r="20" spans="2:14" ht="51">
      <c r="B20" s="330">
        <f t="shared" si="4"/>
        <v>16</v>
      </c>
      <c r="C20" s="336" t="s">
        <v>586</v>
      </c>
      <c r="D20" s="330" t="s">
        <v>624</v>
      </c>
      <c r="E20" s="332" t="str">
        <f>'04 Comunicación Estrat POA 2020'!E13</f>
        <v>Porcentaje de avance en el diseño e implementación de la estrategia de comunicación para la socialización de los servicios que brindan las personería locales</v>
      </c>
      <c r="F20" s="337" t="s">
        <v>690</v>
      </c>
      <c r="G20" s="333" t="s">
        <v>713</v>
      </c>
      <c r="H20" s="334">
        <v>90</v>
      </c>
      <c r="I20" s="288" t="str">
        <f t="shared" si="5"/>
        <v>Desde (&gt;):</v>
      </c>
      <c r="J20" s="288">
        <f t="shared" si="6"/>
        <v>69</v>
      </c>
      <c r="K20" s="288" t="str">
        <f t="shared" si="7"/>
        <v>Hasta (&lt;):</v>
      </c>
      <c r="L20" s="288">
        <f t="shared" si="8"/>
        <v>90</v>
      </c>
      <c r="M20" s="288" t="str">
        <f t="shared" si="9"/>
        <v>Menor o Igual A:</v>
      </c>
      <c r="N20" s="335">
        <v>69</v>
      </c>
    </row>
    <row r="21" spans="2:14" ht="51">
      <c r="B21" s="330">
        <f t="shared" si="4"/>
        <v>17</v>
      </c>
      <c r="C21" s="336" t="s">
        <v>586</v>
      </c>
      <c r="D21" s="330" t="s">
        <v>625</v>
      </c>
      <c r="E21" s="332" t="str">
        <f>'04 Comunicación Estrat POA 2020'!E14</f>
        <v>Porcentaje de avance en el diseño y ejecución de la campaña de sensibilización para ayudar a promover los derechos de las personas en el Distrito Capital.</v>
      </c>
      <c r="F21" s="337" t="s">
        <v>690</v>
      </c>
      <c r="G21" s="333" t="s">
        <v>713</v>
      </c>
      <c r="H21" s="334">
        <v>90</v>
      </c>
      <c r="I21" s="288" t="str">
        <f t="shared" si="5"/>
        <v>Desde (&gt;):</v>
      </c>
      <c r="J21" s="288">
        <f t="shared" si="6"/>
        <v>69</v>
      </c>
      <c r="K21" s="288" t="str">
        <f t="shared" si="7"/>
        <v>Hasta (&lt;):</v>
      </c>
      <c r="L21" s="288">
        <f t="shared" si="8"/>
        <v>90</v>
      </c>
      <c r="M21" s="288" t="str">
        <f t="shared" si="9"/>
        <v>Menor o Igual A:</v>
      </c>
      <c r="N21" s="335">
        <v>69</v>
      </c>
    </row>
    <row r="22" spans="2:14" ht="51">
      <c r="B22" s="330">
        <f t="shared" si="4"/>
        <v>18</v>
      </c>
      <c r="C22" s="336" t="s">
        <v>586</v>
      </c>
      <c r="D22" s="330" t="s">
        <v>626</v>
      </c>
      <c r="E22" s="332" t="str">
        <f>'04 Comunicación Estrat POA 2020'!E15</f>
        <v>Porcentaje de avance en el diseño y ejecución de la campaña de divulgación para contribuir en la promoción de los derechos humanos en el distrito capital</v>
      </c>
      <c r="F22" s="337" t="s">
        <v>690</v>
      </c>
      <c r="G22" s="333" t="s">
        <v>713</v>
      </c>
      <c r="H22" s="334">
        <v>90</v>
      </c>
      <c r="I22" s="288" t="str">
        <f t="shared" si="5"/>
        <v>Desde (&gt;):</v>
      </c>
      <c r="J22" s="288">
        <f t="shared" si="6"/>
        <v>69</v>
      </c>
      <c r="K22" s="288" t="str">
        <f t="shared" si="7"/>
        <v>Hasta (&lt;):</v>
      </c>
      <c r="L22" s="288">
        <f t="shared" si="8"/>
        <v>90</v>
      </c>
      <c r="M22" s="288" t="str">
        <f t="shared" si="9"/>
        <v>Menor o Igual A:</v>
      </c>
      <c r="N22" s="335">
        <v>69</v>
      </c>
    </row>
    <row r="23" spans="2:14" ht="51">
      <c r="B23" s="330">
        <f t="shared" si="4"/>
        <v>19</v>
      </c>
      <c r="C23" s="336" t="s">
        <v>586</v>
      </c>
      <c r="D23" s="330" t="s">
        <v>724</v>
      </c>
      <c r="E23" s="332" t="str">
        <f>'04 Comunicación Estrat POA 2020'!E16</f>
        <v>Porcentaje de avance en el diseño y ejecución de la campaña de divulgación para promover una Cultura de Calidad, Buen Servicio y Mejora Continua</v>
      </c>
      <c r="F23" s="337" t="s">
        <v>690</v>
      </c>
      <c r="G23" s="333" t="s">
        <v>713</v>
      </c>
      <c r="H23" s="334">
        <v>90</v>
      </c>
      <c r="I23" s="288" t="str">
        <f t="shared" si="5"/>
        <v>Desde (&gt;):</v>
      </c>
      <c r="J23" s="288">
        <f t="shared" si="6"/>
        <v>69</v>
      </c>
      <c r="K23" s="288" t="str">
        <f t="shared" si="7"/>
        <v>Hasta (&lt;):</v>
      </c>
      <c r="L23" s="288">
        <f t="shared" si="8"/>
        <v>90</v>
      </c>
      <c r="M23" s="288" t="str">
        <f t="shared" si="9"/>
        <v>Menor o Igual A:</v>
      </c>
      <c r="N23" s="335">
        <v>69</v>
      </c>
    </row>
    <row r="24" spans="2:14" ht="89.25">
      <c r="B24" s="330">
        <f t="shared" si="4"/>
        <v>20</v>
      </c>
      <c r="C24" s="336" t="s">
        <v>586</v>
      </c>
      <c r="D24" s="330" t="s">
        <v>725</v>
      </c>
      <c r="E24" s="332" t="str">
        <f>'04 Comunicación Estrat POA 2020'!E17</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F24" s="337" t="s">
        <v>690</v>
      </c>
      <c r="G24" s="333" t="s">
        <v>713</v>
      </c>
      <c r="H24" s="334">
        <v>90</v>
      </c>
      <c r="I24" s="288" t="str">
        <f t="shared" si="5"/>
        <v>Desde (&gt;):</v>
      </c>
      <c r="J24" s="288">
        <f t="shared" si="6"/>
        <v>69</v>
      </c>
      <c r="K24" s="288" t="str">
        <f t="shared" si="7"/>
        <v>Hasta (&lt;):</v>
      </c>
      <c r="L24" s="288">
        <f t="shared" si="8"/>
        <v>90</v>
      </c>
      <c r="M24" s="288" t="str">
        <f t="shared" si="9"/>
        <v>Menor o Igual A:</v>
      </c>
      <c r="N24" s="335">
        <v>69</v>
      </c>
    </row>
    <row r="25" spans="2:14" ht="25.5">
      <c r="B25" s="330">
        <f t="shared" si="4"/>
        <v>21</v>
      </c>
      <c r="C25" s="331" t="s">
        <v>590</v>
      </c>
      <c r="D25" s="337" t="s">
        <v>682</v>
      </c>
      <c r="E25" s="338" t="str">
        <f>'05 Prom Defen Derechos POA 2020'!E13</f>
        <v xml:space="preserve">Acciones de promoción y apropiación de derechos y deberes realizadas. </v>
      </c>
      <c r="F25" s="337" t="s">
        <v>690</v>
      </c>
      <c r="G25" s="333" t="s">
        <v>704</v>
      </c>
      <c r="H25" s="334">
        <v>95</v>
      </c>
      <c r="I25" s="288" t="str">
        <f t="shared" si="5"/>
        <v>Desde (&gt;=):</v>
      </c>
      <c r="J25" s="288">
        <f t="shared" si="6"/>
        <v>85</v>
      </c>
      <c r="K25" s="288" t="str">
        <f t="shared" si="7"/>
        <v>Hasta (&lt;=):</v>
      </c>
      <c r="L25" s="288">
        <f t="shared" si="8"/>
        <v>95</v>
      </c>
      <c r="M25" s="288" t="str">
        <f t="shared" si="9"/>
        <v>Menor A:</v>
      </c>
      <c r="N25" s="335">
        <v>85</v>
      </c>
    </row>
    <row r="26" spans="2:14" ht="25.5">
      <c r="B26" s="330">
        <f t="shared" si="4"/>
        <v>22</v>
      </c>
      <c r="C26" s="331" t="s">
        <v>590</v>
      </c>
      <c r="D26" s="337" t="s">
        <v>711</v>
      </c>
      <c r="E26" s="338" t="str">
        <f>'05 Prom Defen Derechos POA 2020'!E14</f>
        <v xml:space="preserve">Numero de personas sensibilizadas en derechos y deberes. </v>
      </c>
      <c r="F26" s="337" t="s">
        <v>690</v>
      </c>
      <c r="G26" s="333" t="s">
        <v>704</v>
      </c>
      <c r="H26" s="334">
        <v>95</v>
      </c>
      <c r="I26" s="288" t="str">
        <f t="shared" si="5"/>
        <v>Desde (&gt;=):</v>
      </c>
      <c r="J26" s="288">
        <f t="shared" si="6"/>
        <v>85</v>
      </c>
      <c r="K26" s="288" t="str">
        <f t="shared" si="7"/>
        <v>Hasta (&lt;=):</v>
      </c>
      <c r="L26" s="288">
        <f t="shared" si="8"/>
        <v>95</v>
      </c>
      <c r="M26" s="288" t="str">
        <f t="shared" si="9"/>
        <v>Menor A:</v>
      </c>
      <c r="N26" s="335">
        <v>85</v>
      </c>
    </row>
    <row r="27" spans="2:14" ht="25.5">
      <c r="B27" s="543">
        <f t="shared" si="4"/>
        <v>23</v>
      </c>
      <c r="C27" s="331" t="s">
        <v>590</v>
      </c>
      <c r="D27" s="339" t="s">
        <v>735</v>
      </c>
      <c r="E27" s="338" t="str">
        <f>'05 Prom Defen Derechos POA 2020'!E15</f>
        <v xml:space="preserve">Intervenciones adelantadas en el ejercicio del ministerio Público en defensa de los derechos </v>
      </c>
      <c r="F27" s="337" t="s">
        <v>690</v>
      </c>
      <c r="G27" s="333" t="s">
        <v>704</v>
      </c>
      <c r="H27" s="334">
        <v>90</v>
      </c>
      <c r="I27" s="288" t="str">
        <f t="shared" si="5"/>
        <v>Desde (&gt;=):</v>
      </c>
      <c r="J27" s="288">
        <f t="shared" si="6"/>
        <v>80</v>
      </c>
      <c r="K27" s="288" t="str">
        <f t="shared" si="7"/>
        <v>Hasta (&lt;=):</v>
      </c>
      <c r="L27" s="288">
        <f t="shared" si="8"/>
        <v>90</v>
      </c>
      <c r="M27" s="288" t="str">
        <f t="shared" si="9"/>
        <v>Menor A:</v>
      </c>
      <c r="N27" s="335">
        <v>80</v>
      </c>
    </row>
    <row r="28" spans="2:14" ht="25.5">
      <c r="B28" s="544"/>
      <c r="C28" s="331" t="s">
        <v>590</v>
      </c>
      <c r="D28" s="339" t="s">
        <v>743</v>
      </c>
      <c r="E28" s="338" t="str">
        <f>'05 Prom Defen Derechos POA 2020'!E16</f>
        <v xml:space="preserve">Intervenciones adelantadas en el ejercicio del ministerio Público en defensa de los derechos </v>
      </c>
      <c r="F28" s="337" t="s">
        <v>690</v>
      </c>
      <c r="G28" s="333" t="s">
        <v>704</v>
      </c>
      <c r="H28" s="334">
        <v>90</v>
      </c>
      <c r="I28" s="288" t="str">
        <f t="shared" si="5"/>
        <v>Desde (&gt;=):</v>
      </c>
      <c r="J28" s="288">
        <f t="shared" si="6"/>
        <v>80</v>
      </c>
      <c r="K28" s="288" t="str">
        <f t="shared" si="7"/>
        <v>Hasta (&lt;=):</v>
      </c>
      <c r="L28" s="288">
        <f t="shared" si="8"/>
        <v>90</v>
      </c>
      <c r="M28" s="288" t="str">
        <f t="shared" si="9"/>
        <v>Menor A:</v>
      </c>
      <c r="N28" s="335">
        <v>80</v>
      </c>
    </row>
    <row r="29" spans="2:14" ht="25.5">
      <c r="B29" s="330">
        <v>24</v>
      </c>
      <c r="C29" s="331" t="s">
        <v>590</v>
      </c>
      <c r="D29" s="340" t="s">
        <v>726</v>
      </c>
      <c r="E29" s="338" t="str">
        <f>'05 Prom Defen Derechos POA 2020'!E17</f>
        <v>Acciones adelantadas en favor de las víctimas del conflicto armado.</v>
      </c>
      <c r="F29" s="337" t="s">
        <v>690</v>
      </c>
      <c r="G29" s="333" t="s">
        <v>704</v>
      </c>
      <c r="H29" s="334">
        <v>90</v>
      </c>
      <c r="I29" s="288" t="str">
        <f t="shared" si="5"/>
        <v>Desde (&gt;=):</v>
      </c>
      <c r="J29" s="288">
        <f t="shared" si="6"/>
        <v>80</v>
      </c>
      <c r="K29" s="288" t="str">
        <f t="shared" si="7"/>
        <v>Hasta (&lt;=):</v>
      </c>
      <c r="L29" s="288">
        <f t="shared" si="8"/>
        <v>90</v>
      </c>
      <c r="M29" s="288" t="str">
        <f t="shared" si="9"/>
        <v>Menor A:</v>
      </c>
      <c r="N29" s="335">
        <v>80</v>
      </c>
    </row>
    <row r="30" spans="2:14" ht="25.5">
      <c r="B30" s="543">
        <f t="shared" si="4"/>
        <v>25</v>
      </c>
      <c r="C30" s="331" t="s">
        <v>590</v>
      </c>
      <c r="D30" s="341" t="s">
        <v>733</v>
      </c>
      <c r="E30" s="338" t="str">
        <f>'05 Prom Defen Derechos POA 2020'!E18</f>
        <v>Requerimientos finalizados en defensa de los derechos.</v>
      </c>
      <c r="F30" s="337" t="s">
        <v>690</v>
      </c>
      <c r="G30" s="333" t="s">
        <v>704</v>
      </c>
      <c r="H30" s="334">
        <v>90</v>
      </c>
      <c r="I30" s="288" t="str">
        <f t="shared" si="5"/>
        <v>Desde (&gt;=):</v>
      </c>
      <c r="J30" s="288">
        <f t="shared" si="6"/>
        <v>80</v>
      </c>
      <c r="K30" s="288" t="str">
        <f t="shared" si="7"/>
        <v>Hasta (&lt;=):</v>
      </c>
      <c r="L30" s="288">
        <f t="shared" si="8"/>
        <v>90</v>
      </c>
      <c r="M30" s="288" t="str">
        <f t="shared" si="9"/>
        <v>Menor A:</v>
      </c>
      <c r="N30" s="335">
        <v>80</v>
      </c>
    </row>
    <row r="31" spans="2:14" ht="25.5">
      <c r="B31" s="545"/>
      <c r="C31" s="331" t="s">
        <v>590</v>
      </c>
      <c r="D31" s="341" t="s">
        <v>734</v>
      </c>
      <c r="E31" s="338" t="str">
        <f>'05 Prom Defen Derechos POA 2020'!E19</f>
        <v>Requerimientos finalizados en defensa de los derechos.</v>
      </c>
      <c r="F31" s="337" t="s">
        <v>690</v>
      </c>
      <c r="G31" s="333" t="s">
        <v>704</v>
      </c>
      <c r="H31" s="334">
        <v>90</v>
      </c>
      <c r="I31" s="288" t="str">
        <f t="shared" si="5"/>
        <v>Desde (&gt;=):</v>
      </c>
      <c r="J31" s="288">
        <f t="shared" si="6"/>
        <v>80</v>
      </c>
      <c r="K31" s="288" t="str">
        <f t="shared" si="7"/>
        <v>Hasta (&lt;=):</v>
      </c>
      <c r="L31" s="288">
        <f t="shared" si="8"/>
        <v>90</v>
      </c>
      <c r="M31" s="288" t="str">
        <f t="shared" si="9"/>
        <v>Menor A:</v>
      </c>
      <c r="N31" s="335">
        <v>80</v>
      </c>
    </row>
    <row r="32" spans="2:14" ht="25.5">
      <c r="B32" s="544"/>
      <c r="C32" s="331" t="s">
        <v>590</v>
      </c>
      <c r="D32" s="341" t="s">
        <v>744</v>
      </c>
      <c r="E32" s="338" t="str">
        <f>'05 Prom Defen Derechos POA 2020'!E20</f>
        <v>Requerimientos finalizados en defensa de los derechos.</v>
      </c>
      <c r="F32" s="337" t="s">
        <v>690</v>
      </c>
      <c r="G32" s="333" t="s">
        <v>704</v>
      </c>
      <c r="H32" s="334">
        <v>90</v>
      </c>
      <c r="I32" s="288" t="str">
        <f t="shared" si="5"/>
        <v>Desde (&gt;=):</v>
      </c>
      <c r="J32" s="288">
        <f t="shared" si="6"/>
        <v>80</v>
      </c>
      <c r="K32" s="288" t="str">
        <f t="shared" si="7"/>
        <v>Hasta (&lt;=):</v>
      </c>
      <c r="L32" s="288">
        <f t="shared" si="8"/>
        <v>90</v>
      </c>
      <c r="M32" s="288" t="str">
        <f t="shared" si="9"/>
        <v>Menor A:</v>
      </c>
      <c r="N32" s="335">
        <v>80</v>
      </c>
    </row>
    <row r="33" spans="2:14" ht="25.5">
      <c r="B33" s="330">
        <v>26</v>
      </c>
      <c r="C33" s="331" t="s">
        <v>590</v>
      </c>
      <c r="D33" s="340" t="s">
        <v>727</v>
      </c>
      <c r="E33" s="338" t="str">
        <f>'05 Prom Defen Derechos POA 2020'!E21</f>
        <v xml:space="preserve">% de Tutelas con fallos a favor. </v>
      </c>
      <c r="F33" s="337" t="s">
        <v>694</v>
      </c>
      <c r="G33" s="333" t="s">
        <v>704</v>
      </c>
      <c r="H33" s="334">
        <v>80</v>
      </c>
      <c r="I33" s="288" t="str">
        <f t="shared" si="5"/>
        <v>Desde (&gt;=):</v>
      </c>
      <c r="J33" s="288">
        <f t="shared" si="6"/>
        <v>70</v>
      </c>
      <c r="K33" s="288" t="str">
        <f t="shared" si="7"/>
        <v>Hasta (&lt;=):</v>
      </c>
      <c r="L33" s="288">
        <f t="shared" si="8"/>
        <v>80</v>
      </c>
      <c r="M33" s="288" t="str">
        <f t="shared" si="9"/>
        <v>Menor A:</v>
      </c>
      <c r="N33" s="335">
        <v>70</v>
      </c>
    </row>
    <row r="34" spans="2:14" ht="25.5">
      <c r="B34" s="330">
        <f>+B33+1</f>
        <v>27</v>
      </c>
      <c r="C34" s="331" t="s">
        <v>590</v>
      </c>
      <c r="D34" s="340" t="s">
        <v>728</v>
      </c>
      <c r="E34" s="338" t="str">
        <f>'05 Prom Defen Derechos POA 2020'!E22</f>
        <v>Solicitudes de conciliación atendidas.</v>
      </c>
      <c r="F34" s="337" t="s">
        <v>690</v>
      </c>
      <c r="G34" s="333" t="s">
        <v>704</v>
      </c>
      <c r="H34" s="334">
        <v>90</v>
      </c>
      <c r="I34" s="288" t="str">
        <f t="shared" si="5"/>
        <v>Desde (&gt;=):</v>
      </c>
      <c r="J34" s="288">
        <f t="shared" si="6"/>
        <v>80</v>
      </c>
      <c r="K34" s="288" t="str">
        <f t="shared" si="7"/>
        <v>Hasta (&lt;=):</v>
      </c>
      <c r="L34" s="288">
        <f t="shared" si="8"/>
        <v>90</v>
      </c>
      <c r="M34" s="288" t="str">
        <f t="shared" si="9"/>
        <v>Menor A:</v>
      </c>
      <c r="N34" s="335">
        <v>80</v>
      </c>
    </row>
    <row r="35" spans="2:14" ht="25.5">
      <c r="B35" s="330">
        <f t="shared" si="4"/>
        <v>28</v>
      </c>
      <c r="C35" s="331" t="s">
        <v>590</v>
      </c>
      <c r="D35" s="340" t="s">
        <v>729</v>
      </c>
      <c r="E35" s="338" t="str">
        <f>'05 Prom Defen Derechos POA 2020'!E23</f>
        <v>Informe de seguimiento a la política publica para victimas del conflicto armado.</v>
      </c>
      <c r="F35" s="337" t="s">
        <v>690</v>
      </c>
      <c r="G35" s="333" t="s">
        <v>713</v>
      </c>
      <c r="H35" s="334">
        <v>100</v>
      </c>
      <c r="I35" s="288" t="str">
        <f t="shared" si="5"/>
        <v>Desde (&gt;):</v>
      </c>
      <c r="J35" s="288">
        <f t="shared" si="6"/>
        <v>99</v>
      </c>
      <c r="K35" s="288" t="str">
        <f t="shared" si="7"/>
        <v>Hasta (&lt;):</v>
      </c>
      <c r="L35" s="288">
        <f t="shared" si="8"/>
        <v>100</v>
      </c>
      <c r="M35" s="288" t="str">
        <f t="shared" si="9"/>
        <v>Menor o Igual A:</v>
      </c>
      <c r="N35" s="335">
        <v>99</v>
      </c>
    </row>
    <row r="36" spans="2:14" ht="38.25">
      <c r="B36" s="330">
        <f t="shared" si="4"/>
        <v>29</v>
      </c>
      <c r="C36" s="331" t="s">
        <v>590</v>
      </c>
      <c r="D36" s="340" t="s">
        <v>730</v>
      </c>
      <c r="E36" s="338" t="str">
        <f>'05 Prom Defen Derechos POA 2020'!E24</f>
        <v>Informe de seguimiento sobre el cumplimiento la Política Pública de Mujeres y Equidad de Género en el Distrito Capital.</v>
      </c>
      <c r="F36" s="337" t="s">
        <v>690</v>
      </c>
      <c r="G36" s="333" t="s">
        <v>713</v>
      </c>
      <c r="H36" s="334">
        <v>100</v>
      </c>
      <c r="I36" s="288" t="str">
        <f t="shared" si="5"/>
        <v>Desde (&gt;):</v>
      </c>
      <c r="J36" s="288">
        <f t="shared" si="6"/>
        <v>99</v>
      </c>
      <c r="K36" s="288" t="str">
        <f t="shared" si="7"/>
        <v>Hasta (&lt;):</v>
      </c>
      <c r="L36" s="288">
        <f t="shared" si="8"/>
        <v>100</v>
      </c>
      <c r="M36" s="288" t="str">
        <f t="shared" si="9"/>
        <v>Menor o Igual A:</v>
      </c>
      <c r="N36" s="335">
        <v>99</v>
      </c>
    </row>
    <row r="37" spans="2:14" ht="25.5">
      <c r="B37" s="330">
        <f t="shared" si="4"/>
        <v>30</v>
      </c>
      <c r="C37" s="331" t="s">
        <v>590</v>
      </c>
      <c r="D37" s="340" t="s">
        <v>731</v>
      </c>
      <c r="E37" s="338" t="str">
        <f>'05 Prom Defen Derechos POA 2020'!E25</f>
        <v xml:space="preserve">Mecanismo de prevención de los peligros que enfrentan los jóvenes de Bogotá D.C. </v>
      </c>
      <c r="F37" s="337" t="s">
        <v>690</v>
      </c>
      <c r="G37" s="333" t="s">
        <v>704</v>
      </c>
      <c r="H37" s="334">
        <v>95</v>
      </c>
      <c r="I37" s="288" t="str">
        <f t="shared" si="5"/>
        <v>Desde (&gt;=):</v>
      </c>
      <c r="J37" s="288">
        <f t="shared" si="6"/>
        <v>85</v>
      </c>
      <c r="K37" s="288" t="str">
        <f t="shared" si="7"/>
        <v>Hasta (&lt;=):</v>
      </c>
      <c r="L37" s="288">
        <f t="shared" si="8"/>
        <v>95</v>
      </c>
      <c r="M37" s="288" t="str">
        <f t="shared" si="9"/>
        <v>Menor A:</v>
      </c>
      <c r="N37" s="335">
        <v>85</v>
      </c>
    </row>
    <row r="38" spans="2:14" ht="51">
      <c r="B38" s="330">
        <f t="shared" si="4"/>
        <v>31</v>
      </c>
      <c r="C38" s="331" t="s">
        <v>590</v>
      </c>
      <c r="D38" s="340" t="s">
        <v>732</v>
      </c>
      <c r="E38" s="338" t="str">
        <f>'05 Prom Defen Derechos POA 2020'!E26</f>
        <v xml:space="preserve">Espacios de transferencia y fortalecimiento de conocimientos realizados para la atención de personas que acuden a la Personería de Bogotá, D. C. </v>
      </c>
      <c r="F38" s="337" t="s">
        <v>690</v>
      </c>
      <c r="G38" s="333" t="s">
        <v>704</v>
      </c>
      <c r="H38" s="334">
        <v>95</v>
      </c>
      <c r="I38" s="288" t="str">
        <f t="shared" si="5"/>
        <v>Desde (&gt;=):</v>
      </c>
      <c r="J38" s="288">
        <f t="shared" si="6"/>
        <v>85</v>
      </c>
      <c r="K38" s="288" t="str">
        <f t="shared" si="7"/>
        <v>Hasta (&lt;=):</v>
      </c>
      <c r="L38" s="288">
        <f t="shared" si="8"/>
        <v>95</v>
      </c>
      <c r="M38" s="288" t="str">
        <f t="shared" si="9"/>
        <v>Menor A:</v>
      </c>
      <c r="N38" s="335">
        <v>85</v>
      </c>
    </row>
    <row r="39" spans="2:14" ht="25.5">
      <c r="B39" s="330">
        <f t="shared" si="4"/>
        <v>32</v>
      </c>
      <c r="C39" s="331" t="s">
        <v>590</v>
      </c>
      <c r="D39" s="340" t="s">
        <v>736</v>
      </c>
      <c r="E39" s="338" t="str">
        <f>'05 Prom Defen Derechos POA 2020'!E27</f>
        <v>Decisiones de fondo y de archivo verificadas</v>
      </c>
      <c r="F39" s="337" t="s">
        <v>694</v>
      </c>
      <c r="G39" s="333" t="s">
        <v>704</v>
      </c>
      <c r="H39" s="334">
        <v>90</v>
      </c>
      <c r="I39" s="288" t="str">
        <f t="shared" si="5"/>
        <v>Desde (&gt;=):</v>
      </c>
      <c r="J39" s="288">
        <f t="shared" si="6"/>
        <v>70</v>
      </c>
      <c r="K39" s="288" t="str">
        <f t="shared" si="7"/>
        <v>Hasta (&lt;=):</v>
      </c>
      <c r="L39" s="288">
        <f t="shared" si="8"/>
        <v>90</v>
      </c>
      <c r="M39" s="288" t="str">
        <f t="shared" si="9"/>
        <v>Menor A:</v>
      </c>
      <c r="N39" s="335">
        <v>70</v>
      </c>
    </row>
    <row r="40" spans="2:14" ht="25.5">
      <c r="B40" s="330">
        <f t="shared" si="4"/>
        <v>33</v>
      </c>
      <c r="C40" s="331" t="s">
        <v>590</v>
      </c>
      <c r="D40" s="330" t="s">
        <v>737</v>
      </c>
      <c r="E40" s="338" t="str">
        <f>'05 Prom Defen Derechos POA 2020'!E28</f>
        <v>Asistencia a Audiencias Públicas</v>
      </c>
      <c r="F40" s="337" t="s">
        <v>690</v>
      </c>
      <c r="G40" s="333" t="s">
        <v>704</v>
      </c>
      <c r="H40" s="334">
        <v>90</v>
      </c>
      <c r="I40" s="288" t="str">
        <f t="shared" si="5"/>
        <v>Desde (&gt;=):</v>
      </c>
      <c r="J40" s="288">
        <f t="shared" si="6"/>
        <v>70</v>
      </c>
      <c r="K40" s="288" t="str">
        <f t="shared" si="7"/>
        <v>Hasta (&lt;=):</v>
      </c>
      <c r="L40" s="288">
        <f t="shared" si="8"/>
        <v>90</v>
      </c>
      <c r="M40" s="288" t="str">
        <f t="shared" si="9"/>
        <v>Menor A:</v>
      </c>
      <c r="N40" s="335">
        <v>70</v>
      </c>
    </row>
    <row r="41" spans="2:14" ht="25.5">
      <c r="B41" s="330">
        <f t="shared" si="4"/>
        <v>34</v>
      </c>
      <c r="C41" s="331" t="s">
        <v>590</v>
      </c>
      <c r="D41" s="330" t="s">
        <v>738</v>
      </c>
      <c r="E41" s="342" t="str">
        <f>'05 Prom Defen Derechos POA 2020'!E29</f>
        <v>Sensibilizaciones realizadas en valores, derechos y  obligaciones</v>
      </c>
      <c r="F41" s="337" t="s">
        <v>690</v>
      </c>
      <c r="G41" s="333" t="s">
        <v>704</v>
      </c>
      <c r="H41" s="334">
        <v>90</v>
      </c>
      <c r="I41" s="288" t="str">
        <f t="shared" si="5"/>
        <v>Desde (&gt;=):</v>
      </c>
      <c r="J41" s="288">
        <f t="shared" si="6"/>
        <v>70</v>
      </c>
      <c r="K41" s="288" t="str">
        <f t="shared" si="7"/>
        <v>Hasta (&lt;=):</v>
      </c>
      <c r="L41" s="288">
        <f t="shared" si="8"/>
        <v>90</v>
      </c>
      <c r="M41" s="288" t="str">
        <f t="shared" si="9"/>
        <v>Menor A:</v>
      </c>
      <c r="N41" s="335">
        <v>70</v>
      </c>
    </row>
    <row r="42" spans="2:14" ht="25.5">
      <c r="B42" s="330">
        <f t="shared" si="4"/>
        <v>35</v>
      </c>
      <c r="C42" s="331" t="s">
        <v>590</v>
      </c>
      <c r="D42" s="330" t="s">
        <v>739</v>
      </c>
      <c r="E42" s="338" t="str">
        <f>'05 Prom Defen Derechos POA 2020'!E30</f>
        <v>Actividades realizadas para fortalecer y promover la participación ciudadana</v>
      </c>
      <c r="F42" s="337" t="s">
        <v>690</v>
      </c>
      <c r="G42" s="333" t="s">
        <v>704</v>
      </c>
      <c r="H42" s="334">
        <v>90</v>
      </c>
      <c r="I42" s="288" t="str">
        <f t="shared" si="5"/>
        <v>Desde (&gt;=):</v>
      </c>
      <c r="J42" s="288">
        <f t="shared" si="6"/>
        <v>70</v>
      </c>
      <c r="K42" s="288" t="str">
        <f t="shared" si="7"/>
        <v>Hasta (&lt;=):</v>
      </c>
      <c r="L42" s="288">
        <f t="shared" si="8"/>
        <v>90</v>
      </c>
      <c r="M42" s="288" t="str">
        <f t="shared" si="9"/>
        <v>Menor A:</v>
      </c>
      <c r="N42" s="335">
        <v>70</v>
      </c>
    </row>
    <row r="43" spans="2:14" ht="25.5">
      <c r="B43" s="330">
        <f t="shared" si="4"/>
        <v>36</v>
      </c>
      <c r="C43" s="331" t="s">
        <v>590</v>
      </c>
      <c r="D43" s="330" t="s">
        <v>740</v>
      </c>
      <c r="E43" s="338" t="str">
        <f>'05 Prom Defen Derechos POA 2020'!E31</f>
        <v>Sensibilización en medio ambiente</v>
      </c>
      <c r="F43" s="337" t="s">
        <v>690</v>
      </c>
      <c r="G43" s="333" t="s">
        <v>704</v>
      </c>
      <c r="H43" s="334">
        <v>90</v>
      </c>
      <c r="I43" s="288" t="str">
        <f t="shared" si="5"/>
        <v>Desde (&gt;=):</v>
      </c>
      <c r="J43" s="288">
        <f t="shared" si="6"/>
        <v>70</v>
      </c>
      <c r="K43" s="288" t="str">
        <f t="shared" si="7"/>
        <v>Hasta (&lt;=):</v>
      </c>
      <c r="L43" s="288">
        <f t="shared" si="8"/>
        <v>90</v>
      </c>
      <c r="M43" s="288" t="str">
        <f t="shared" si="9"/>
        <v>Menor A:</v>
      </c>
      <c r="N43" s="335">
        <v>70</v>
      </c>
    </row>
    <row r="44" spans="2:14" ht="25.5">
      <c r="B44" s="330">
        <f t="shared" si="4"/>
        <v>37</v>
      </c>
      <c r="C44" s="331" t="s">
        <v>590</v>
      </c>
      <c r="D44" s="330" t="s">
        <v>741</v>
      </c>
      <c r="E44" s="338" t="str">
        <f>'05 Prom Defen Derechos POA 2020'!E32</f>
        <v>Elaboración de tutelas</v>
      </c>
      <c r="F44" s="337" t="s">
        <v>690</v>
      </c>
      <c r="G44" s="333" t="s">
        <v>704</v>
      </c>
      <c r="H44" s="334">
        <v>90</v>
      </c>
      <c r="I44" s="288" t="str">
        <f t="shared" si="5"/>
        <v>Desde (&gt;=):</v>
      </c>
      <c r="J44" s="288">
        <f t="shared" si="6"/>
        <v>70</v>
      </c>
      <c r="K44" s="288" t="str">
        <f t="shared" si="7"/>
        <v>Hasta (&lt;=):</v>
      </c>
      <c r="L44" s="288">
        <f t="shared" si="8"/>
        <v>90</v>
      </c>
      <c r="M44" s="288" t="str">
        <f t="shared" si="9"/>
        <v>Menor A:</v>
      </c>
      <c r="N44" s="335">
        <v>70</v>
      </c>
    </row>
    <row r="45" spans="2:14" ht="25.5">
      <c r="B45" s="330">
        <f t="shared" si="4"/>
        <v>38</v>
      </c>
      <c r="C45" s="331" t="s">
        <v>590</v>
      </c>
      <c r="D45" s="330" t="s">
        <v>742</v>
      </c>
      <c r="E45" s="338" t="str">
        <f>'05 Prom Defen Derechos POA 2020'!E33</f>
        <v>Intervenciones realizadas (impulsos realizados)</v>
      </c>
      <c r="F45" s="337" t="s">
        <v>690</v>
      </c>
      <c r="G45" s="333" t="s">
        <v>704</v>
      </c>
      <c r="H45" s="334">
        <v>90</v>
      </c>
      <c r="I45" s="288" t="str">
        <f t="shared" si="5"/>
        <v>Desde (&gt;=):</v>
      </c>
      <c r="J45" s="288">
        <f t="shared" si="6"/>
        <v>70</v>
      </c>
      <c r="K45" s="288" t="str">
        <f t="shared" si="7"/>
        <v>Hasta (&lt;=):</v>
      </c>
      <c r="L45" s="288">
        <f t="shared" si="8"/>
        <v>90</v>
      </c>
      <c r="M45" s="288" t="str">
        <f t="shared" si="9"/>
        <v>Menor A:</v>
      </c>
      <c r="N45" s="335">
        <v>70</v>
      </c>
    </row>
    <row r="46" spans="2:14" ht="25.5">
      <c r="B46" s="330">
        <f t="shared" si="4"/>
        <v>39</v>
      </c>
      <c r="C46" s="343" t="s">
        <v>705</v>
      </c>
      <c r="D46" s="330" t="s">
        <v>745</v>
      </c>
      <c r="E46" s="338" t="str">
        <f>'06 Prev Ctrl Func Públ POA 2020'!E13</f>
        <v xml:space="preserve">Audiencias  y mesas de trabajo realizadas 
</v>
      </c>
      <c r="F46" s="337" t="s">
        <v>690</v>
      </c>
      <c r="G46" s="333" t="s">
        <v>704</v>
      </c>
      <c r="H46" s="334">
        <v>90</v>
      </c>
      <c r="I46" s="288" t="str">
        <f t="shared" si="5"/>
        <v>Desde (&gt;=):</v>
      </c>
      <c r="J46" s="288">
        <f t="shared" si="6"/>
        <v>69</v>
      </c>
      <c r="K46" s="288" t="str">
        <f t="shared" si="7"/>
        <v>Hasta (&lt;=):</v>
      </c>
      <c r="L46" s="288">
        <f t="shared" si="8"/>
        <v>90</v>
      </c>
      <c r="M46" s="288" t="str">
        <f t="shared" si="9"/>
        <v>Menor A:</v>
      </c>
      <c r="N46" s="335">
        <v>69</v>
      </c>
    </row>
    <row r="47" spans="2:14" ht="25.5">
      <c r="B47" s="330">
        <f t="shared" si="4"/>
        <v>40</v>
      </c>
      <c r="C47" s="343" t="s">
        <v>705</v>
      </c>
      <c r="D47" s="330" t="s">
        <v>630</v>
      </c>
      <c r="E47" s="338" t="str">
        <f>'06 Prev Ctrl Func Públ POA 2020'!E14</f>
        <v>Acciones de prevención y control a la función pública realizadas</v>
      </c>
      <c r="F47" s="337" t="s">
        <v>690</v>
      </c>
      <c r="G47" s="333" t="s">
        <v>704</v>
      </c>
      <c r="H47" s="334">
        <v>90</v>
      </c>
      <c r="I47" s="288" t="str">
        <f t="shared" si="5"/>
        <v>Desde (&gt;=):</v>
      </c>
      <c r="J47" s="288">
        <f t="shared" si="6"/>
        <v>69</v>
      </c>
      <c r="K47" s="288" t="str">
        <f t="shared" si="7"/>
        <v>Hasta (&lt;=):</v>
      </c>
      <c r="L47" s="288">
        <f t="shared" si="8"/>
        <v>90</v>
      </c>
      <c r="M47" s="288" t="str">
        <f t="shared" si="9"/>
        <v>Menor A:</v>
      </c>
      <c r="N47" s="335">
        <v>69</v>
      </c>
    </row>
    <row r="48" spans="2:14" ht="25.5">
      <c r="B48" s="330">
        <f t="shared" si="4"/>
        <v>41</v>
      </c>
      <c r="C48" s="343" t="s">
        <v>705</v>
      </c>
      <c r="D48" s="330" t="s">
        <v>631</v>
      </c>
      <c r="E48" s="338" t="str">
        <f>'06 Prev Ctrl Func Públ POA 2020'!E15</f>
        <v>Seguimientos realizados</v>
      </c>
      <c r="F48" s="337" t="s">
        <v>690</v>
      </c>
      <c r="G48" s="333" t="s">
        <v>704</v>
      </c>
      <c r="H48" s="334">
        <v>90</v>
      </c>
      <c r="I48" s="288" t="str">
        <f t="shared" si="5"/>
        <v>Desde (&gt;=):</v>
      </c>
      <c r="J48" s="288">
        <f t="shared" si="6"/>
        <v>69</v>
      </c>
      <c r="K48" s="288" t="str">
        <f t="shared" si="7"/>
        <v>Hasta (&lt;=):</v>
      </c>
      <c r="L48" s="288">
        <f t="shared" si="8"/>
        <v>90</v>
      </c>
      <c r="M48" s="288" t="str">
        <f t="shared" si="9"/>
        <v>Menor A:</v>
      </c>
      <c r="N48" s="335">
        <v>69</v>
      </c>
    </row>
    <row r="49" spans="2:14" ht="25.5">
      <c r="B49" s="330">
        <f t="shared" si="4"/>
        <v>42</v>
      </c>
      <c r="C49" s="343" t="s">
        <v>705</v>
      </c>
      <c r="D49" s="330" t="s">
        <v>633</v>
      </c>
      <c r="E49" s="338" t="str">
        <f>'06 Prev Ctrl Func Públ POA 2020'!E16</f>
        <v>Seguimiento presupuestal</v>
      </c>
      <c r="F49" s="337" t="s">
        <v>690</v>
      </c>
      <c r="G49" s="333" t="s">
        <v>704</v>
      </c>
      <c r="H49" s="334">
        <v>90</v>
      </c>
      <c r="I49" s="288" t="str">
        <f t="shared" si="5"/>
        <v>Desde (&gt;=):</v>
      </c>
      <c r="J49" s="288">
        <f t="shared" si="6"/>
        <v>70</v>
      </c>
      <c r="K49" s="288" t="str">
        <f t="shared" si="7"/>
        <v>Hasta (&lt;=):</v>
      </c>
      <c r="L49" s="288">
        <f t="shared" si="8"/>
        <v>90</v>
      </c>
      <c r="M49" s="288" t="str">
        <f t="shared" si="9"/>
        <v>Menor A:</v>
      </c>
      <c r="N49" s="335">
        <v>70</v>
      </c>
    </row>
    <row r="50" spans="2:14" ht="25.5">
      <c r="B50" s="330">
        <f t="shared" si="4"/>
        <v>43</v>
      </c>
      <c r="C50" s="343" t="s">
        <v>705</v>
      </c>
      <c r="D50" s="330" t="s">
        <v>634</v>
      </c>
      <c r="E50" s="338" t="str">
        <f>'06 Prev Ctrl Func Públ POA 2020'!E17</f>
        <v>Porcentaje de contratos revisados a petición de parte</v>
      </c>
      <c r="F50" s="337" t="s">
        <v>690</v>
      </c>
      <c r="G50" s="333" t="s">
        <v>704</v>
      </c>
      <c r="H50" s="334">
        <v>90</v>
      </c>
      <c r="I50" s="288" t="str">
        <f t="shared" si="5"/>
        <v>Desde (&gt;=):</v>
      </c>
      <c r="J50" s="288">
        <f t="shared" si="6"/>
        <v>70</v>
      </c>
      <c r="K50" s="288" t="str">
        <f t="shared" si="7"/>
        <v>Hasta (&lt;=):</v>
      </c>
      <c r="L50" s="288">
        <f t="shared" si="8"/>
        <v>90</v>
      </c>
      <c r="M50" s="288" t="str">
        <f t="shared" si="9"/>
        <v>Menor A:</v>
      </c>
      <c r="N50" s="335">
        <v>70</v>
      </c>
    </row>
    <row r="51" spans="2:14" ht="25.5">
      <c r="B51" s="330">
        <f t="shared" si="4"/>
        <v>44</v>
      </c>
      <c r="C51" s="343" t="s">
        <v>705</v>
      </c>
      <c r="D51" s="330" t="s">
        <v>632</v>
      </c>
      <c r="E51" s="338" t="str">
        <f>'06 Prev Ctrl Func Públ POA 2020'!E18</f>
        <v>Contratos revisados de oficio</v>
      </c>
      <c r="F51" s="337" t="s">
        <v>690</v>
      </c>
      <c r="G51" s="333" t="s">
        <v>704</v>
      </c>
      <c r="H51" s="334">
        <v>90</v>
      </c>
      <c r="I51" s="288" t="str">
        <f t="shared" si="5"/>
        <v>Desde (&gt;=):</v>
      </c>
      <c r="J51" s="288">
        <f t="shared" si="6"/>
        <v>70</v>
      </c>
      <c r="K51" s="288" t="str">
        <f t="shared" si="7"/>
        <v>Hasta (&lt;=):</v>
      </c>
      <c r="L51" s="288">
        <f t="shared" si="8"/>
        <v>90</v>
      </c>
      <c r="M51" s="288" t="str">
        <f t="shared" si="9"/>
        <v>Menor A:</v>
      </c>
      <c r="N51" s="335">
        <v>70</v>
      </c>
    </row>
    <row r="52" spans="2:14">
      <c r="B52" s="330">
        <f t="shared" si="4"/>
        <v>45</v>
      </c>
      <c r="C52" s="344" t="s">
        <v>592</v>
      </c>
      <c r="D52" s="330" t="s">
        <v>636</v>
      </c>
      <c r="E52" s="338" t="str">
        <f>'07 Potestad Discip POA 2020'!E13</f>
        <v>Citaciones a audiencia emitidas</v>
      </c>
      <c r="F52" s="337" t="s">
        <v>690</v>
      </c>
      <c r="G52" s="333" t="s">
        <v>713</v>
      </c>
      <c r="H52" s="334">
        <v>90</v>
      </c>
      <c r="I52" s="288" t="str">
        <f t="shared" si="5"/>
        <v>Desde (&gt;):</v>
      </c>
      <c r="J52" s="288">
        <f t="shared" si="6"/>
        <v>69</v>
      </c>
      <c r="K52" s="288" t="str">
        <f t="shared" si="7"/>
        <v>Hasta (&lt;):</v>
      </c>
      <c r="L52" s="288">
        <f t="shared" si="8"/>
        <v>90</v>
      </c>
      <c r="M52" s="288" t="str">
        <f t="shared" si="9"/>
        <v>Menor o Igual A:</v>
      </c>
      <c r="N52" s="335">
        <v>69</v>
      </c>
    </row>
    <row r="53" spans="2:14" ht="25.5">
      <c r="B53" s="330">
        <f t="shared" si="4"/>
        <v>46</v>
      </c>
      <c r="C53" s="344" t="s">
        <v>592</v>
      </c>
      <c r="D53" s="330" t="s">
        <v>637</v>
      </c>
      <c r="E53" s="338" t="str">
        <f>'07 Potestad Discip POA 2020'!E14</f>
        <v>Número de citaciones a audiencia emitidas que terminan con fallo</v>
      </c>
      <c r="F53" s="337" t="s">
        <v>690</v>
      </c>
      <c r="G53" s="333" t="s">
        <v>713</v>
      </c>
      <c r="H53" s="334">
        <v>90</v>
      </c>
      <c r="I53" s="288" t="str">
        <f t="shared" si="5"/>
        <v>Desde (&gt;):</v>
      </c>
      <c r="J53" s="288">
        <f t="shared" si="6"/>
        <v>69</v>
      </c>
      <c r="K53" s="288" t="str">
        <f t="shared" si="7"/>
        <v>Hasta (&lt;):</v>
      </c>
      <c r="L53" s="288">
        <f t="shared" si="8"/>
        <v>90</v>
      </c>
      <c r="M53" s="288" t="str">
        <f t="shared" si="9"/>
        <v>Menor o Igual A:</v>
      </c>
      <c r="N53" s="335">
        <v>69</v>
      </c>
    </row>
    <row r="54" spans="2:14">
      <c r="B54" s="330">
        <f t="shared" si="4"/>
        <v>47</v>
      </c>
      <c r="C54" s="344" t="s">
        <v>592</v>
      </c>
      <c r="D54" s="330" t="s">
        <v>638</v>
      </c>
      <c r="E54" s="338" t="str">
        <f>'07 Potestad Discip POA 2020'!E15</f>
        <v>Fallos proferidos</v>
      </c>
      <c r="F54" s="337" t="s">
        <v>690</v>
      </c>
      <c r="G54" s="333" t="s">
        <v>713</v>
      </c>
      <c r="H54" s="334">
        <v>90</v>
      </c>
      <c r="I54" s="288" t="str">
        <f t="shared" si="5"/>
        <v>Desde (&gt;):</v>
      </c>
      <c r="J54" s="288">
        <f t="shared" si="6"/>
        <v>69</v>
      </c>
      <c r="K54" s="288" t="str">
        <f t="shared" si="7"/>
        <v>Hasta (&lt;):</v>
      </c>
      <c r="L54" s="288">
        <f t="shared" si="8"/>
        <v>90</v>
      </c>
      <c r="M54" s="288" t="str">
        <f t="shared" si="9"/>
        <v>Menor o Igual A:</v>
      </c>
      <c r="N54" s="335">
        <v>69</v>
      </c>
    </row>
    <row r="55" spans="2:14">
      <c r="B55" s="330">
        <f t="shared" si="4"/>
        <v>48</v>
      </c>
      <c r="C55" s="344" t="s">
        <v>592</v>
      </c>
      <c r="D55" s="330" t="s">
        <v>639</v>
      </c>
      <c r="E55" s="338" t="str">
        <f>'07 Potestad Discip POA 2020'!E16</f>
        <v>Decisiones de fondo</v>
      </c>
      <c r="F55" s="337" t="s">
        <v>690</v>
      </c>
      <c r="G55" s="333" t="s">
        <v>713</v>
      </c>
      <c r="H55" s="334">
        <v>90</v>
      </c>
      <c r="I55" s="288" t="str">
        <f t="shared" si="5"/>
        <v>Desde (&gt;):</v>
      </c>
      <c r="J55" s="288">
        <f t="shared" si="6"/>
        <v>69</v>
      </c>
      <c r="K55" s="288" t="str">
        <f t="shared" si="7"/>
        <v>Hasta (&lt;):</v>
      </c>
      <c r="L55" s="288">
        <f t="shared" si="8"/>
        <v>90</v>
      </c>
      <c r="M55" s="288" t="str">
        <f t="shared" si="9"/>
        <v>Menor o Igual A:</v>
      </c>
      <c r="N55" s="335">
        <v>69</v>
      </c>
    </row>
    <row r="56" spans="2:14" ht="25.5">
      <c r="B56" s="330">
        <f t="shared" si="4"/>
        <v>49</v>
      </c>
      <c r="C56" s="345" t="s">
        <v>594</v>
      </c>
      <c r="D56" s="330" t="s">
        <v>746</v>
      </c>
      <c r="E56" s="338" t="str">
        <f>'08 Gestión Talento Hum POA 2020'!E13</f>
        <v>Porcentaje de novedades y situaciones administrativas gestionadas</v>
      </c>
      <c r="F56" s="337" t="s">
        <v>690</v>
      </c>
      <c r="G56" s="333" t="s">
        <v>713</v>
      </c>
      <c r="H56" s="334">
        <v>90</v>
      </c>
      <c r="I56" s="288" t="str">
        <f t="shared" si="5"/>
        <v>Desde (&gt;):</v>
      </c>
      <c r="J56" s="288">
        <f t="shared" si="6"/>
        <v>70</v>
      </c>
      <c r="K56" s="288" t="str">
        <f t="shared" si="7"/>
        <v>Hasta (&lt;):</v>
      </c>
      <c r="L56" s="288">
        <f t="shared" si="8"/>
        <v>90</v>
      </c>
      <c r="M56" s="288" t="str">
        <f t="shared" si="9"/>
        <v>Menor o Igual A:</v>
      </c>
      <c r="N56" s="335">
        <v>70</v>
      </c>
    </row>
    <row r="57" spans="2:14" ht="25.5">
      <c r="B57" s="330">
        <f t="shared" si="4"/>
        <v>50</v>
      </c>
      <c r="C57" s="345" t="s">
        <v>594</v>
      </c>
      <c r="D57" s="330" t="s">
        <v>641</v>
      </c>
      <c r="E57" s="338" t="str">
        <f>'08 Gestión Talento Hum POA 2020'!E14</f>
        <v xml:space="preserve">Porcentaje de incapacidades susceptibles de cobro gestionadas  </v>
      </c>
      <c r="F57" s="337" t="s">
        <v>690</v>
      </c>
      <c r="G57" s="333" t="s">
        <v>704</v>
      </c>
      <c r="H57" s="334">
        <v>90</v>
      </c>
      <c r="I57" s="288" t="str">
        <f t="shared" si="5"/>
        <v>Desde (&gt;=):</v>
      </c>
      <c r="J57" s="288">
        <f t="shared" si="6"/>
        <v>80</v>
      </c>
      <c r="K57" s="288" t="str">
        <f t="shared" si="7"/>
        <v>Hasta (&lt;=):</v>
      </c>
      <c r="L57" s="288">
        <f t="shared" si="8"/>
        <v>90</v>
      </c>
      <c r="M57" s="288" t="str">
        <f t="shared" si="9"/>
        <v>Menor A:</v>
      </c>
      <c r="N57" s="335">
        <v>80</v>
      </c>
    </row>
    <row r="58" spans="2:14" ht="38.25">
      <c r="B58" s="330">
        <f t="shared" si="4"/>
        <v>51</v>
      </c>
      <c r="C58" s="345" t="s">
        <v>594</v>
      </c>
      <c r="D58" s="330" t="s">
        <v>642</v>
      </c>
      <c r="E58" s="338" t="str">
        <f>'08 Gestión Talento Hum POA 2020'!E15</f>
        <v xml:space="preserve">Documentos de las historias laborales actualizados
</v>
      </c>
      <c r="F58" s="337" t="s">
        <v>690</v>
      </c>
      <c r="G58" s="333" t="s">
        <v>713</v>
      </c>
      <c r="H58" s="334">
        <v>90</v>
      </c>
      <c r="I58" s="288" t="str">
        <f t="shared" si="5"/>
        <v>Desde (&gt;):</v>
      </c>
      <c r="J58" s="288">
        <f t="shared" si="6"/>
        <v>80</v>
      </c>
      <c r="K58" s="288" t="str">
        <f t="shared" si="7"/>
        <v>Hasta (&lt;):</v>
      </c>
      <c r="L58" s="288">
        <f t="shared" si="8"/>
        <v>90</v>
      </c>
      <c r="M58" s="288" t="str">
        <f t="shared" si="9"/>
        <v>Menor o Igual A:</v>
      </c>
      <c r="N58" s="335">
        <v>80</v>
      </c>
    </row>
    <row r="59" spans="2:14" ht="25.5">
      <c r="B59" s="330">
        <f t="shared" si="4"/>
        <v>52</v>
      </c>
      <c r="C59" s="345" t="s">
        <v>594</v>
      </c>
      <c r="D59" s="330" t="s">
        <v>643</v>
      </c>
      <c r="E59" s="338" t="str">
        <f>'08 Gestión Talento Hum POA 2020'!E16</f>
        <v>Historias laborales en préstamo con documentos actualizados</v>
      </c>
      <c r="F59" s="337" t="s">
        <v>690</v>
      </c>
      <c r="G59" s="333" t="s">
        <v>713</v>
      </c>
      <c r="H59" s="334">
        <v>90</v>
      </c>
      <c r="I59" s="288" t="str">
        <f t="shared" si="5"/>
        <v>Desde (&gt;):</v>
      </c>
      <c r="J59" s="288">
        <f t="shared" si="6"/>
        <v>80</v>
      </c>
      <c r="K59" s="288" t="str">
        <f t="shared" si="7"/>
        <v>Hasta (&lt;):</v>
      </c>
      <c r="L59" s="288">
        <f t="shared" si="8"/>
        <v>90</v>
      </c>
      <c r="M59" s="288" t="str">
        <f t="shared" si="9"/>
        <v>Menor o Igual A:</v>
      </c>
      <c r="N59" s="335">
        <v>80</v>
      </c>
    </row>
    <row r="60" spans="2:14" ht="38.25">
      <c r="B60" s="330">
        <f t="shared" si="4"/>
        <v>53</v>
      </c>
      <c r="C60" s="345" t="s">
        <v>594</v>
      </c>
      <c r="D60" s="330" t="s">
        <v>644</v>
      </c>
      <c r="E60" s="338" t="str">
        <f>'08 Gestión Talento Hum POA 2020'!E17</f>
        <v xml:space="preserve">Solicitudes de certificaciones laborales y de bono pensional gestionadas
</v>
      </c>
      <c r="F60" s="337" t="s">
        <v>690</v>
      </c>
      <c r="G60" s="333" t="s">
        <v>713</v>
      </c>
      <c r="H60" s="334">
        <v>90</v>
      </c>
      <c r="I60" s="288" t="str">
        <f t="shared" si="5"/>
        <v>Desde (&gt;):</v>
      </c>
      <c r="J60" s="288">
        <f t="shared" si="6"/>
        <v>80</v>
      </c>
      <c r="K60" s="288" t="str">
        <f t="shared" si="7"/>
        <v>Hasta (&lt;):</v>
      </c>
      <c r="L60" s="288">
        <f t="shared" si="8"/>
        <v>90</v>
      </c>
      <c r="M60" s="288" t="str">
        <f t="shared" si="9"/>
        <v>Menor o Igual A:</v>
      </c>
      <c r="N60" s="335">
        <v>80</v>
      </c>
    </row>
    <row r="61" spans="2:14" ht="25.5">
      <c r="B61" s="330">
        <f t="shared" si="4"/>
        <v>54</v>
      </c>
      <c r="C61" s="345" t="s">
        <v>594</v>
      </c>
      <c r="D61" s="330" t="s">
        <v>645</v>
      </c>
      <c r="E61" s="338" t="str">
        <f>'08 Gestión Talento Hum POA 2020'!E18</f>
        <v xml:space="preserve">Oportunidad en trámite de certificaciones
</v>
      </c>
      <c r="F61" s="337" t="s">
        <v>690</v>
      </c>
      <c r="G61" s="333" t="s">
        <v>713</v>
      </c>
      <c r="H61" s="334">
        <v>100</v>
      </c>
      <c r="I61" s="288" t="str">
        <f t="shared" si="5"/>
        <v>Desde (&gt;):</v>
      </c>
      <c r="J61" s="288">
        <f t="shared" si="6"/>
        <v>97</v>
      </c>
      <c r="K61" s="288" t="str">
        <f t="shared" si="7"/>
        <v>Hasta (&lt;):</v>
      </c>
      <c r="L61" s="288">
        <f t="shared" si="8"/>
        <v>100</v>
      </c>
      <c r="M61" s="288" t="str">
        <f t="shared" si="9"/>
        <v>Menor o Igual A:</v>
      </c>
      <c r="N61" s="335">
        <v>97</v>
      </c>
    </row>
    <row r="62" spans="2:14" ht="25.5">
      <c r="B62" s="330">
        <f t="shared" si="4"/>
        <v>55</v>
      </c>
      <c r="C62" s="345" t="s">
        <v>594</v>
      </c>
      <c r="D62" s="330" t="s">
        <v>646</v>
      </c>
      <c r="E62" s="338" t="str">
        <f>'08 Gestión Talento Hum POA 2020'!E19</f>
        <v>Plan Institucional de Capacitación formulado y ejecutado</v>
      </c>
      <c r="F62" s="337" t="s">
        <v>690</v>
      </c>
      <c r="G62" s="333" t="s">
        <v>713</v>
      </c>
      <c r="H62" s="334">
        <v>90</v>
      </c>
      <c r="I62" s="288" t="str">
        <f t="shared" si="5"/>
        <v>Desde (&gt;):</v>
      </c>
      <c r="J62" s="288">
        <f t="shared" si="6"/>
        <v>69</v>
      </c>
      <c r="K62" s="288" t="str">
        <f t="shared" si="7"/>
        <v>Hasta (&lt;):</v>
      </c>
      <c r="L62" s="288">
        <f t="shared" si="8"/>
        <v>90</v>
      </c>
      <c r="M62" s="288" t="str">
        <f t="shared" si="9"/>
        <v>Menor o Igual A:</v>
      </c>
      <c r="N62" s="335">
        <v>69</v>
      </c>
    </row>
    <row r="63" spans="2:14" ht="25.5">
      <c r="B63" s="330">
        <f t="shared" si="4"/>
        <v>56</v>
      </c>
      <c r="C63" s="345" t="s">
        <v>594</v>
      </c>
      <c r="D63" s="330" t="s">
        <v>647</v>
      </c>
      <c r="E63" s="338" t="str">
        <f>'08 Gestión Talento Hum POA 2020'!E20</f>
        <v>Plan Institucional de Bienestar formulado y ejecutado</v>
      </c>
      <c r="F63" s="337" t="s">
        <v>690</v>
      </c>
      <c r="G63" s="333" t="s">
        <v>713</v>
      </c>
      <c r="H63" s="334">
        <v>90</v>
      </c>
      <c r="I63" s="288" t="str">
        <f t="shared" si="5"/>
        <v>Desde (&gt;):</v>
      </c>
      <c r="J63" s="288">
        <f t="shared" si="6"/>
        <v>69</v>
      </c>
      <c r="K63" s="288" t="str">
        <f t="shared" si="7"/>
        <v>Hasta (&lt;):</v>
      </c>
      <c r="L63" s="288">
        <f t="shared" si="8"/>
        <v>90</v>
      </c>
      <c r="M63" s="288" t="str">
        <f t="shared" si="9"/>
        <v>Menor o Igual A:</v>
      </c>
      <c r="N63" s="335">
        <v>69</v>
      </c>
    </row>
    <row r="64" spans="2:14" ht="25.5">
      <c r="B64" s="330">
        <f t="shared" si="4"/>
        <v>57</v>
      </c>
      <c r="C64" s="345" t="s">
        <v>594</v>
      </c>
      <c r="D64" s="330" t="s">
        <v>648</v>
      </c>
      <c r="E64" s="338" t="str">
        <f>'08 Gestión Talento Hum POA 2020'!E21</f>
        <v>Plan Institucional de Incentivos formulado y ejecutado</v>
      </c>
      <c r="F64" s="337" t="s">
        <v>690</v>
      </c>
      <c r="G64" s="333" t="s">
        <v>713</v>
      </c>
      <c r="H64" s="334">
        <v>90</v>
      </c>
      <c r="I64" s="288" t="str">
        <f t="shared" si="5"/>
        <v>Desde (&gt;):</v>
      </c>
      <c r="J64" s="288">
        <f t="shared" si="6"/>
        <v>69</v>
      </c>
      <c r="K64" s="288" t="str">
        <f t="shared" si="7"/>
        <v>Hasta (&lt;):</v>
      </c>
      <c r="L64" s="288">
        <f t="shared" si="8"/>
        <v>90</v>
      </c>
      <c r="M64" s="288" t="str">
        <f t="shared" si="9"/>
        <v>Menor o Igual A:</v>
      </c>
      <c r="N64" s="335">
        <v>69</v>
      </c>
    </row>
    <row r="65" spans="2:14" ht="38.25">
      <c r="B65" s="330">
        <f t="shared" si="4"/>
        <v>58</v>
      </c>
      <c r="C65" s="345" t="s">
        <v>594</v>
      </c>
      <c r="D65" s="330" t="s">
        <v>649</v>
      </c>
      <c r="E65" s="338" t="str">
        <f>'08 Gestión Talento Hum POA 2020'!E22</f>
        <v>Plan Anual de Trabajo del Sistema de Gestión de Seguridad y Salud en el Trabajo SG-SST formulado y ejecutado</v>
      </c>
      <c r="F65" s="337" t="s">
        <v>690</v>
      </c>
      <c r="G65" s="333" t="s">
        <v>713</v>
      </c>
      <c r="H65" s="334">
        <v>90</v>
      </c>
      <c r="I65" s="288" t="str">
        <f t="shared" si="5"/>
        <v>Desde (&gt;):</v>
      </c>
      <c r="J65" s="288">
        <f t="shared" si="6"/>
        <v>69</v>
      </c>
      <c r="K65" s="288" t="str">
        <f t="shared" si="7"/>
        <v>Hasta (&lt;):</v>
      </c>
      <c r="L65" s="288">
        <f t="shared" si="8"/>
        <v>90</v>
      </c>
      <c r="M65" s="288" t="str">
        <f t="shared" si="9"/>
        <v>Menor o Igual A:</v>
      </c>
      <c r="N65" s="335">
        <v>69</v>
      </c>
    </row>
    <row r="66" spans="2:14" ht="51">
      <c r="B66" s="330">
        <f t="shared" si="4"/>
        <v>59</v>
      </c>
      <c r="C66" s="345" t="s">
        <v>594</v>
      </c>
      <c r="D66" s="330" t="s">
        <v>747</v>
      </c>
      <c r="E66" s="338" t="str">
        <f>'08 Gestión Talento Hum POA 2020'!E23</f>
        <v xml:space="preserve">Dependencias con seguimiento y/o capacitación a los  sistemas de gestión y Evaluación del Desempeño Laboral de la Personería de Bogotá, D.C. </v>
      </c>
      <c r="F66" s="337" t="s">
        <v>690</v>
      </c>
      <c r="G66" s="333" t="s">
        <v>713</v>
      </c>
      <c r="H66" s="334">
        <v>90</v>
      </c>
      <c r="I66" s="288" t="str">
        <f t="shared" si="5"/>
        <v>Desde (&gt;):</v>
      </c>
      <c r="J66" s="288">
        <f t="shared" si="6"/>
        <v>70</v>
      </c>
      <c r="K66" s="288" t="str">
        <f t="shared" si="7"/>
        <v>Hasta (&lt;):</v>
      </c>
      <c r="L66" s="288">
        <f t="shared" si="8"/>
        <v>90</v>
      </c>
      <c r="M66" s="288" t="str">
        <f t="shared" si="9"/>
        <v>Menor o Igual A:</v>
      </c>
      <c r="N66" s="335">
        <v>70</v>
      </c>
    </row>
    <row r="67" spans="2:14" ht="25.5">
      <c r="B67" s="330">
        <f t="shared" si="4"/>
        <v>60</v>
      </c>
      <c r="C67" s="345" t="s">
        <v>594</v>
      </c>
      <c r="D67" s="330" t="s">
        <v>650</v>
      </c>
      <c r="E67" s="338" t="str">
        <f>'08 Gestión Talento Hum POA 2020'!E24</f>
        <v xml:space="preserve">Novedades incluidas en nómina liquidada y pagada oportunamente </v>
      </c>
      <c r="F67" s="337" t="s">
        <v>690</v>
      </c>
      <c r="G67" s="333" t="s">
        <v>713</v>
      </c>
      <c r="H67" s="334">
        <v>90</v>
      </c>
      <c r="I67" s="288" t="str">
        <f t="shared" si="5"/>
        <v>Desde (&gt;):</v>
      </c>
      <c r="J67" s="288">
        <f t="shared" si="6"/>
        <v>80</v>
      </c>
      <c r="K67" s="288" t="str">
        <f t="shared" si="7"/>
        <v>Hasta (&lt;):</v>
      </c>
      <c r="L67" s="288">
        <f t="shared" si="8"/>
        <v>90</v>
      </c>
      <c r="M67" s="288" t="str">
        <f t="shared" si="9"/>
        <v>Menor o Igual A:</v>
      </c>
      <c r="N67" s="335">
        <v>80</v>
      </c>
    </row>
    <row r="68" spans="2:14" ht="51">
      <c r="B68" s="330">
        <f t="shared" si="4"/>
        <v>61</v>
      </c>
      <c r="C68" s="345" t="s">
        <v>594</v>
      </c>
      <c r="D68" s="330" t="s">
        <v>748</v>
      </c>
      <c r="E68" s="338" t="str">
        <f>'08 Gestión Talento Hum POA 2020'!E25</f>
        <v>Porcentaje de incapacidades superiores a 360 días de radicadas, que no han sido pagadas por las EPS, radicadas y gestionadas ante la instancia correspondiente.</v>
      </c>
      <c r="F68" s="337" t="s">
        <v>690</v>
      </c>
      <c r="G68" s="333" t="s">
        <v>713</v>
      </c>
      <c r="H68" s="334">
        <v>90</v>
      </c>
      <c r="I68" s="288" t="str">
        <f t="shared" si="5"/>
        <v>Desde (&gt;):</v>
      </c>
      <c r="J68" s="288">
        <f t="shared" si="6"/>
        <v>80</v>
      </c>
      <c r="K68" s="288" t="str">
        <f t="shared" si="7"/>
        <v>Hasta (&lt;):</v>
      </c>
      <c r="L68" s="288">
        <f t="shared" si="8"/>
        <v>90</v>
      </c>
      <c r="M68" s="288" t="str">
        <f t="shared" si="9"/>
        <v>Menor o Igual A:</v>
      </c>
      <c r="N68" s="335">
        <v>80</v>
      </c>
    </row>
    <row r="69" spans="2:14" ht="25.5">
      <c r="B69" s="330">
        <f t="shared" ref="B69:B109" si="10">1+B68</f>
        <v>62</v>
      </c>
      <c r="C69" s="344" t="s">
        <v>595</v>
      </c>
      <c r="D69" s="330" t="s">
        <v>652</v>
      </c>
      <c r="E69" s="338" t="str">
        <f>'09 Gestión Admin POA 2020'!E13</f>
        <v>Servicios de mantenimiento de bienes e instalaciones atendidos satisfactoriamente</v>
      </c>
      <c r="F69" s="337" t="s">
        <v>690</v>
      </c>
      <c r="G69" s="333" t="s">
        <v>713</v>
      </c>
      <c r="H69" s="334">
        <v>90</v>
      </c>
      <c r="I69" s="288" t="str">
        <f t="shared" si="5"/>
        <v>Desde (&gt;):</v>
      </c>
      <c r="J69" s="288">
        <f t="shared" si="6"/>
        <v>70</v>
      </c>
      <c r="K69" s="288" t="str">
        <f t="shared" si="7"/>
        <v>Hasta (&lt;):</v>
      </c>
      <c r="L69" s="288">
        <f t="shared" si="8"/>
        <v>90</v>
      </c>
      <c r="M69" s="288" t="str">
        <f t="shared" si="9"/>
        <v>Menor o Igual A:</v>
      </c>
      <c r="N69" s="335">
        <v>70</v>
      </c>
    </row>
    <row r="70" spans="2:14" ht="25.5">
      <c r="B70" s="330">
        <f t="shared" si="10"/>
        <v>63</v>
      </c>
      <c r="C70" s="344" t="s">
        <v>595</v>
      </c>
      <c r="D70" s="330" t="s">
        <v>749</v>
      </c>
      <c r="E70" s="338" t="str">
        <f>'09 Gestión Admin POA 2020'!E14</f>
        <v>Pedidos de almacén atendidos satisfactoriamente</v>
      </c>
      <c r="F70" s="337" t="s">
        <v>690</v>
      </c>
      <c r="G70" s="333" t="s">
        <v>713</v>
      </c>
      <c r="H70" s="334">
        <v>90</v>
      </c>
      <c r="I70" s="288" t="str">
        <f t="shared" ref="I70:I109" si="11">IF(OR($G70="Mayor A:",$G70="Menor A:"),"Desde (&gt;=):",
IF(OR($G70="Mayor o Igual A:",$G70="Menor o Igual A:"),"Desde (&gt;):",
IF($G70="Igual A:","No Aplica",
IF($G70="",""))))</f>
        <v>Desde (&gt;):</v>
      </c>
      <c r="J70" s="288">
        <f t="shared" ref="J70:J99" si="12">IF(H70&gt;N70,N70,
IF(H70&lt;N70,H70,
IF(H70=N70,"No Aplica","")))</f>
        <v>70</v>
      </c>
      <c r="K70" s="288" t="str">
        <f t="shared" ref="K70:K109" si="13">IF(OR($G70="Mayor A:",$G70="Menor A:"),"Hasta (&lt;=):",
IF(OR($G70="Mayor o Igual A:",$G70="Menor o Igual A:"),"Hasta (&lt;):",
IF($G70="Igual A:","No Aplica",
IF($G70="",""))))</f>
        <v>Hasta (&lt;):</v>
      </c>
      <c r="L70" s="288">
        <f t="shared" ref="L70:L99" si="14">IF(H70&gt;N70,H70,
IF(H70&lt;N70,N70,
IF(H70=N70,"No Aplica","")))</f>
        <v>90</v>
      </c>
      <c r="M70" s="288" t="str">
        <f t="shared" ref="M70:M109" si="15">IF($G70="Mayor A:","Menor A:",
IF($G70="Menor A:","Mayor A:",
IF($G70="Mayor o Igual A:","Menor o Igual A:",
IF($G70="Menor o Igual A:","Mayor o Igual A:",
IF($G70="Igual A:","Igual A:",
IF($G70="",""))))))</f>
        <v>Menor o Igual A:</v>
      </c>
      <c r="N70" s="335">
        <v>70</v>
      </c>
    </row>
    <row r="71" spans="2:14" ht="25.5">
      <c r="B71" s="330">
        <f t="shared" si="10"/>
        <v>64</v>
      </c>
      <c r="C71" s="344" t="s">
        <v>595</v>
      </c>
      <c r="D71" s="330" t="s">
        <v>750</v>
      </c>
      <c r="E71" s="338" t="str">
        <f>'09 Gestión Admin POA 2020'!E15</f>
        <v>Servicios de transporte atendidos satisfactoriamente</v>
      </c>
      <c r="F71" s="337" t="s">
        <v>690</v>
      </c>
      <c r="G71" s="333" t="s">
        <v>713</v>
      </c>
      <c r="H71" s="334">
        <v>90</v>
      </c>
      <c r="I71" s="288" t="str">
        <f t="shared" si="11"/>
        <v>Desde (&gt;):</v>
      </c>
      <c r="J71" s="288">
        <f t="shared" si="12"/>
        <v>70</v>
      </c>
      <c r="K71" s="288" t="str">
        <f t="shared" si="13"/>
        <v>Hasta (&lt;):</v>
      </c>
      <c r="L71" s="288">
        <f t="shared" si="14"/>
        <v>90</v>
      </c>
      <c r="M71" s="288" t="str">
        <f t="shared" si="15"/>
        <v>Menor o Igual A:</v>
      </c>
      <c r="N71" s="335">
        <v>70</v>
      </c>
    </row>
    <row r="72" spans="2:14" ht="25.5">
      <c r="B72" s="330">
        <f t="shared" si="10"/>
        <v>65</v>
      </c>
      <c r="C72" s="344" t="s">
        <v>595</v>
      </c>
      <c r="D72" s="330" t="s">
        <v>751</v>
      </c>
      <c r="E72" s="338" t="str">
        <f>'09 Gestión Admin POA 2020'!E16</f>
        <v>Servicios de aseo y cafetería ejecutados satisfactoriamente</v>
      </c>
      <c r="F72" s="337" t="s">
        <v>690</v>
      </c>
      <c r="G72" s="333" t="s">
        <v>713</v>
      </c>
      <c r="H72" s="334">
        <v>90</v>
      </c>
      <c r="I72" s="288" t="str">
        <f t="shared" si="11"/>
        <v>Desde (&gt;):</v>
      </c>
      <c r="J72" s="288">
        <f t="shared" si="12"/>
        <v>70</v>
      </c>
      <c r="K72" s="288" t="str">
        <f t="shared" si="13"/>
        <v>Hasta (&lt;):</v>
      </c>
      <c r="L72" s="288">
        <f t="shared" si="14"/>
        <v>90</v>
      </c>
      <c r="M72" s="288" t="str">
        <f t="shared" si="15"/>
        <v>Menor o Igual A:</v>
      </c>
      <c r="N72" s="335">
        <v>70</v>
      </c>
    </row>
    <row r="73" spans="2:14">
      <c r="B73" s="330">
        <f t="shared" si="10"/>
        <v>66</v>
      </c>
      <c r="C73" s="344" t="s">
        <v>595</v>
      </c>
      <c r="D73" s="330" t="s">
        <v>752</v>
      </c>
      <c r="E73" s="338" t="str">
        <f>'09 Gestión Admin POA 2020'!E17</f>
        <v>Cumplimiento del plan de acción PESV</v>
      </c>
      <c r="F73" s="337" t="s">
        <v>690</v>
      </c>
      <c r="G73" s="333" t="s">
        <v>713</v>
      </c>
      <c r="H73" s="334">
        <v>90</v>
      </c>
      <c r="I73" s="288" t="str">
        <f t="shared" si="11"/>
        <v>Desde (&gt;):</v>
      </c>
      <c r="J73" s="288">
        <f t="shared" si="12"/>
        <v>70</v>
      </c>
      <c r="K73" s="288" t="str">
        <f t="shared" si="13"/>
        <v>Hasta (&lt;):</v>
      </c>
      <c r="L73" s="288">
        <f t="shared" si="14"/>
        <v>90</v>
      </c>
      <c r="M73" s="288" t="str">
        <f t="shared" si="15"/>
        <v>Menor o Igual A:</v>
      </c>
      <c r="N73" s="335">
        <v>70</v>
      </c>
    </row>
    <row r="74" spans="2:14" ht="38.25">
      <c r="B74" s="330">
        <f t="shared" si="10"/>
        <v>67</v>
      </c>
      <c r="C74" s="344" t="s">
        <v>595</v>
      </c>
      <c r="D74" s="330" t="s">
        <v>753</v>
      </c>
      <c r="E74" s="338" t="str">
        <f>'09 Gestión Admin POA 2020'!E18</f>
        <v xml:space="preserve">Cumplimiento de las actividades relacionadas con la ejecución de contratos de bienes y servicios </v>
      </c>
      <c r="F74" s="337" t="s">
        <v>690</v>
      </c>
      <c r="G74" s="333" t="s">
        <v>713</v>
      </c>
      <c r="H74" s="334">
        <v>100</v>
      </c>
      <c r="I74" s="288" t="str">
        <f t="shared" si="11"/>
        <v>Desde (&gt;):</v>
      </c>
      <c r="J74" s="288">
        <f t="shared" si="12"/>
        <v>70</v>
      </c>
      <c r="K74" s="288" t="str">
        <f t="shared" si="13"/>
        <v>Hasta (&lt;):</v>
      </c>
      <c r="L74" s="288">
        <f t="shared" si="14"/>
        <v>100</v>
      </c>
      <c r="M74" s="288" t="str">
        <f t="shared" si="15"/>
        <v>Menor o Igual A:</v>
      </c>
      <c r="N74" s="335">
        <v>70</v>
      </c>
    </row>
    <row r="75" spans="2:14">
      <c r="B75" s="330">
        <f t="shared" si="10"/>
        <v>68</v>
      </c>
      <c r="C75" s="345" t="s">
        <v>596</v>
      </c>
      <c r="D75" s="330" t="s">
        <v>654</v>
      </c>
      <c r="E75" s="338" t="str">
        <f>'10 Gestión Financiera POA 2020'!E13</f>
        <v>Porcentaje de pagos realizados en el mes</v>
      </c>
      <c r="F75" s="337" t="s">
        <v>690</v>
      </c>
      <c r="G75" s="333" t="s">
        <v>713</v>
      </c>
      <c r="H75" s="334">
        <v>99</v>
      </c>
      <c r="I75" s="288" t="str">
        <f t="shared" si="11"/>
        <v>Desde (&gt;):</v>
      </c>
      <c r="J75" s="288">
        <f t="shared" si="12"/>
        <v>95</v>
      </c>
      <c r="K75" s="288" t="str">
        <f t="shared" si="13"/>
        <v>Hasta (&lt;):</v>
      </c>
      <c r="L75" s="288">
        <f t="shared" si="14"/>
        <v>99</v>
      </c>
      <c r="M75" s="288" t="str">
        <f t="shared" si="15"/>
        <v>Menor o Igual A:</v>
      </c>
      <c r="N75" s="335">
        <v>95</v>
      </c>
    </row>
    <row r="76" spans="2:14" ht="33.75" customHeight="1">
      <c r="B76" s="330">
        <f t="shared" si="10"/>
        <v>69</v>
      </c>
      <c r="C76" s="344" t="s">
        <v>597</v>
      </c>
      <c r="D76" s="330" t="s">
        <v>754</v>
      </c>
      <c r="E76" s="346" t="str">
        <f>'11 Gestión Contractual POA 2020'!E13</f>
        <v>Porcentaje de ejecución del PAA correspondiente a gastos generales</v>
      </c>
      <c r="F76" s="337" t="s">
        <v>690</v>
      </c>
      <c r="G76" s="333" t="s">
        <v>713</v>
      </c>
      <c r="H76" s="334">
        <v>95</v>
      </c>
      <c r="I76" s="288" t="str">
        <f t="shared" si="11"/>
        <v>Desde (&gt;):</v>
      </c>
      <c r="J76" s="288">
        <f t="shared" si="12"/>
        <v>90</v>
      </c>
      <c r="K76" s="288" t="str">
        <f t="shared" si="13"/>
        <v>Hasta (&lt;):</v>
      </c>
      <c r="L76" s="288">
        <f t="shared" si="14"/>
        <v>95</v>
      </c>
      <c r="M76" s="288" t="str">
        <f t="shared" si="15"/>
        <v>Menor o Igual A:</v>
      </c>
      <c r="N76" s="335">
        <v>90</v>
      </c>
    </row>
    <row r="77" spans="2:14" ht="63.75">
      <c r="B77" s="330">
        <f t="shared" si="10"/>
        <v>70</v>
      </c>
      <c r="C77" s="345" t="s">
        <v>598</v>
      </c>
      <c r="D77" s="330" t="s">
        <v>657</v>
      </c>
      <c r="E77" s="332" t="str">
        <f>'12 Gestión Documental POA 2020'!E13</f>
        <v>Porcentaje de metros lineales de documentación recibida en el archivo central durante la vigencia, en atención al cronograma de transferencias y las solicitudes de las dependencia</v>
      </c>
      <c r="F77" s="337" t="s">
        <v>690</v>
      </c>
      <c r="G77" s="333" t="s">
        <v>713</v>
      </c>
      <c r="H77" s="334">
        <v>100</v>
      </c>
      <c r="I77" s="288" t="str">
        <f t="shared" si="11"/>
        <v>Desde (&gt;):</v>
      </c>
      <c r="J77" s="288">
        <f t="shared" si="12"/>
        <v>95</v>
      </c>
      <c r="K77" s="288" t="str">
        <f t="shared" si="13"/>
        <v>Hasta (&lt;):</v>
      </c>
      <c r="L77" s="288">
        <f t="shared" si="14"/>
        <v>100</v>
      </c>
      <c r="M77" s="288" t="str">
        <f t="shared" si="15"/>
        <v>Menor o Igual A:</v>
      </c>
      <c r="N77" s="335">
        <v>95</v>
      </c>
    </row>
    <row r="78" spans="2:14" ht="38.25">
      <c r="B78" s="330">
        <f t="shared" si="10"/>
        <v>71</v>
      </c>
      <c r="C78" s="345" t="s">
        <v>598</v>
      </c>
      <c r="D78" s="330" t="s">
        <v>755</v>
      </c>
      <c r="E78" s="332" t="str">
        <f>'12 Gestión Documental POA 2020'!E14</f>
        <v>Actividades de diseño o ajuste de instrumentos archivísticos establecidos por ley, desarrolladas en el periodo.</v>
      </c>
      <c r="F78" s="337" t="s">
        <v>690</v>
      </c>
      <c r="G78" s="333" t="s">
        <v>713</v>
      </c>
      <c r="H78" s="334">
        <v>90</v>
      </c>
      <c r="I78" s="288" t="str">
        <f t="shared" si="11"/>
        <v>Desde (&gt;):</v>
      </c>
      <c r="J78" s="288">
        <f t="shared" si="12"/>
        <v>79</v>
      </c>
      <c r="K78" s="288" t="str">
        <f t="shared" si="13"/>
        <v>Hasta (&lt;):</v>
      </c>
      <c r="L78" s="288">
        <f t="shared" si="14"/>
        <v>90</v>
      </c>
      <c r="M78" s="288" t="str">
        <f t="shared" si="15"/>
        <v>Menor o Igual A:</v>
      </c>
      <c r="N78" s="335">
        <v>79</v>
      </c>
    </row>
    <row r="79" spans="2:14" ht="38.25">
      <c r="B79" s="330">
        <f t="shared" si="10"/>
        <v>72</v>
      </c>
      <c r="C79" s="345" t="s">
        <v>598</v>
      </c>
      <c r="D79" s="330" t="s">
        <v>756</v>
      </c>
      <c r="E79" s="332" t="str">
        <f>'12 Gestión Documental POA 2020'!E15</f>
        <v>Actividades de implementación de instrumentos archivísticos establecidos por ley, desarrolladas en el periodo.</v>
      </c>
      <c r="F79" s="337" t="s">
        <v>690</v>
      </c>
      <c r="G79" s="333" t="s">
        <v>713</v>
      </c>
      <c r="H79" s="334">
        <v>90</v>
      </c>
      <c r="I79" s="288" t="str">
        <f t="shared" si="11"/>
        <v>Desde (&gt;):</v>
      </c>
      <c r="J79" s="288">
        <f t="shared" si="12"/>
        <v>79</v>
      </c>
      <c r="K79" s="288" t="str">
        <f t="shared" si="13"/>
        <v>Hasta (&lt;):</v>
      </c>
      <c r="L79" s="288">
        <f t="shared" si="14"/>
        <v>90</v>
      </c>
      <c r="M79" s="288" t="str">
        <f t="shared" si="15"/>
        <v>Menor o Igual A:</v>
      </c>
      <c r="N79" s="335">
        <v>79</v>
      </c>
    </row>
    <row r="80" spans="2:14" ht="25.5">
      <c r="B80" s="330">
        <f t="shared" si="10"/>
        <v>73</v>
      </c>
      <c r="C80" s="344" t="s">
        <v>599</v>
      </c>
      <c r="D80" s="330" t="s">
        <v>757</v>
      </c>
      <c r="E80" s="332" t="str">
        <f>'13 Gestión Jurídica POA 2020 '!E13</f>
        <v>Porcentaje de intervención oportuna en defensa judicial de la Entidad (Vinculada)</v>
      </c>
      <c r="F80" s="337" t="s">
        <v>690</v>
      </c>
      <c r="G80" s="333" t="s">
        <v>713</v>
      </c>
      <c r="H80" s="334">
        <v>100</v>
      </c>
      <c r="I80" s="288" t="str">
        <f t="shared" si="11"/>
        <v>Desde (&gt;):</v>
      </c>
      <c r="J80" s="288">
        <f t="shared" si="12"/>
        <v>90</v>
      </c>
      <c r="K80" s="288" t="str">
        <f t="shared" si="13"/>
        <v>Hasta (&lt;):</v>
      </c>
      <c r="L80" s="288">
        <f t="shared" si="14"/>
        <v>100</v>
      </c>
      <c r="M80" s="288" t="str">
        <f t="shared" si="15"/>
        <v>Menor o Igual A:</v>
      </c>
      <c r="N80" s="335">
        <v>90</v>
      </c>
    </row>
    <row r="81" spans="2:14" ht="25.5">
      <c r="B81" s="330">
        <f t="shared" si="10"/>
        <v>74</v>
      </c>
      <c r="C81" s="344" t="s">
        <v>599</v>
      </c>
      <c r="D81" s="330" t="s">
        <v>758</v>
      </c>
      <c r="E81" s="332" t="str">
        <f>'13 Gestión Jurídica POA 2020 '!E14</f>
        <v>Porcentaje de intervención oportuna en defensa judicial de la Entidad por acciones de tutela</v>
      </c>
      <c r="F81" s="337" t="s">
        <v>690</v>
      </c>
      <c r="G81" s="333" t="s">
        <v>713</v>
      </c>
      <c r="H81" s="334">
        <v>100</v>
      </c>
      <c r="I81" s="288" t="str">
        <f t="shared" si="11"/>
        <v>Desde (&gt;):</v>
      </c>
      <c r="J81" s="288">
        <f t="shared" si="12"/>
        <v>90</v>
      </c>
      <c r="K81" s="288" t="str">
        <f t="shared" si="13"/>
        <v>Hasta (&lt;):</v>
      </c>
      <c r="L81" s="288">
        <f t="shared" si="14"/>
        <v>100</v>
      </c>
      <c r="M81" s="288" t="str">
        <f t="shared" si="15"/>
        <v>Menor o Igual A:</v>
      </c>
      <c r="N81" s="335">
        <v>90</v>
      </c>
    </row>
    <row r="82" spans="2:14" ht="25.5">
      <c r="B82" s="330">
        <f t="shared" si="10"/>
        <v>75</v>
      </c>
      <c r="C82" s="344" t="s">
        <v>599</v>
      </c>
      <c r="D82" s="330" t="s">
        <v>759</v>
      </c>
      <c r="E82" s="332" t="str">
        <f>'13 Gestión Jurídica POA 2020 '!E15</f>
        <v>Porcentaje de actualización de la base de datos de acciones en las que se inician y/o intervine</v>
      </c>
      <c r="F82" s="337" t="s">
        <v>690</v>
      </c>
      <c r="G82" s="333" t="s">
        <v>713</v>
      </c>
      <c r="H82" s="334">
        <v>100</v>
      </c>
      <c r="I82" s="288" t="str">
        <f t="shared" si="11"/>
        <v>Desde (&gt;):</v>
      </c>
      <c r="J82" s="288">
        <f t="shared" si="12"/>
        <v>90</v>
      </c>
      <c r="K82" s="288" t="str">
        <f t="shared" si="13"/>
        <v>Hasta (&lt;):</v>
      </c>
      <c r="L82" s="288">
        <f t="shared" si="14"/>
        <v>100</v>
      </c>
      <c r="M82" s="288" t="str">
        <f t="shared" si="15"/>
        <v>Menor o Igual A:</v>
      </c>
      <c r="N82" s="335">
        <v>90</v>
      </c>
    </row>
    <row r="83" spans="2:14" ht="25.5">
      <c r="B83" s="330">
        <f t="shared" si="10"/>
        <v>76</v>
      </c>
      <c r="C83" s="344" t="s">
        <v>599</v>
      </c>
      <c r="D83" s="330" t="s">
        <v>760</v>
      </c>
      <c r="E83" s="332" t="str">
        <f>'13 Gestión Jurídica POA 2020 '!E16</f>
        <v>Porcentaje de actualización de base de datos de sanciones disciplinarias</v>
      </c>
      <c r="F83" s="337" t="s">
        <v>690</v>
      </c>
      <c r="G83" s="333" t="s">
        <v>713</v>
      </c>
      <c r="H83" s="334">
        <v>100</v>
      </c>
      <c r="I83" s="288" t="str">
        <f t="shared" si="11"/>
        <v>Desde (&gt;):</v>
      </c>
      <c r="J83" s="288">
        <f t="shared" si="12"/>
        <v>90</v>
      </c>
      <c r="K83" s="288" t="str">
        <f t="shared" si="13"/>
        <v>Hasta (&lt;):</v>
      </c>
      <c r="L83" s="288">
        <f t="shared" si="14"/>
        <v>100</v>
      </c>
      <c r="M83" s="288" t="str">
        <f t="shared" si="15"/>
        <v>Menor o Igual A:</v>
      </c>
      <c r="N83" s="335">
        <v>90</v>
      </c>
    </row>
    <row r="84" spans="2:14" ht="25.5">
      <c r="B84" s="330">
        <f t="shared" si="10"/>
        <v>77</v>
      </c>
      <c r="C84" s="344" t="s">
        <v>599</v>
      </c>
      <c r="D84" s="330" t="s">
        <v>761</v>
      </c>
      <c r="E84" s="332" t="str">
        <f>'13 Gestión Jurídica POA 2020 '!E17</f>
        <v xml:space="preserve">Porcentaje de emisión oportuna de conceptos jurídicos </v>
      </c>
      <c r="F84" s="337" t="s">
        <v>690</v>
      </c>
      <c r="G84" s="333" t="s">
        <v>713</v>
      </c>
      <c r="H84" s="334">
        <v>100</v>
      </c>
      <c r="I84" s="288" t="str">
        <f t="shared" si="11"/>
        <v>Desde (&gt;):</v>
      </c>
      <c r="J84" s="288">
        <f t="shared" si="12"/>
        <v>90</v>
      </c>
      <c r="K84" s="288" t="str">
        <f t="shared" si="13"/>
        <v>Hasta (&lt;):</v>
      </c>
      <c r="L84" s="288">
        <f t="shared" si="14"/>
        <v>100</v>
      </c>
      <c r="M84" s="288" t="str">
        <f t="shared" si="15"/>
        <v>Menor o Igual A:</v>
      </c>
      <c r="N84" s="335">
        <v>90</v>
      </c>
    </row>
    <row r="85" spans="2:14">
      <c r="B85" s="330">
        <f t="shared" si="10"/>
        <v>78</v>
      </c>
      <c r="C85" s="345" t="s">
        <v>587</v>
      </c>
      <c r="D85" s="330" t="s">
        <v>762</v>
      </c>
      <c r="E85" s="332" t="str">
        <f>'14 Servicio al Usuario POA 2020'!E13</f>
        <v>Lineamientos mínimos requeridos</v>
      </c>
      <c r="F85" s="337" t="s">
        <v>690</v>
      </c>
      <c r="G85" s="333" t="s">
        <v>713</v>
      </c>
      <c r="H85" s="334">
        <v>90</v>
      </c>
      <c r="I85" s="288" t="str">
        <f t="shared" si="11"/>
        <v>Desde (&gt;):</v>
      </c>
      <c r="J85" s="288">
        <f t="shared" si="12"/>
        <v>70</v>
      </c>
      <c r="K85" s="288" t="str">
        <f t="shared" si="13"/>
        <v>Hasta (&lt;):</v>
      </c>
      <c r="L85" s="288">
        <f t="shared" si="14"/>
        <v>90</v>
      </c>
      <c r="M85" s="288" t="str">
        <f t="shared" si="15"/>
        <v>Menor o Igual A:</v>
      </c>
      <c r="N85" s="335">
        <v>70</v>
      </c>
    </row>
    <row r="86" spans="2:14" ht="25.5">
      <c r="B86" s="330">
        <f t="shared" si="10"/>
        <v>79</v>
      </c>
      <c r="C86" s="345" t="s">
        <v>587</v>
      </c>
      <c r="D86" s="330" t="s">
        <v>763</v>
      </c>
      <c r="E86" s="332" t="str">
        <f>'14 Servicio al Usuario POA 2020'!E14</f>
        <v>Eficacia de la implementación de los lineamientos</v>
      </c>
      <c r="F86" s="337" t="s">
        <v>690</v>
      </c>
      <c r="G86" s="333" t="s">
        <v>713</v>
      </c>
      <c r="H86" s="334">
        <v>90</v>
      </c>
      <c r="I86" s="288" t="str">
        <f t="shared" si="11"/>
        <v>Desde (&gt;):</v>
      </c>
      <c r="J86" s="288">
        <f t="shared" si="12"/>
        <v>70</v>
      </c>
      <c r="K86" s="288" t="str">
        <f t="shared" si="13"/>
        <v>Hasta (&lt;):</v>
      </c>
      <c r="L86" s="288">
        <f t="shared" si="14"/>
        <v>90</v>
      </c>
      <c r="M86" s="288" t="str">
        <f t="shared" si="15"/>
        <v>Menor o Igual A:</v>
      </c>
      <c r="N86" s="335">
        <v>70</v>
      </c>
    </row>
    <row r="87" spans="2:14">
      <c r="B87" s="330">
        <f t="shared" si="10"/>
        <v>80</v>
      </c>
      <c r="C87" s="345" t="s">
        <v>587</v>
      </c>
      <c r="D87" s="330" t="s">
        <v>764</v>
      </c>
      <c r="E87" s="332" t="str">
        <f>'14 Servicio al Usuario POA 2020'!E15</f>
        <v>Medición de la satisfacción de los usuarios</v>
      </c>
      <c r="F87" s="337" t="s">
        <v>690</v>
      </c>
      <c r="G87" s="333" t="s">
        <v>713</v>
      </c>
      <c r="H87" s="334">
        <v>90</v>
      </c>
      <c r="I87" s="288" t="str">
        <f t="shared" si="11"/>
        <v>Desde (&gt;):</v>
      </c>
      <c r="J87" s="288">
        <f t="shared" si="12"/>
        <v>70</v>
      </c>
      <c r="K87" s="288" t="str">
        <f t="shared" si="13"/>
        <v>Hasta (&lt;):</v>
      </c>
      <c r="L87" s="288">
        <f t="shared" si="14"/>
        <v>90</v>
      </c>
      <c r="M87" s="288" t="str">
        <f t="shared" si="15"/>
        <v>Menor o Igual A:</v>
      </c>
      <c r="N87" s="335">
        <v>70</v>
      </c>
    </row>
    <row r="88" spans="2:14">
      <c r="B88" s="330">
        <f t="shared" si="10"/>
        <v>81</v>
      </c>
      <c r="C88" s="344" t="s">
        <v>601</v>
      </c>
      <c r="D88" s="330" t="s">
        <v>660</v>
      </c>
      <c r="E88" s="332" t="str">
        <f>'15 Ctr Disc Interno POA 2020'!E13</f>
        <v>Citaciones a audiencia emitidas</v>
      </c>
      <c r="F88" s="337" t="s">
        <v>690</v>
      </c>
      <c r="G88" s="333" t="s">
        <v>713</v>
      </c>
      <c r="H88" s="334">
        <v>90</v>
      </c>
      <c r="I88" s="288" t="str">
        <f t="shared" si="11"/>
        <v>Desde (&gt;):</v>
      </c>
      <c r="J88" s="288">
        <f t="shared" si="12"/>
        <v>69</v>
      </c>
      <c r="K88" s="288" t="str">
        <f t="shared" si="13"/>
        <v>Hasta (&lt;):</v>
      </c>
      <c r="L88" s="288">
        <f t="shared" si="14"/>
        <v>90</v>
      </c>
      <c r="M88" s="288" t="str">
        <f t="shared" si="15"/>
        <v>Menor o Igual A:</v>
      </c>
      <c r="N88" s="335">
        <v>69</v>
      </c>
    </row>
    <row r="89" spans="2:14" ht="25.5">
      <c r="B89" s="330">
        <f t="shared" si="10"/>
        <v>82</v>
      </c>
      <c r="C89" s="344" t="s">
        <v>601</v>
      </c>
      <c r="D89" s="330" t="s">
        <v>661</v>
      </c>
      <c r="E89" s="332" t="str">
        <f>'15 Ctr Disc Interno POA 2020'!E14</f>
        <v>Citaciones a audiencia emitidas que terminan con fallo</v>
      </c>
      <c r="F89" s="337" t="s">
        <v>690</v>
      </c>
      <c r="G89" s="333" t="s">
        <v>713</v>
      </c>
      <c r="H89" s="334">
        <v>90</v>
      </c>
      <c r="I89" s="288" t="str">
        <f t="shared" si="11"/>
        <v>Desde (&gt;):</v>
      </c>
      <c r="J89" s="288">
        <f t="shared" si="12"/>
        <v>69</v>
      </c>
      <c r="K89" s="288" t="str">
        <f t="shared" si="13"/>
        <v>Hasta (&lt;):</v>
      </c>
      <c r="L89" s="288">
        <f t="shared" si="14"/>
        <v>90</v>
      </c>
      <c r="M89" s="288" t="str">
        <f t="shared" si="15"/>
        <v>Menor o Igual A:</v>
      </c>
      <c r="N89" s="335">
        <v>69</v>
      </c>
    </row>
    <row r="90" spans="2:14">
      <c r="B90" s="330">
        <f t="shared" si="10"/>
        <v>83</v>
      </c>
      <c r="C90" s="344" t="s">
        <v>601</v>
      </c>
      <c r="D90" s="330" t="s">
        <v>662</v>
      </c>
      <c r="E90" s="332" t="str">
        <f>'15 Ctr Disc Interno POA 2020'!E15</f>
        <v>Fallos proferidos</v>
      </c>
      <c r="F90" s="337" t="s">
        <v>690</v>
      </c>
      <c r="G90" s="333" t="s">
        <v>713</v>
      </c>
      <c r="H90" s="334">
        <v>90</v>
      </c>
      <c r="I90" s="288" t="str">
        <f t="shared" si="11"/>
        <v>Desde (&gt;):</v>
      </c>
      <c r="J90" s="288">
        <f t="shared" si="12"/>
        <v>69</v>
      </c>
      <c r="K90" s="288" t="str">
        <f t="shared" si="13"/>
        <v>Hasta (&lt;):</v>
      </c>
      <c r="L90" s="288">
        <f t="shared" si="14"/>
        <v>90</v>
      </c>
      <c r="M90" s="288" t="str">
        <f t="shared" si="15"/>
        <v>Menor o Igual A:</v>
      </c>
      <c r="N90" s="335">
        <v>69</v>
      </c>
    </row>
    <row r="91" spans="2:14">
      <c r="B91" s="330">
        <f t="shared" si="10"/>
        <v>84</v>
      </c>
      <c r="C91" s="344" t="s">
        <v>601</v>
      </c>
      <c r="D91" s="330" t="s">
        <v>663</v>
      </c>
      <c r="E91" s="332" t="str">
        <f>'15 Ctr Disc Interno POA 2020'!E16</f>
        <v>Decisiones de fondo</v>
      </c>
      <c r="F91" s="337" t="s">
        <v>690</v>
      </c>
      <c r="G91" s="333" t="s">
        <v>713</v>
      </c>
      <c r="H91" s="334">
        <v>90</v>
      </c>
      <c r="I91" s="288" t="str">
        <f t="shared" si="11"/>
        <v>Desde (&gt;):</v>
      </c>
      <c r="J91" s="288">
        <f t="shared" si="12"/>
        <v>69</v>
      </c>
      <c r="K91" s="288" t="str">
        <f t="shared" si="13"/>
        <v>Hasta (&lt;):</v>
      </c>
      <c r="L91" s="288">
        <f t="shared" si="14"/>
        <v>90</v>
      </c>
      <c r="M91" s="288" t="str">
        <f t="shared" si="15"/>
        <v>Menor o Igual A:</v>
      </c>
      <c r="N91" s="335">
        <v>69</v>
      </c>
    </row>
    <row r="92" spans="2:14" ht="36" customHeight="1">
      <c r="B92" s="330">
        <f t="shared" si="10"/>
        <v>85</v>
      </c>
      <c r="C92" s="345" t="s">
        <v>602</v>
      </c>
      <c r="D92" s="330" t="s">
        <v>665</v>
      </c>
      <c r="E92" s="332" t="str">
        <f>'16 Evaluacion y Segto POA 2020'!E13</f>
        <v xml:space="preserve">Auditorias realizadas a los procesos de la Entidad </v>
      </c>
      <c r="F92" s="337" t="s">
        <v>690</v>
      </c>
      <c r="G92" s="333" t="s">
        <v>713</v>
      </c>
      <c r="H92" s="334">
        <v>90</v>
      </c>
      <c r="I92" s="288" t="str">
        <f t="shared" si="11"/>
        <v>Desde (&gt;):</v>
      </c>
      <c r="J92" s="288">
        <f t="shared" si="12"/>
        <v>69</v>
      </c>
      <c r="K92" s="288" t="str">
        <f t="shared" si="13"/>
        <v>Hasta (&lt;):</v>
      </c>
      <c r="L92" s="288">
        <f t="shared" si="14"/>
        <v>90</v>
      </c>
      <c r="M92" s="288" t="str">
        <f t="shared" si="15"/>
        <v>Menor o Igual A:</v>
      </c>
      <c r="N92" s="335">
        <v>69</v>
      </c>
    </row>
    <row r="93" spans="2:14" ht="15" customHeight="1">
      <c r="B93" s="330">
        <f t="shared" si="10"/>
        <v>86</v>
      </c>
      <c r="C93" s="345" t="s">
        <v>602</v>
      </c>
      <c r="D93" s="330" t="s">
        <v>666</v>
      </c>
      <c r="E93" s="332" t="str">
        <f>'16 Evaluacion y Segto POA 2020'!E14</f>
        <v>Auditorias Especiales realizadas</v>
      </c>
      <c r="F93" s="337" t="s">
        <v>690</v>
      </c>
      <c r="G93" s="333" t="s">
        <v>713</v>
      </c>
      <c r="H93" s="334">
        <v>90</v>
      </c>
      <c r="I93" s="288" t="str">
        <f t="shared" si="11"/>
        <v>Desde (&gt;):</v>
      </c>
      <c r="J93" s="288">
        <f t="shared" si="12"/>
        <v>69</v>
      </c>
      <c r="K93" s="288" t="str">
        <f t="shared" si="13"/>
        <v>Hasta (&lt;):</v>
      </c>
      <c r="L93" s="288">
        <f t="shared" si="14"/>
        <v>90</v>
      </c>
      <c r="M93" s="288" t="str">
        <f t="shared" si="15"/>
        <v>Menor o Igual A:</v>
      </c>
      <c r="N93" s="335">
        <v>69</v>
      </c>
    </row>
    <row r="94" spans="2:14" ht="25.5">
      <c r="B94" s="330">
        <f t="shared" si="10"/>
        <v>87</v>
      </c>
      <c r="C94" s="345" t="s">
        <v>602</v>
      </c>
      <c r="D94" s="330" t="s">
        <v>765</v>
      </c>
      <c r="E94" s="332" t="str">
        <f>'16 Evaluacion y Segto POA 2020'!E15</f>
        <v>Dependencias de la Entidad evaluadas en su gestión</v>
      </c>
      <c r="F94" s="337" t="s">
        <v>690</v>
      </c>
      <c r="G94" s="333" t="s">
        <v>713</v>
      </c>
      <c r="H94" s="334">
        <v>90</v>
      </c>
      <c r="I94" s="288" t="str">
        <f t="shared" si="11"/>
        <v>Desde (&gt;):</v>
      </c>
      <c r="J94" s="288">
        <f t="shared" si="12"/>
        <v>69</v>
      </c>
      <c r="K94" s="288" t="str">
        <f t="shared" si="13"/>
        <v>Hasta (&lt;):</v>
      </c>
      <c r="L94" s="288">
        <f t="shared" si="14"/>
        <v>90</v>
      </c>
      <c r="M94" s="288" t="str">
        <f t="shared" si="15"/>
        <v>Menor o Igual A:</v>
      </c>
      <c r="N94" s="335">
        <v>69</v>
      </c>
    </row>
    <row r="95" spans="2:14" ht="25.5">
      <c r="B95" s="330">
        <f t="shared" si="10"/>
        <v>88</v>
      </c>
      <c r="C95" s="345" t="s">
        <v>602</v>
      </c>
      <c r="D95" s="330" t="s">
        <v>667</v>
      </c>
      <c r="E95" s="332" t="str">
        <f>'16 Evaluacion y Segto POA 2020'!E16</f>
        <v>Evaluaciones  realizadas sobre la efectividad del manejo de los Riesgos  Institucionales</v>
      </c>
      <c r="F95" s="337" t="s">
        <v>690</v>
      </c>
      <c r="G95" s="333" t="s">
        <v>713</v>
      </c>
      <c r="H95" s="334">
        <v>90</v>
      </c>
      <c r="I95" s="288" t="str">
        <f t="shared" si="11"/>
        <v>Desde (&gt;):</v>
      </c>
      <c r="J95" s="288">
        <f t="shared" si="12"/>
        <v>69</v>
      </c>
      <c r="K95" s="288" t="str">
        <f t="shared" si="13"/>
        <v>Hasta (&lt;):</v>
      </c>
      <c r="L95" s="288">
        <f t="shared" si="14"/>
        <v>90</v>
      </c>
      <c r="M95" s="288" t="str">
        <f t="shared" si="15"/>
        <v>Menor o Igual A:</v>
      </c>
      <c r="N95" s="335">
        <v>69</v>
      </c>
    </row>
    <row r="96" spans="2:14" ht="38.25">
      <c r="B96" s="330">
        <f t="shared" si="10"/>
        <v>89</v>
      </c>
      <c r="C96" s="345" t="s">
        <v>602</v>
      </c>
      <c r="D96" s="330" t="s">
        <v>668</v>
      </c>
      <c r="E96" s="332" t="str">
        <f>'16 Evaluacion y Segto POA 2020'!E17</f>
        <v>Seguimientos semestrales  realizados  al Plan de Mejoramiento suscrito con la Contraloría de Bogotá D.C.</v>
      </c>
      <c r="F96" s="337" t="s">
        <v>690</v>
      </c>
      <c r="G96" s="333" t="s">
        <v>713</v>
      </c>
      <c r="H96" s="334">
        <v>90</v>
      </c>
      <c r="I96" s="288" t="str">
        <f t="shared" si="11"/>
        <v>Desde (&gt;):</v>
      </c>
      <c r="J96" s="288">
        <f t="shared" si="12"/>
        <v>69</v>
      </c>
      <c r="K96" s="288" t="str">
        <f t="shared" si="13"/>
        <v>Hasta (&lt;):</v>
      </c>
      <c r="L96" s="288">
        <f t="shared" si="14"/>
        <v>90</v>
      </c>
      <c r="M96" s="288" t="str">
        <f t="shared" si="15"/>
        <v>Menor o Igual A:</v>
      </c>
      <c r="N96" s="335">
        <v>69</v>
      </c>
    </row>
    <row r="97" spans="2:14" ht="25.5">
      <c r="B97" s="330">
        <f t="shared" si="10"/>
        <v>90</v>
      </c>
      <c r="C97" s="345" t="s">
        <v>602</v>
      </c>
      <c r="D97" s="330" t="s">
        <v>669</v>
      </c>
      <c r="E97" s="332" t="str">
        <f>'16 Evaluacion y Segto POA 2020'!E18</f>
        <v xml:space="preserve">Informes presentados a entes externos y los requeridos por Ley </v>
      </c>
      <c r="F97" s="337" t="s">
        <v>690</v>
      </c>
      <c r="G97" s="333" t="s">
        <v>713</v>
      </c>
      <c r="H97" s="334">
        <v>90</v>
      </c>
      <c r="I97" s="288" t="str">
        <f t="shared" si="11"/>
        <v>Desde (&gt;):</v>
      </c>
      <c r="J97" s="288">
        <f t="shared" si="12"/>
        <v>69</v>
      </c>
      <c r="K97" s="288" t="str">
        <f t="shared" si="13"/>
        <v>Hasta (&lt;):</v>
      </c>
      <c r="L97" s="288">
        <f t="shared" si="14"/>
        <v>90</v>
      </c>
      <c r="M97" s="288" t="str">
        <f t="shared" si="15"/>
        <v>Menor o Igual A:</v>
      </c>
      <c r="N97" s="335">
        <v>69</v>
      </c>
    </row>
    <row r="98" spans="2:14" ht="25.5">
      <c r="B98" s="330">
        <f t="shared" si="10"/>
        <v>91</v>
      </c>
      <c r="C98" s="345" t="s">
        <v>602</v>
      </c>
      <c r="D98" s="330" t="s">
        <v>670</v>
      </c>
      <c r="E98" s="332" t="str">
        <f>'16 Evaluacion y Segto POA 2020'!E19</f>
        <v>Sensibilización  a Directivos y referentes de proceso sobre la séptima dimensión del MIPG</v>
      </c>
      <c r="F98" s="337" t="s">
        <v>690</v>
      </c>
      <c r="G98" s="333" t="s">
        <v>713</v>
      </c>
      <c r="H98" s="334">
        <v>90</v>
      </c>
      <c r="I98" s="288" t="str">
        <f t="shared" si="11"/>
        <v>Desde (&gt;):</v>
      </c>
      <c r="J98" s="288">
        <f t="shared" si="12"/>
        <v>69</v>
      </c>
      <c r="K98" s="288" t="str">
        <f t="shared" si="13"/>
        <v>Hasta (&lt;):</v>
      </c>
      <c r="L98" s="288">
        <f t="shared" si="14"/>
        <v>90</v>
      </c>
      <c r="M98" s="288" t="str">
        <f t="shared" si="15"/>
        <v>Menor o Igual A:</v>
      </c>
      <c r="N98" s="335">
        <v>69</v>
      </c>
    </row>
    <row r="99" spans="2:14" ht="25.5">
      <c r="B99" s="330">
        <f t="shared" si="10"/>
        <v>92</v>
      </c>
      <c r="C99" s="345" t="s">
        <v>602</v>
      </c>
      <c r="D99" s="330" t="s">
        <v>671</v>
      </c>
      <c r="E99" s="332" t="str">
        <f>'16 Evaluacion y Segto POA 2020'!E20</f>
        <v>Estrategia de sensibilización  acerca de la cultura del control</v>
      </c>
      <c r="F99" s="337" t="s">
        <v>690</v>
      </c>
      <c r="G99" s="333" t="s">
        <v>713</v>
      </c>
      <c r="H99" s="334">
        <v>90</v>
      </c>
      <c r="I99" s="288" t="str">
        <f t="shared" si="11"/>
        <v>Desde (&gt;):</v>
      </c>
      <c r="J99" s="288">
        <f t="shared" si="12"/>
        <v>69</v>
      </c>
      <c r="K99" s="288" t="str">
        <f t="shared" si="13"/>
        <v>Hasta (&lt;):</v>
      </c>
      <c r="L99" s="288">
        <f t="shared" si="14"/>
        <v>90</v>
      </c>
      <c r="M99" s="288" t="str">
        <f t="shared" si="15"/>
        <v>Menor o Igual A:</v>
      </c>
      <c r="N99" s="335">
        <v>69</v>
      </c>
    </row>
    <row r="100" spans="2:14">
      <c r="B100" s="330">
        <f t="shared" si="10"/>
        <v>93</v>
      </c>
      <c r="C100" s="347"/>
      <c r="D100" s="330"/>
      <c r="E100" s="332"/>
      <c r="F100" s="330"/>
      <c r="G100" s="333" t="s">
        <v>675</v>
      </c>
      <c r="H100" s="334"/>
      <c r="I100" s="288" t="str">
        <f t="shared" si="11"/>
        <v>No Aplica</v>
      </c>
      <c r="J100" s="288" t="str">
        <f t="shared" ref="J100:J109" si="16">IF(H100&gt;N100,N100,
IF(H100&lt;N100,H100,
IF(H100=N100,"No Aplica","")))</f>
        <v>No Aplica</v>
      </c>
      <c r="K100" s="288" t="str">
        <f t="shared" si="13"/>
        <v>No Aplica</v>
      </c>
      <c r="L100" s="288" t="str">
        <f t="shared" ref="L100:L109" si="17">IF(H100&gt;N100,H100,
IF(H100&lt;N100,N100,
IF(H100=N100,"No Aplica","")))</f>
        <v>No Aplica</v>
      </c>
      <c r="M100" s="288" t="str">
        <f t="shared" si="15"/>
        <v>Igual A:</v>
      </c>
      <c r="N100" s="335"/>
    </row>
    <row r="101" spans="2:14">
      <c r="B101" s="330">
        <f t="shared" si="10"/>
        <v>94</v>
      </c>
      <c r="C101" s="347"/>
      <c r="D101" s="330"/>
      <c r="E101" s="332"/>
      <c r="F101" s="330"/>
      <c r="G101" s="333" t="s">
        <v>675</v>
      </c>
      <c r="H101" s="334"/>
      <c r="I101" s="288" t="str">
        <f t="shared" si="11"/>
        <v>No Aplica</v>
      </c>
      <c r="J101" s="288" t="str">
        <f t="shared" si="16"/>
        <v>No Aplica</v>
      </c>
      <c r="K101" s="288" t="str">
        <f t="shared" si="13"/>
        <v>No Aplica</v>
      </c>
      <c r="L101" s="288" t="str">
        <f t="shared" si="17"/>
        <v>No Aplica</v>
      </c>
      <c r="M101" s="288" t="str">
        <f t="shared" si="15"/>
        <v>Igual A:</v>
      </c>
      <c r="N101" s="335"/>
    </row>
    <row r="102" spans="2:14">
      <c r="B102" s="330">
        <f t="shared" si="10"/>
        <v>95</v>
      </c>
      <c r="C102" s="347"/>
      <c r="D102" s="330"/>
      <c r="E102" s="332"/>
      <c r="F102" s="330"/>
      <c r="G102" s="333" t="s">
        <v>675</v>
      </c>
      <c r="H102" s="334"/>
      <c r="I102" s="288" t="str">
        <f t="shared" si="11"/>
        <v>No Aplica</v>
      </c>
      <c r="J102" s="288" t="str">
        <f t="shared" si="16"/>
        <v>No Aplica</v>
      </c>
      <c r="K102" s="288" t="str">
        <f t="shared" si="13"/>
        <v>No Aplica</v>
      </c>
      <c r="L102" s="288" t="str">
        <f t="shared" si="17"/>
        <v>No Aplica</v>
      </c>
      <c r="M102" s="288" t="str">
        <f t="shared" si="15"/>
        <v>Igual A:</v>
      </c>
      <c r="N102" s="335"/>
    </row>
    <row r="103" spans="2:14">
      <c r="B103" s="330">
        <f t="shared" si="10"/>
        <v>96</v>
      </c>
      <c r="C103" s="347"/>
      <c r="D103" s="330"/>
      <c r="E103" s="332"/>
      <c r="F103" s="330"/>
      <c r="G103" s="333" t="s">
        <v>675</v>
      </c>
      <c r="H103" s="334"/>
      <c r="I103" s="288" t="str">
        <f t="shared" si="11"/>
        <v>No Aplica</v>
      </c>
      <c r="J103" s="288" t="str">
        <f t="shared" si="16"/>
        <v>No Aplica</v>
      </c>
      <c r="K103" s="288" t="str">
        <f t="shared" si="13"/>
        <v>No Aplica</v>
      </c>
      <c r="L103" s="288" t="str">
        <f t="shared" si="17"/>
        <v>No Aplica</v>
      </c>
      <c r="M103" s="288" t="str">
        <f t="shared" si="15"/>
        <v>Igual A:</v>
      </c>
      <c r="N103" s="335"/>
    </row>
    <row r="104" spans="2:14">
      <c r="B104" s="330">
        <f t="shared" si="10"/>
        <v>97</v>
      </c>
      <c r="C104" s="347"/>
      <c r="D104" s="330"/>
      <c r="E104" s="332"/>
      <c r="F104" s="330"/>
      <c r="G104" s="333" t="s">
        <v>675</v>
      </c>
      <c r="H104" s="334"/>
      <c r="I104" s="288" t="str">
        <f t="shared" si="11"/>
        <v>No Aplica</v>
      </c>
      <c r="J104" s="288" t="str">
        <f t="shared" si="16"/>
        <v>No Aplica</v>
      </c>
      <c r="K104" s="288" t="str">
        <f t="shared" si="13"/>
        <v>No Aplica</v>
      </c>
      <c r="L104" s="288" t="str">
        <f t="shared" si="17"/>
        <v>No Aplica</v>
      </c>
      <c r="M104" s="288" t="str">
        <f t="shared" si="15"/>
        <v>Igual A:</v>
      </c>
      <c r="N104" s="335"/>
    </row>
    <row r="105" spans="2:14">
      <c r="B105" s="330">
        <f t="shared" si="10"/>
        <v>98</v>
      </c>
      <c r="C105" s="347"/>
      <c r="D105" s="330"/>
      <c r="E105" s="332"/>
      <c r="F105" s="330"/>
      <c r="G105" s="333" t="s">
        <v>675</v>
      </c>
      <c r="H105" s="334"/>
      <c r="I105" s="288" t="str">
        <f t="shared" si="11"/>
        <v>No Aplica</v>
      </c>
      <c r="J105" s="288" t="str">
        <f t="shared" si="16"/>
        <v>No Aplica</v>
      </c>
      <c r="K105" s="288" t="str">
        <f t="shared" si="13"/>
        <v>No Aplica</v>
      </c>
      <c r="L105" s="288" t="str">
        <f t="shared" si="17"/>
        <v>No Aplica</v>
      </c>
      <c r="M105" s="288" t="str">
        <f t="shared" si="15"/>
        <v>Igual A:</v>
      </c>
      <c r="N105" s="335"/>
    </row>
    <row r="106" spans="2:14">
      <c r="B106" s="330">
        <f t="shared" si="10"/>
        <v>99</v>
      </c>
      <c r="C106" s="347"/>
      <c r="D106" s="330"/>
      <c r="E106" s="332"/>
      <c r="F106" s="330"/>
      <c r="G106" s="333" t="s">
        <v>675</v>
      </c>
      <c r="H106" s="334"/>
      <c r="I106" s="288" t="str">
        <f t="shared" si="11"/>
        <v>No Aplica</v>
      </c>
      <c r="J106" s="288" t="str">
        <f t="shared" si="16"/>
        <v>No Aplica</v>
      </c>
      <c r="K106" s="288" t="str">
        <f t="shared" si="13"/>
        <v>No Aplica</v>
      </c>
      <c r="L106" s="288" t="str">
        <f t="shared" si="17"/>
        <v>No Aplica</v>
      </c>
      <c r="M106" s="288" t="str">
        <f t="shared" si="15"/>
        <v>Igual A:</v>
      </c>
      <c r="N106" s="335"/>
    </row>
    <row r="107" spans="2:14">
      <c r="B107" s="330">
        <f t="shared" si="10"/>
        <v>100</v>
      </c>
      <c r="C107" s="347"/>
      <c r="D107" s="330"/>
      <c r="E107" s="332"/>
      <c r="F107" s="330"/>
      <c r="G107" s="333" t="s">
        <v>675</v>
      </c>
      <c r="H107" s="334"/>
      <c r="I107" s="288" t="str">
        <f t="shared" si="11"/>
        <v>No Aplica</v>
      </c>
      <c r="J107" s="288" t="str">
        <f t="shared" si="16"/>
        <v>No Aplica</v>
      </c>
      <c r="K107" s="288" t="str">
        <f t="shared" si="13"/>
        <v>No Aplica</v>
      </c>
      <c r="L107" s="288" t="str">
        <f t="shared" si="17"/>
        <v>No Aplica</v>
      </c>
      <c r="M107" s="288" t="str">
        <f t="shared" si="15"/>
        <v>Igual A:</v>
      </c>
      <c r="N107" s="335"/>
    </row>
    <row r="108" spans="2:14">
      <c r="B108" s="330">
        <f t="shared" si="10"/>
        <v>101</v>
      </c>
      <c r="C108" s="347"/>
      <c r="D108" s="330"/>
      <c r="E108" s="332"/>
      <c r="F108" s="330"/>
      <c r="G108" s="333" t="s">
        <v>675</v>
      </c>
      <c r="H108" s="334"/>
      <c r="I108" s="288" t="str">
        <f t="shared" si="11"/>
        <v>No Aplica</v>
      </c>
      <c r="J108" s="288" t="str">
        <f t="shared" si="16"/>
        <v>No Aplica</v>
      </c>
      <c r="K108" s="288" t="str">
        <f t="shared" si="13"/>
        <v>No Aplica</v>
      </c>
      <c r="L108" s="288" t="str">
        <f t="shared" si="17"/>
        <v>No Aplica</v>
      </c>
      <c r="M108" s="288" t="str">
        <f t="shared" si="15"/>
        <v>Igual A:</v>
      </c>
      <c r="N108" s="335"/>
    </row>
    <row r="109" spans="2:14">
      <c r="B109" s="330">
        <f t="shared" si="10"/>
        <v>102</v>
      </c>
      <c r="C109" s="347"/>
      <c r="D109" s="330"/>
      <c r="E109" s="332"/>
      <c r="F109" s="330"/>
      <c r="G109" s="333" t="s">
        <v>675</v>
      </c>
      <c r="H109" s="334"/>
      <c r="I109" s="288" t="str">
        <f t="shared" si="11"/>
        <v>No Aplica</v>
      </c>
      <c r="J109" s="288" t="str">
        <f t="shared" si="16"/>
        <v>No Aplica</v>
      </c>
      <c r="K109" s="288" t="str">
        <f t="shared" si="13"/>
        <v>No Aplica</v>
      </c>
      <c r="L109" s="288" t="str">
        <f t="shared" si="17"/>
        <v>No Aplica</v>
      </c>
      <c r="M109" s="288" t="str">
        <f t="shared" si="15"/>
        <v>Igual A:</v>
      </c>
      <c r="N109" s="335"/>
    </row>
  </sheetData>
  <sheetProtection algorithmName="SHA-512" hashValue="kVxyPSg3j20oxEQeK2CNz7IY/D7yWqhhLEmLk7LfKcUV7F50KaTsZ0GzrRDoE2V7F8CG1wT2faa5j8PXMPKkxg==" saltValue="r/XJ6rPFvphC3ukO4SdpeQ==" spinCount="100000" sheet="1" selectLockedCells="1"/>
  <autoFilter ref="B4:N109" xr:uid="{00000000-0009-0000-0000-000001000000}">
    <filterColumn colId="5" showButton="0"/>
    <filterColumn colId="7" showButton="0"/>
    <filterColumn colId="8" showButton="0"/>
    <filterColumn colId="9" showButton="0"/>
    <filterColumn colId="11" showButton="0"/>
  </autoFilter>
  <mergeCells count="7">
    <mergeCell ref="B27:B28"/>
    <mergeCell ref="B30:B32"/>
    <mergeCell ref="G3:N3"/>
    <mergeCell ref="B2:N2"/>
    <mergeCell ref="I4:L4"/>
    <mergeCell ref="G4:H4"/>
    <mergeCell ref="M4:N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Listas!$H$2:$H$6</xm:f>
          </x14:formula1>
          <xm:sqref>G5:G109</xm:sqref>
        </x14:dataValidation>
        <x14:dataValidation type="list" allowBlank="1" showInputMessage="1" showErrorMessage="1" xr:uid="{00000000-0002-0000-0100-000001000000}">
          <x14:formula1>
            <xm:f>Listas!$A$2:$A$17</xm:f>
          </x14:formula1>
          <xm:sqref>C5:C109</xm:sqref>
        </x14:dataValidation>
        <x14:dataValidation type="list" allowBlank="1" showInputMessage="1" showErrorMessage="1" xr:uid="{00000000-0002-0000-0100-000002000000}">
          <x14:formula1>
            <xm:f>Listas!$D$2:$D$4</xm:f>
          </x14:formula1>
          <xm:sqref>F5:F109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3164-F5C3-496D-BDE5-FF3037908585}">
  <sheetPr>
    <tabColor rgb="FF7030A0"/>
  </sheetPr>
  <dimension ref="B3:E18"/>
  <sheetViews>
    <sheetView showGridLines="0" workbookViewId="0">
      <selection activeCell="C9" sqref="C9"/>
    </sheetView>
  </sheetViews>
  <sheetFormatPr baseColWidth="10" defaultRowHeight="12.75"/>
  <cols>
    <col min="1" max="1" width="6" customWidth="1"/>
    <col min="2" max="2" width="41" customWidth="1"/>
    <col min="3" max="3" width="41.28515625" customWidth="1"/>
    <col min="4" max="4" width="47.7109375" bestFit="1" customWidth="1"/>
    <col min="5" max="5" width="43.28515625" customWidth="1"/>
  </cols>
  <sheetData>
    <row r="3" spans="2:5">
      <c r="B3" s="555" t="s">
        <v>897</v>
      </c>
      <c r="C3" s="555"/>
      <c r="D3" s="555"/>
      <c r="E3" s="555"/>
    </row>
    <row r="5" spans="2:5" ht="31.5">
      <c r="B5" s="275" t="s">
        <v>871</v>
      </c>
      <c r="C5" s="275" t="s">
        <v>872</v>
      </c>
      <c r="D5" s="506" t="s">
        <v>882</v>
      </c>
      <c r="E5" s="506" t="s">
        <v>885</v>
      </c>
    </row>
    <row r="6" spans="2:5" ht="51">
      <c r="B6" s="556" t="s">
        <v>873</v>
      </c>
      <c r="C6" s="513" t="s">
        <v>874</v>
      </c>
      <c r="D6" s="509" t="s">
        <v>590</v>
      </c>
      <c r="E6" s="559" t="s">
        <v>893</v>
      </c>
    </row>
    <row r="7" spans="2:5" ht="38.25">
      <c r="B7" s="557"/>
      <c r="C7" s="513" t="s">
        <v>875</v>
      </c>
      <c r="D7" s="509" t="s">
        <v>590</v>
      </c>
      <c r="E7" s="560"/>
    </row>
    <row r="8" spans="2:5" ht="60" customHeight="1">
      <c r="B8" s="557"/>
      <c r="C8" s="513" t="s">
        <v>876</v>
      </c>
      <c r="D8" s="509" t="s">
        <v>591</v>
      </c>
      <c r="E8" s="560"/>
    </row>
    <row r="9" spans="2:5" ht="99.75" customHeight="1">
      <c r="B9" s="558"/>
      <c r="C9" s="513" t="s">
        <v>877</v>
      </c>
      <c r="D9" s="509" t="s">
        <v>592</v>
      </c>
      <c r="E9" s="561"/>
    </row>
    <row r="10" spans="2:5" ht="31.5">
      <c r="B10" s="275" t="s">
        <v>871</v>
      </c>
      <c r="C10" s="275" t="s">
        <v>872</v>
      </c>
      <c r="D10" s="506" t="s">
        <v>882</v>
      </c>
      <c r="E10" s="506" t="s">
        <v>885</v>
      </c>
    </row>
    <row r="11" spans="2:5" ht="102" customHeight="1">
      <c r="B11" s="556" t="s">
        <v>878</v>
      </c>
      <c r="C11" s="511" t="s">
        <v>879</v>
      </c>
      <c r="D11" s="509" t="s">
        <v>585</v>
      </c>
      <c r="E11" s="559" t="s">
        <v>894</v>
      </c>
    </row>
    <row r="12" spans="2:5" ht="60">
      <c r="B12" s="557"/>
      <c r="C12" s="511" t="s">
        <v>880</v>
      </c>
      <c r="D12" s="512" t="s">
        <v>883</v>
      </c>
      <c r="E12" s="560"/>
    </row>
    <row r="13" spans="2:5" ht="69.75" customHeight="1">
      <c r="B13" s="557"/>
      <c r="C13" s="511" t="s">
        <v>881</v>
      </c>
      <c r="D13" s="509" t="s">
        <v>594</v>
      </c>
      <c r="E13" s="561"/>
    </row>
    <row r="14" spans="2:5" ht="31.5">
      <c r="B14" s="275" t="s">
        <v>871</v>
      </c>
      <c r="C14" s="275" t="s">
        <v>872</v>
      </c>
      <c r="D14" s="506" t="s">
        <v>882</v>
      </c>
      <c r="E14" s="506" t="s">
        <v>885</v>
      </c>
    </row>
    <row r="15" spans="2:5" ht="69" customHeight="1">
      <c r="B15" s="556" t="s">
        <v>884</v>
      </c>
      <c r="C15" s="511" t="s">
        <v>886</v>
      </c>
      <c r="D15" s="512" t="s">
        <v>888</v>
      </c>
      <c r="E15" s="559" t="s">
        <v>895</v>
      </c>
    </row>
    <row r="16" spans="2:5" ht="72" customHeight="1">
      <c r="B16" s="558"/>
      <c r="C16" s="511" t="s">
        <v>887</v>
      </c>
      <c r="D16" s="509" t="s">
        <v>889</v>
      </c>
      <c r="E16" s="561"/>
    </row>
    <row r="17" spans="2:5" ht="63.75">
      <c r="B17" s="556" t="s">
        <v>890</v>
      </c>
      <c r="C17" s="511" t="s">
        <v>891</v>
      </c>
      <c r="D17" s="509" t="s">
        <v>590</v>
      </c>
      <c r="E17" s="559" t="s">
        <v>896</v>
      </c>
    </row>
    <row r="18" spans="2:5" ht="51">
      <c r="B18" s="558"/>
      <c r="C18" s="510" t="s">
        <v>892</v>
      </c>
      <c r="D18" s="509" t="s">
        <v>889</v>
      </c>
      <c r="E18" s="561"/>
    </row>
  </sheetData>
  <mergeCells count="9">
    <mergeCell ref="B3:E3"/>
    <mergeCell ref="B6:B9"/>
    <mergeCell ref="B11:B13"/>
    <mergeCell ref="B15:B16"/>
    <mergeCell ref="B17:B18"/>
    <mergeCell ref="E6:E9"/>
    <mergeCell ref="E11:E13"/>
    <mergeCell ref="E15:E16"/>
    <mergeCell ref="E17:E18"/>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65"/>
  <sheetViews>
    <sheetView showGridLines="0" zoomScale="85" zoomScaleNormal="85" workbookViewId="0">
      <selection activeCell="B21" sqref="B21"/>
    </sheetView>
  </sheetViews>
  <sheetFormatPr baseColWidth="10" defaultColWidth="11.42578125" defaultRowHeight="15" customHeight="1" zeroHeight="1"/>
  <cols>
    <col min="1" max="1" width="3.7109375" style="269" customWidth="1"/>
    <col min="2" max="2" width="76.7109375" style="269" customWidth="1"/>
    <col min="3" max="3" width="30.5703125" style="273" customWidth="1"/>
    <col min="4" max="5" width="21.5703125" style="273" customWidth="1"/>
    <col min="6" max="6" width="19.42578125" style="269" customWidth="1"/>
    <col min="7" max="7" width="47" style="269" customWidth="1"/>
    <col min="8" max="15" width="11.42578125" style="269"/>
    <col min="16" max="16" width="62.42578125" style="269" bestFit="1" customWidth="1"/>
    <col min="17" max="17" width="40" style="269" customWidth="1"/>
    <col min="18" max="16355" width="11.42578125" style="269"/>
    <col min="16356" max="16356" width="1.42578125" style="269" customWidth="1"/>
    <col min="16357" max="16384" width="2.85546875" style="269" customWidth="1"/>
  </cols>
  <sheetData>
    <row r="1" spans="2:7">
      <c r="C1" s="270"/>
      <c r="D1" s="270"/>
      <c r="E1" s="270"/>
    </row>
    <row r="2" spans="2:7" ht="15.75">
      <c r="B2" s="564" t="s">
        <v>773</v>
      </c>
      <c r="C2" s="564"/>
      <c r="D2" s="564"/>
      <c r="E2" s="564"/>
      <c r="F2" s="564"/>
      <c r="G2" s="271"/>
    </row>
    <row r="3" spans="2:7" ht="18">
      <c r="B3" s="562" t="s">
        <v>672</v>
      </c>
      <c r="C3" s="562"/>
      <c r="D3" s="562"/>
      <c r="E3" s="562"/>
      <c r="F3" s="562"/>
      <c r="G3" s="271"/>
    </row>
    <row r="4" spans="2:7" ht="20.25">
      <c r="B4" s="563" t="s">
        <v>787</v>
      </c>
      <c r="C4" s="563"/>
      <c r="D4" s="563"/>
      <c r="E4" s="563"/>
      <c r="F4" s="563"/>
      <c r="G4" s="272"/>
    </row>
    <row r="5" spans="2:7" ht="19.5" customHeight="1">
      <c r="B5" s="269" t="str">
        <f>'Informe Cons. Desempeño - Sgto.'!C6</f>
        <v>Fecha de corte: 30 de septiembre de 2020</v>
      </c>
    </row>
    <row r="6" spans="2:7" ht="19.5" hidden="1" customHeight="1">
      <c r="B6" s="274"/>
    </row>
    <row r="7" spans="2:7" ht="19.5" hidden="1" customHeight="1">
      <c r="B7" s="274"/>
    </row>
    <row r="8" spans="2:7" ht="19.5" customHeight="1">
      <c r="B8" s="274"/>
    </row>
    <row r="9" spans="2:7" ht="54" customHeight="1">
      <c r="B9" s="275" t="s">
        <v>579</v>
      </c>
      <c r="C9" s="276" t="s">
        <v>870</v>
      </c>
      <c r="D9" s="277"/>
      <c r="E9" s="269"/>
    </row>
    <row r="10" spans="2:7">
      <c r="B10" s="278" t="s">
        <v>583</v>
      </c>
      <c r="C10" s="320">
        <f>'Informe Cons. Desempeño - Sgto.'!G9</f>
        <v>0.82189561403508771</v>
      </c>
      <c r="D10" s="279"/>
      <c r="E10" s="269"/>
    </row>
    <row r="11" spans="2:7">
      <c r="B11" s="278" t="s">
        <v>584</v>
      </c>
      <c r="C11" s="320">
        <f>'Informe Cons. Desempeño - Sgto.'!G10</f>
        <v>1.175</v>
      </c>
      <c r="D11" s="279"/>
      <c r="E11" s="269"/>
    </row>
    <row r="12" spans="2:7">
      <c r="B12" s="278" t="s">
        <v>585</v>
      </c>
      <c r="C12" s="320">
        <f>'Informe Cons. Desempeño - Sgto.'!G11</f>
        <v>0.9400152207001522</v>
      </c>
      <c r="D12" s="279"/>
      <c r="E12" s="269"/>
    </row>
    <row r="13" spans="2:7">
      <c r="B13" s="278" t="s">
        <v>586</v>
      </c>
      <c r="C13" s="320">
        <f>'Informe Cons. Desempeño - Sgto.'!G12</f>
        <v>1</v>
      </c>
      <c r="D13" s="279"/>
      <c r="E13" s="269"/>
    </row>
    <row r="14" spans="2:7">
      <c r="B14" s="278" t="s">
        <v>587</v>
      </c>
      <c r="C14" s="320">
        <f>'Informe Cons. Desempeño - Sgto.'!G13</f>
        <v>0.98333333333333339</v>
      </c>
      <c r="D14" s="280"/>
      <c r="E14" s="269"/>
    </row>
    <row r="15" spans="2:7">
      <c r="B15" s="278" t="s">
        <v>590</v>
      </c>
      <c r="C15" s="320">
        <f>'Informe Cons. Desempeño - Sgto.'!G15</f>
        <v>0.71887971784158422</v>
      </c>
      <c r="D15" s="279"/>
      <c r="E15" s="269"/>
    </row>
    <row r="16" spans="2:7">
      <c r="B16" s="278" t="s">
        <v>591</v>
      </c>
      <c r="C16" s="320">
        <f>'Informe Cons. Desempeño - Sgto.'!G16</f>
        <v>0.73097359464207301</v>
      </c>
      <c r="D16" s="279"/>
      <c r="E16" s="269"/>
    </row>
    <row r="17" spans="2:17">
      <c r="B17" s="278" t="s">
        <v>592</v>
      </c>
      <c r="C17" s="320">
        <f>'Informe Cons. Desempeño - Sgto.'!G17</f>
        <v>0.36499999999999999</v>
      </c>
      <c r="D17" s="279"/>
      <c r="E17" s="269"/>
    </row>
    <row r="18" spans="2:17">
      <c r="B18" s="278" t="s">
        <v>594</v>
      </c>
      <c r="C18" s="320">
        <f>'Informe Cons. Desempeño - Sgto.'!G19</f>
        <v>0.91379524635215581</v>
      </c>
      <c r="D18" s="279"/>
      <c r="E18" s="269"/>
    </row>
    <row r="19" spans="2:17">
      <c r="B19" s="278" t="s">
        <v>595</v>
      </c>
      <c r="C19" s="320">
        <f>'Informe Cons. Desempeño - Sgto.'!G20</f>
        <v>1.1002990381937752</v>
      </c>
      <c r="D19" s="279"/>
      <c r="E19" s="269"/>
    </row>
    <row r="20" spans="2:17">
      <c r="B20" s="278" t="s">
        <v>596</v>
      </c>
      <c r="C20" s="320">
        <f>'Informe Cons. Desempeño - Sgto.'!G21</f>
        <v>0.99</v>
      </c>
      <c r="D20" s="279"/>
      <c r="E20" s="269"/>
    </row>
    <row r="21" spans="2:17">
      <c r="B21" s="278" t="s">
        <v>597</v>
      </c>
      <c r="C21" s="320">
        <f>'Informe Cons. Desempeño - Sgto.'!G22</f>
        <v>0.89368421052631586</v>
      </c>
      <c r="D21" s="279"/>
      <c r="E21" s="269"/>
    </row>
    <row r="22" spans="2:17">
      <c r="B22" s="278" t="s">
        <v>598</v>
      </c>
      <c r="C22" s="320">
        <f>'Informe Cons. Desempeño - Sgto.'!G23</f>
        <v>0.86190476190476206</v>
      </c>
      <c r="D22" s="279"/>
      <c r="E22" s="269"/>
    </row>
    <row r="23" spans="2:17">
      <c r="B23" s="278" t="s">
        <v>599</v>
      </c>
      <c r="C23" s="320">
        <f>'Informe Cons. Desempeño - Sgto.'!G24</f>
        <v>1</v>
      </c>
      <c r="D23" s="279"/>
      <c r="E23" s="269"/>
    </row>
    <row r="24" spans="2:17">
      <c r="B24" s="278" t="s">
        <v>601</v>
      </c>
      <c r="C24" s="320">
        <f>'Informe Cons. Desempeño - Sgto.'!G26</f>
        <v>5.8695652173913045E-2</v>
      </c>
      <c r="D24" s="279"/>
      <c r="E24" s="269"/>
    </row>
    <row r="25" spans="2:17" ht="15.75" thickBot="1">
      <c r="B25" s="321" t="s">
        <v>602</v>
      </c>
      <c r="C25" s="322">
        <f>'Informe Cons. Desempeño - Sgto.'!G27</f>
        <v>0.75</v>
      </c>
      <c r="D25" s="279"/>
      <c r="E25" s="269"/>
    </row>
    <row r="26" spans="2:17" ht="16.5" thickBot="1">
      <c r="B26" s="323" t="s">
        <v>777</v>
      </c>
      <c r="C26" s="324">
        <f>AVERAGE(C10:C25)</f>
        <v>0.83146727435644718</v>
      </c>
      <c r="D26" s="281"/>
      <c r="E26" s="269"/>
    </row>
    <row r="27" spans="2:17" s="282" customFormat="1">
      <c r="C27" s="283"/>
      <c r="D27" s="283"/>
      <c r="E27" s="283"/>
      <c r="P27" s="269"/>
      <c r="Q27" s="269"/>
    </row>
    <row r="28" spans="2:17" s="282" customFormat="1" ht="56.25" customHeight="1" thickBot="1">
      <c r="C28" s="283"/>
      <c r="P28" s="269"/>
      <c r="Q28" s="269"/>
    </row>
    <row r="29" spans="2:17" s="282" customFormat="1" ht="15.75">
      <c r="B29" s="568" t="s">
        <v>579</v>
      </c>
      <c r="C29" s="565" t="s">
        <v>774</v>
      </c>
      <c r="D29" s="565" t="s">
        <v>776</v>
      </c>
      <c r="E29" s="565"/>
      <c r="F29" s="566"/>
      <c r="P29" s="269"/>
      <c r="Q29" s="269"/>
    </row>
    <row r="30" spans="2:17" ht="15.75">
      <c r="B30" s="569"/>
      <c r="C30" s="567"/>
      <c r="D30" s="276" t="s">
        <v>690</v>
      </c>
      <c r="E30" s="276" t="s">
        <v>694</v>
      </c>
      <c r="F30" s="310" t="s">
        <v>699</v>
      </c>
    </row>
    <row r="31" spans="2:17">
      <c r="B31" s="311" t="s">
        <v>583</v>
      </c>
      <c r="C31" s="309">
        <f>'Informe Cons. Desempeño - Sgto.'!D9</f>
        <v>6</v>
      </c>
      <c r="D31" s="309">
        <v>6</v>
      </c>
      <c r="E31" s="309">
        <v>0</v>
      </c>
      <c r="F31" s="312">
        <v>0</v>
      </c>
    </row>
    <row r="32" spans="2:17">
      <c r="B32" s="311" t="s">
        <v>584</v>
      </c>
      <c r="C32" s="309">
        <f>'Informe Cons. Desempeño - Sgto.'!D10</f>
        <v>3</v>
      </c>
      <c r="D32" s="309">
        <v>3</v>
      </c>
      <c r="E32" s="309">
        <v>0</v>
      </c>
      <c r="F32" s="312">
        <v>0</v>
      </c>
    </row>
    <row r="33" spans="2:6">
      <c r="B33" s="311" t="s">
        <v>585</v>
      </c>
      <c r="C33" s="309">
        <f>'Informe Cons. Desempeño - Sgto.'!D11</f>
        <v>6</v>
      </c>
      <c r="D33" s="309">
        <v>6</v>
      </c>
      <c r="E33" s="309">
        <v>0</v>
      </c>
      <c r="F33" s="312">
        <v>0</v>
      </c>
    </row>
    <row r="34" spans="2:6">
      <c r="B34" s="311" t="s">
        <v>586</v>
      </c>
      <c r="C34" s="309">
        <f>'Informe Cons. Desempeño - Sgto.'!D12</f>
        <v>5</v>
      </c>
      <c r="D34" s="309">
        <v>5</v>
      </c>
      <c r="E34" s="309">
        <v>0</v>
      </c>
      <c r="F34" s="312">
        <v>0</v>
      </c>
    </row>
    <row r="35" spans="2:6">
      <c r="B35" s="311" t="s">
        <v>587</v>
      </c>
      <c r="C35" s="309">
        <f>'Informe Cons. Desempeño - Sgto.'!D13</f>
        <v>3</v>
      </c>
      <c r="D35" s="309">
        <v>3</v>
      </c>
      <c r="E35" s="309">
        <v>0</v>
      </c>
      <c r="F35" s="312">
        <v>0</v>
      </c>
    </row>
    <row r="36" spans="2:6">
      <c r="B36" s="311" t="s">
        <v>590</v>
      </c>
      <c r="C36" s="309">
        <f>'Informe Cons. Desempeño - Sgto.'!D15</f>
        <v>18</v>
      </c>
      <c r="D36" s="309">
        <v>16</v>
      </c>
      <c r="E36" s="309">
        <v>2</v>
      </c>
      <c r="F36" s="312">
        <v>0</v>
      </c>
    </row>
    <row r="37" spans="2:6">
      <c r="B37" s="311" t="s">
        <v>591</v>
      </c>
      <c r="C37" s="309">
        <f>'Informe Cons. Desempeño - Sgto.'!D16</f>
        <v>6</v>
      </c>
      <c r="D37" s="309">
        <v>6</v>
      </c>
      <c r="E37" s="309">
        <v>0</v>
      </c>
      <c r="F37" s="312">
        <v>0</v>
      </c>
    </row>
    <row r="38" spans="2:6">
      <c r="B38" s="311" t="s">
        <v>592</v>
      </c>
      <c r="C38" s="309">
        <f>'Informe Cons. Desempeño - Sgto.'!D17</f>
        <v>4</v>
      </c>
      <c r="D38" s="309">
        <v>4</v>
      </c>
      <c r="E38" s="309">
        <v>0</v>
      </c>
      <c r="F38" s="312">
        <v>0</v>
      </c>
    </row>
    <row r="39" spans="2:6">
      <c r="B39" s="311" t="s">
        <v>594</v>
      </c>
      <c r="C39" s="309">
        <f>'Informe Cons. Desempeño - Sgto.'!D19</f>
        <v>13</v>
      </c>
      <c r="D39" s="309">
        <v>13</v>
      </c>
      <c r="E39" s="309">
        <v>0</v>
      </c>
      <c r="F39" s="312">
        <v>0</v>
      </c>
    </row>
    <row r="40" spans="2:6">
      <c r="B40" s="311" t="s">
        <v>595</v>
      </c>
      <c r="C40" s="309">
        <f>'Informe Cons. Desempeño - Sgto.'!D20</f>
        <v>6</v>
      </c>
      <c r="D40" s="309">
        <v>6</v>
      </c>
      <c r="E40" s="309">
        <v>0</v>
      </c>
      <c r="F40" s="312">
        <v>0</v>
      </c>
    </row>
    <row r="41" spans="2:6">
      <c r="B41" s="311" t="s">
        <v>596</v>
      </c>
      <c r="C41" s="309">
        <f>'Informe Cons. Desempeño - Sgto.'!D21</f>
        <v>1</v>
      </c>
      <c r="D41" s="309">
        <v>1</v>
      </c>
      <c r="E41" s="309">
        <v>0</v>
      </c>
      <c r="F41" s="312">
        <v>0</v>
      </c>
    </row>
    <row r="42" spans="2:6">
      <c r="B42" s="311" t="s">
        <v>597</v>
      </c>
      <c r="C42" s="309">
        <f>'Informe Cons. Desempeño - Sgto.'!D22</f>
        <v>1</v>
      </c>
      <c r="D42" s="309">
        <v>1</v>
      </c>
      <c r="E42" s="309">
        <v>0</v>
      </c>
      <c r="F42" s="312">
        <v>0</v>
      </c>
    </row>
    <row r="43" spans="2:6">
      <c r="B43" s="311" t="s">
        <v>598</v>
      </c>
      <c r="C43" s="309">
        <f>'Informe Cons. Desempeño - Sgto.'!D23</f>
        <v>3</v>
      </c>
      <c r="D43" s="309">
        <v>3</v>
      </c>
      <c r="E43" s="309">
        <v>0</v>
      </c>
      <c r="F43" s="312">
        <v>0</v>
      </c>
    </row>
    <row r="44" spans="2:6">
      <c r="B44" s="311" t="s">
        <v>599</v>
      </c>
      <c r="C44" s="309">
        <f>'Informe Cons. Desempeño - Sgto.'!D24</f>
        <v>5</v>
      </c>
      <c r="D44" s="309">
        <v>5</v>
      </c>
      <c r="E44" s="309">
        <v>0</v>
      </c>
      <c r="F44" s="312">
        <v>0</v>
      </c>
    </row>
    <row r="45" spans="2:6">
      <c r="B45" s="311" t="s">
        <v>601</v>
      </c>
      <c r="C45" s="309">
        <f>'Informe Cons. Desempeño - Sgto.'!D26</f>
        <v>4</v>
      </c>
      <c r="D45" s="309">
        <v>4</v>
      </c>
      <c r="E45" s="309">
        <v>0</v>
      </c>
      <c r="F45" s="312">
        <v>0</v>
      </c>
    </row>
    <row r="46" spans="2:6">
      <c r="B46" s="311" t="s">
        <v>602</v>
      </c>
      <c r="C46" s="309">
        <f>'Informe Cons. Desempeño - Sgto.'!D27</f>
        <v>8</v>
      </c>
      <c r="D46" s="309">
        <v>8</v>
      </c>
      <c r="E46" s="309">
        <v>0</v>
      </c>
      <c r="F46" s="312">
        <v>0</v>
      </c>
    </row>
    <row r="47" spans="2:6" ht="16.5" thickBot="1">
      <c r="B47" s="313" t="s">
        <v>775</v>
      </c>
      <c r="C47" s="314">
        <f>SUM(C31:C46)</f>
        <v>92</v>
      </c>
      <c r="D47" s="314">
        <f t="shared" ref="D47:E47" si="0">SUM(D31:D46)</f>
        <v>90</v>
      </c>
      <c r="E47" s="314">
        <f t="shared" si="0"/>
        <v>2</v>
      </c>
      <c r="F47" s="315">
        <f>SUM(F31:F46)</f>
        <v>0</v>
      </c>
    </row>
    <row r="48" spans="2:6"/>
    <row r="49"/>
    <row r="50"/>
    <row r="51"/>
    <row r="52"/>
    <row r="53"/>
    <row r="54"/>
    <row r="55"/>
    <row r="56"/>
    <row r="57"/>
    <row r="58"/>
    <row r="59"/>
    <row r="60" ht="15" customHeight="1"/>
    <row r="61" ht="15" customHeight="1"/>
    <row r="62" ht="15" customHeight="1"/>
    <row r="63" ht="15" customHeight="1"/>
    <row r="64" ht="15" customHeight="1"/>
    <row r="65" ht="15" customHeight="1"/>
  </sheetData>
  <sheetProtection algorithmName="SHA-512" hashValue="G/+BFlM6UeFYsQlR8Z1fWXD9yPHvG84NeKkv+4g9TNlZqxSEruOSEGDQkAod4X42S3N9KcCIbZTd95tqdjBq0Q==" saltValue="A5v5hoCUUSluNPXGNsWNxg==" spinCount="100000" sheet="1" objects="1" scenarios="1"/>
  <mergeCells count="6">
    <mergeCell ref="B3:F3"/>
    <mergeCell ref="B4:F4"/>
    <mergeCell ref="B2:F2"/>
    <mergeCell ref="D29:F29"/>
    <mergeCell ref="C29:C30"/>
    <mergeCell ref="B29:B30"/>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52"/>
  <sheetViews>
    <sheetView showGridLines="0" topLeftCell="A32" zoomScale="70" zoomScaleNormal="70" zoomScaleSheetLayoutView="85" workbookViewId="0">
      <selection activeCell="V37" sqref="V37"/>
    </sheetView>
  </sheetViews>
  <sheetFormatPr baseColWidth="10" defaultColWidth="11.42578125" defaultRowHeight="15" zeroHeight="1"/>
  <cols>
    <col min="1" max="1" width="3.42578125" style="379" customWidth="1"/>
    <col min="2" max="2" width="3.7109375" style="379" customWidth="1"/>
    <col min="3" max="3" width="63.28515625" style="379" customWidth="1"/>
    <col min="4" max="4" width="15.140625" style="392" customWidth="1"/>
    <col min="5" max="5" width="16" style="392" customWidth="1"/>
    <col min="6" max="6" width="17.85546875" style="379" customWidth="1"/>
    <col min="7" max="7" width="23.28515625" style="379" customWidth="1"/>
    <col min="8" max="8" width="16" style="379" customWidth="1"/>
    <col min="9" max="9" width="22.85546875" style="379" customWidth="1"/>
    <col min="10" max="10" width="16" style="379" customWidth="1"/>
    <col min="11" max="11" width="14.5703125" style="379" customWidth="1"/>
    <col min="12" max="12" width="21" style="379" customWidth="1"/>
    <col min="13" max="13" width="12.7109375" style="379" customWidth="1"/>
    <col min="14" max="14" width="19.42578125" style="379" customWidth="1"/>
    <col min="15" max="15" width="8.28515625" style="379" customWidth="1"/>
    <col min="16" max="16" width="13.28515625" style="379" customWidth="1"/>
    <col min="17" max="17" width="8.28515625" style="379" customWidth="1"/>
    <col min="18" max="18" width="14" style="379" customWidth="1"/>
    <col min="19" max="19" width="8.28515625" style="379" customWidth="1"/>
    <col min="20" max="20" width="19.42578125" style="379" customWidth="1"/>
    <col min="21" max="21" width="8.28515625" style="379" customWidth="1"/>
    <col min="22" max="22" width="71.42578125" style="382" customWidth="1"/>
    <col min="23" max="23" width="12.140625" style="379" bestFit="1" customWidth="1"/>
    <col min="24" max="24" width="27.42578125" style="379" bestFit="1" customWidth="1"/>
    <col min="25" max="16370" width="11.42578125" style="379"/>
    <col min="16371" max="16371" width="1.42578125" style="379" customWidth="1"/>
    <col min="16372" max="16384" width="2.85546875" style="379" customWidth="1"/>
  </cols>
  <sheetData>
    <row r="1" spans="3:23">
      <c r="D1" s="380"/>
      <c r="E1" s="380"/>
      <c r="F1" s="381"/>
      <c r="G1" s="381"/>
      <c r="H1" s="381"/>
      <c r="I1" s="381"/>
      <c r="J1" s="381"/>
      <c r="K1" s="381"/>
      <c r="L1" s="381"/>
    </row>
    <row r="2" spans="3:23" s="385" customFormat="1" ht="15.75">
      <c r="C2" s="599" t="s">
        <v>773</v>
      </c>
      <c r="D2" s="599"/>
      <c r="E2" s="599"/>
      <c r="F2" s="599"/>
      <c r="G2" s="599"/>
      <c r="H2" s="599"/>
      <c r="I2" s="599"/>
      <c r="J2" s="599"/>
      <c r="K2" s="599"/>
      <c r="L2" s="599"/>
      <c r="M2" s="599"/>
      <c r="N2" s="383"/>
      <c r="O2" s="383"/>
      <c r="P2" s="383"/>
      <c r="Q2" s="383"/>
      <c r="R2" s="383"/>
      <c r="S2" s="383"/>
      <c r="T2" s="383"/>
      <c r="U2" s="383"/>
      <c r="V2" s="384"/>
    </row>
    <row r="3" spans="3:23" ht="18">
      <c r="C3" s="580" t="s">
        <v>672</v>
      </c>
      <c r="D3" s="580"/>
      <c r="E3" s="580"/>
      <c r="F3" s="580"/>
      <c r="G3" s="580"/>
      <c r="H3" s="580"/>
      <c r="I3" s="580"/>
      <c r="J3" s="580"/>
      <c r="K3" s="580"/>
      <c r="L3" s="580"/>
      <c r="M3" s="580"/>
      <c r="N3" s="386"/>
      <c r="O3" s="386"/>
      <c r="P3" s="386"/>
      <c r="Q3" s="386"/>
      <c r="R3" s="386"/>
      <c r="S3" s="386"/>
      <c r="T3" s="386"/>
      <c r="U3" s="386"/>
      <c r="V3" s="387"/>
    </row>
    <row r="4" spans="3:23" ht="15.75">
      <c r="C4" s="579" t="s">
        <v>578</v>
      </c>
      <c r="D4" s="579"/>
      <c r="E4" s="579"/>
      <c r="F4" s="579"/>
      <c r="G4" s="579"/>
      <c r="H4" s="579"/>
      <c r="I4" s="579"/>
      <c r="J4" s="579"/>
      <c r="K4" s="579"/>
      <c r="L4" s="579"/>
      <c r="M4" s="579"/>
      <c r="N4" s="388"/>
      <c r="O4" s="388"/>
      <c r="P4" s="388"/>
      <c r="Q4" s="388"/>
      <c r="R4" s="388"/>
      <c r="S4" s="388"/>
      <c r="T4" s="388"/>
      <c r="U4" s="388"/>
      <c r="V4" s="387"/>
    </row>
    <row r="5" spans="3:23" ht="20.25">
      <c r="C5" s="581" t="s">
        <v>813</v>
      </c>
      <c r="D5" s="581"/>
      <c r="E5" s="581"/>
      <c r="F5" s="581"/>
      <c r="G5" s="581"/>
      <c r="H5" s="581"/>
      <c r="I5" s="581"/>
      <c r="J5" s="581"/>
      <c r="K5" s="581"/>
      <c r="L5" s="581"/>
      <c r="M5" s="581"/>
      <c r="N5" s="389"/>
      <c r="O5" s="389"/>
      <c r="P5" s="389"/>
      <c r="Q5" s="389"/>
      <c r="R5" s="389"/>
      <c r="S5" s="389"/>
      <c r="T5" s="389"/>
      <c r="U5" s="389"/>
      <c r="V5" s="390"/>
    </row>
    <row r="6" spans="3:23" ht="19.5" customHeight="1" thickBot="1">
      <c r="C6" s="391" t="s">
        <v>817</v>
      </c>
    </row>
    <row r="7" spans="3:23" ht="33" customHeight="1" thickBot="1">
      <c r="C7" s="582" t="s">
        <v>579</v>
      </c>
      <c r="D7" s="584" t="s">
        <v>580</v>
      </c>
      <c r="E7" s="590" t="s">
        <v>581</v>
      </c>
      <c r="F7" s="591"/>
      <c r="G7" s="592"/>
      <c r="H7" s="380"/>
      <c r="I7" s="380"/>
      <c r="J7" s="380"/>
    </row>
    <row r="8" spans="3:23" ht="41.25" customHeight="1" thickBot="1">
      <c r="C8" s="583"/>
      <c r="D8" s="585"/>
      <c r="E8" s="487" t="str">
        <f>C5</f>
        <v>Tercer Trimestre</v>
      </c>
      <c r="F8" s="489" t="str">
        <f>$L$31</f>
        <v>Acumulado Corte 30/09/2020</v>
      </c>
      <c r="G8" s="488" t="s">
        <v>582</v>
      </c>
      <c r="H8" s="483"/>
      <c r="I8" s="380"/>
      <c r="J8" s="380"/>
      <c r="K8" s="380"/>
      <c r="V8" s="379"/>
      <c r="W8" s="382"/>
    </row>
    <row r="9" spans="3:23">
      <c r="C9" s="393" t="s">
        <v>583</v>
      </c>
      <c r="D9" s="394">
        <f>COUNT(B35:B40)</f>
        <v>6</v>
      </c>
      <c r="E9" s="395">
        <f>K41</f>
        <v>0.80326666666666657</v>
      </c>
      <c r="F9" s="395">
        <f>L41</f>
        <v>0.99792307692307691</v>
      </c>
      <c r="G9" s="395">
        <f>M41</f>
        <v>0.82189561403508771</v>
      </c>
      <c r="H9" s="396"/>
      <c r="I9" s="396"/>
      <c r="J9" s="396"/>
      <c r="K9" s="396"/>
      <c r="V9" s="379"/>
      <c r="W9" s="382"/>
    </row>
    <row r="10" spans="3:23">
      <c r="C10" s="397" t="s">
        <v>584</v>
      </c>
      <c r="D10" s="394">
        <f>COUNT(B46:B48)</f>
        <v>3</v>
      </c>
      <c r="E10" s="395">
        <f>K49</f>
        <v>2.8214285714285716</v>
      </c>
      <c r="F10" s="395">
        <f>L49</f>
        <v>2.2692307692307692</v>
      </c>
      <c r="G10" s="395">
        <f>M49</f>
        <v>1.175</v>
      </c>
      <c r="H10" s="396"/>
      <c r="I10" s="396"/>
      <c r="J10" s="396"/>
      <c r="K10" s="396"/>
      <c r="V10" s="379"/>
      <c r="W10" s="382"/>
    </row>
    <row r="11" spans="3:23">
      <c r="C11" s="397" t="s">
        <v>585</v>
      </c>
      <c r="D11" s="394">
        <f>COUNT(B54:B59)</f>
        <v>6</v>
      </c>
      <c r="E11" s="395">
        <f>K60</f>
        <v>1.0311111111111111</v>
      </c>
      <c r="F11" s="395">
        <f>L60</f>
        <v>1.0540372796377162</v>
      </c>
      <c r="G11" s="395">
        <f>M60</f>
        <v>0.9400152207001522</v>
      </c>
      <c r="H11" s="396"/>
      <c r="I11" s="396"/>
      <c r="J11" s="396"/>
      <c r="K11" s="396"/>
      <c r="V11" s="379"/>
      <c r="W11" s="382"/>
    </row>
    <row r="12" spans="3:23">
      <c r="C12" s="397" t="s">
        <v>586</v>
      </c>
      <c r="D12" s="394">
        <f>COUNT(B65:B69)</f>
        <v>5</v>
      </c>
      <c r="E12" s="395">
        <f>K70</f>
        <v>1</v>
      </c>
      <c r="F12" s="395">
        <f>L70</f>
        <v>1</v>
      </c>
      <c r="G12" s="395">
        <f>M70</f>
        <v>1</v>
      </c>
      <c r="H12" s="396"/>
      <c r="I12" s="396"/>
      <c r="J12" s="396"/>
      <c r="K12" s="396"/>
      <c r="V12" s="379"/>
      <c r="W12" s="382"/>
    </row>
    <row r="13" spans="3:23" ht="15.75" thickBot="1">
      <c r="C13" s="398" t="s">
        <v>587</v>
      </c>
      <c r="D13" s="399">
        <f>COUNT(B75:B77)</f>
        <v>3</v>
      </c>
      <c r="E13" s="400">
        <f>K78</f>
        <v>1</v>
      </c>
      <c r="F13" s="400">
        <f>L78</f>
        <v>1</v>
      </c>
      <c r="G13" s="400">
        <f>M78</f>
        <v>0.98333333333333339</v>
      </c>
      <c r="H13" s="396"/>
      <c r="I13" s="396"/>
      <c r="J13" s="396"/>
      <c r="K13" s="396"/>
      <c r="V13" s="379"/>
      <c r="W13" s="382"/>
    </row>
    <row r="14" spans="3:23" ht="16.5" thickBot="1">
      <c r="C14" s="401" t="s">
        <v>589</v>
      </c>
      <c r="D14" s="402"/>
      <c r="E14" s="403">
        <f>AVERAGE(E9:E13)</f>
        <v>1.3311612698412698</v>
      </c>
      <c r="F14" s="403">
        <f>AVERAGE(F9:F13)</f>
        <v>1.2642382251583126</v>
      </c>
      <c r="G14" s="404">
        <f>AVERAGE(G9:G13)</f>
        <v>0.98404883361371476</v>
      </c>
      <c r="H14" s="423"/>
      <c r="I14" s="396"/>
      <c r="J14" s="396"/>
      <c r="K14" s="396"/>
      <c r="V14" s="379"/>
      <c r="W14" s="382"/>
    </row>
    <row r="15" spans="3:23">
      <c r="C15" s="393" t="s">
        <v>590</v>
      </c>
      <c r="D15" s="394">
        <f>COUNT(B83:B103)</f>
        <v>18</v>
      </c>
      <c r="E15" s="405">
        <f>+K104</f>
        <v>1.0779784275744739</v>
      </c>
      <c r="F15" s="405">
        <f>+L104</f>
        <v>0.95860517544131585</v>
      </c>
      <c r="G15" s="405">
        <f>+M104</f>
        <v>0.71887971784158422</v>
      </c>
      <c r="H15" s="396"/>
      <c r="I15" s="396"/>
      <c r="J15" s="396"/>
      <c r="K15" s="396"/>
      <c r="V15" s="379"/>
      <c r="W15" s="382"/>
    </row>
    <row r="16" spans="3:23">
      <c r="C16" s="397" t="s">
        <v>591</v>
      </c>
      <c r="D16" s="394">
        <f>COUNT(B109:B114)</f>
        <v>6</v>
      </c>
      <c r="E16" s="395">
        <f>+K115</f>
        <v>1.1153703703703703</v>
      </c>
      <c r="F16" s="395">
        <f>+L115</f>
        <v>0.94305284023025948</v>
      </c>
      <c r="G16" s="395">
        <f>+M115</f>
        <v>0.73097359464207301</v>
      </c>
      <c r="H16" s="396"/>
      <c r="I16" s="396"/>
      <c r="J16" s="396"/>
      <c r="K16" s="396"/>
      <c r="V16" s="379"/>
      <c r="W16" s="382"/>
    </row>
    <row r="17" spans="3:23" ht="15.75" thickBot="1">
      <c r="C17" s="398" t="s">
        <v>592</v>
      </c>
      <c r="D17" s="399">
        <f>COUNT(B120:B123)</f>
        <v>4</v>
      </c>
      <c r="E17" s="400">
        <f>+K124</f>
        <v>0</v>
      </c>
      <c r="F17" s="400">
        <f>+L124</f>
        <v>3.1434426229508197</v>
      </c>
      <c r="G17" s="400">
        <f>+M124</f>
        <v>0.36499999999999999</v>
      </c>
      <c r="H17" s="396"/>
      <c r="I17" s="396"/>
      <c r="J17" s="396"/>
      <c r="K17" s="396"/>
      <c r="V17" s="379"/>
      <c r="W17" s="382"/>
    </row>
    <row r="18" spans="3:23" ht="16.5" thickBot="1">
      <c r="C18" s="401" t="s">
        <v>593</v>
      </c>
      <c r="D18" s="402"/>
      <c r="E18" s="403">
        <f>AVERAGE(E15:E17)</f>
        <v>0.73111626598161472</v>
      </c>
      <c r="F18" s="403">
        <f>AVERAGE(F15:F17)</f>
        <v>1.6817002128741319</v>
      </c>
      <c r="G18" s="404">
        <f>AVERAGE(G15:G17)</f>
        <v>0.60495110416121911</v>
      </c>
      <c r="H18" s="423"/>
      <c r="I18" s="396"/>
      <c r="J18" s="396"/>
      <c r="K18" s="396"/>
      <c r="V18" s="379"/>
      <c r="W18" s="382"/>
    </row>
    <row r="19" spans="3:23">
      <c r="C19" s="393" t="s">
        <v>594</v>
      </c>
      <c r="D19" s="394">
        <f>COUNT(B129:B141)</f>
        <v>13</v>
      </c>
      <c r="E19" s="405">
        <f>+K142</f>
        <v>0.92842151367151371</v>
      </c>
      <c r="F19" s="405">
        <f>+L142</f>
        <v>1.0215166126262885</v>
      </c>
      <c r="G19" s="405">
        <f>+M142</f>
        <v>0.91379524635215581</v>
      </c>
      <c r="H19" s="396"/>
      <c r="I19" s="396"/>
      <c r="J19" s="396"/>
      <c r="K19" s="396"/>
      <c r="V19" s="379"/>
      <c r="W19" s="382"/>
    </row>
    <row r="20" spans="3:23">
      <c r="C20" s="397" t="s">
        <v>595</v>
      </c>
      <c r="D20" s="394">
        <f>COUNT(B147:B152)</f>
        <v>6</v>
      </c>
      <c r="E20" s="395">
        <f>+K153</f>
        <v>1.3301754385964915</v>
      </c>
      <c r="F20" s="395">
        <f>+L153</f>
        <v>1.0995713611950182</v>
      </c>
      <c r="G20" s="395">
        <f>+M153</f>
        <v>1.1002990381937752</v>
      </c>
      <c r="H20" s="396"/>
      <c r="I20" s="396"/>
      <c r="J20" s="396"/>
      <c r="K20" s="396"/>
      <c r="V20" s="379"/>
      <c r="W20" s="382"/>
    </row>
    <row r="21" spans="3:23">
      <c r="C21" s="397" t="s">
        <v>596</v>
      </c>
      <c r="D21" s="394">
        <f>COUNT(B158)</f>
        <v>1</v>
      </c>
      <c r="E21" s="395">
        <f>+K159</f>
        <v>0.98699999999999999</v>
      </c>
      <c r="F21" s="395">
        <f>+L159</f>
        <v>0.99</v>
      </c>
      <c r="G21" s="395">
        <f>+M159</f>
        <v>0.99</v>
      </c>
      <c r="H21" s="396"/>
      <c r="I21" s="396"/>
      <c r="J21" s="396"/>
      <c r="K21" s="396"/>
      <c r="V21" s="379"/>
      <c r="W21" s="382"/>
    </row>
    <row r="22" spans="3:23">
      <c r="C22" s="397" t="s">
        <v>597</v>
      </c>
      <c r="D22" s="394">
        <f>COUNT(B164:B164)</f>
        <v>1</v>
      </c>
      <c r="E22" s="395">
        <f>+K165</f>
        <v>0.99882352941176467</v>
      </c>
      <c r="F22" s="395">
        <f>+L165</f>
        <v>0.99882352941176467</v>
      </c>
      <c r="G22" s="395">
        <f>+M165</f>
        <v>0.89368421052631586</v>
      </c>
      <c r="H22" s="396"/>
      <c r="I22" s="396"/>
      <c r="J22" s="396"/>
      <c r="K22" s="396"/>
      <c r="V22" s="379"/>
      <c r="W22" s="382"/>
    </row>
    <row r="23" spans="3:23">
      <c r="C23" s="397" t="s">
        <v>598</v>
      </c>
      <c r="D23" s="394">
        <f>COUNT(B170:B172)</f>
        <v>3</v>
      </c>
      <c r="E23" s="395">
        <f>+K173</f>
        <v>1.2222222222222223</v>
      </c>
      <c r="F23" s="395">
        <f>+L173</f>
        <v>0.9058055833573655</v>
      </c>
      <c r="G23" s="395">
        <f>+M173</f>
        <v>0.86190476190476206</v>
      </c>
      <c r="H23" s="396"/>
      <c r="I23" s="396"/>
      <c r="J23" s="396"/>
      <c r="K23" s="396"/>
      <c r="V23" s="379"/>
      <c r="W23" s="382"/>
    </row>
    <row r="24" spans="3:23" ht="15.75" thickBot="1">
      <c r="C24" s="398" t="s">
        <v>599</v>
      </c>
      <c r="D24" s="399">
        <f>COUNT(B178:B182)</f>
        <v>5</v>
      </c>
      <c r="E24" s="400">
        <f>+K183</f>
        <v>1</v>
      </c>
      <c r="F24" s="400">
        <f>+L183</f>
        <v>1</v>
      </c>
      <c r="G24" s="400">
        <f>+M183</f>
        <v>1</v>
      </c>
      <c r="H24" s="396"/>
      <c r="I24" s="396"/>
      <c r="J24" s="396"/>
      <c r="K24" s="396"/>
      <c r="V24" s="379"/>
      <c r="W24" s="382"/>
    </row>
    <row r="25" spans="3:23" ht="16.5" thickBot="1">
      <c r="C25" s="401" t="s">
        <v>600</v>
      </c>
      <c r="D25" s="402"/>
      <c r="E25" s="403">
        <f>AVERAGE(E19:E24)</f>
        <v>1.0777737839836654</v>
      </c>
      <c r="F25" s="403">
        <f>AVERAGE(F19:F24)</f>
        <v>1.0026195144317394</v>
      </c>
      <c r="G25" s="404">
        <f>AVERAGE(G19:G24)</f>
        <v>0.95994720949616819</v>
      </c>
      <c r="H25" s="423"/>
      <c r="I25" s="396"/>
      <c r="J25" s="396"/>
      <c r="K25" s="396"/>
      <c r="V25" s="379"/>
      <c r="W25" s="382"/>
    </row>
    <row r="26" spans="3:23">
      <c r="C26" s="397" t="s">
        <v>601</v>
      </c>
      <c r="D26" s="394">
        <f>COUNT(B188:B191)</f>
        <v>4</v>
      </c>
      <c r="E26" s="395">
        <f>K192</f>
        <v>0</v>
      </c>
      <c r="F26" s="395">
        <f>L192</f>
        <v>1</v>
      </c>
      <c r="G26" s="395">
        <f>M192</f>
        <v>5.8695652173913045E-2</v>
      </c>
      <c r="H26" s="396"/>
      <c r="I26" s="396"/>
      <c r="J26" s="396"/>
      <c r="K26" s="396"/>
      <c r="V26" s="379"/>
      <c r="W26" s="382"/>
    </row>
    <row r="27" spans="3:23" ht="15.75" thickBot="1">
      <c r="C27" s="398" t="s">
        <v>602</v>
      </c>
      <c r="D27" s="399">
        <f>COUNT(B197:B204)</f>
        <v>8</v>
      </c>
      <c r="E27" s="400">
        <f>K205</f>
        <v>1</v>
      </c>
      <c r="F27" s="400">
        <f>L205</f>
        <v>1</v>
      </c>
      <c r="G27" s="400">
        <f>M205</f>
        <v>0.75</v>
      </c>
      <c r="H27" s="396"/>
      <c r="I27" s="396"/>
      <c r="J27" s="396"/>
      <c r="K27" s="396"/>
      <c r="V27" s="379"/>
      <c r="W27" s="382"/>
    </row>
    <row r="28" spans="3:23" ht="33" customHeight="1" thickBot="1">
      <c r="C28" s="406" t="s">
        <v>603</v>
      </c>
      <c r="D28" s="402"/>
      <c r="E28" s="403">
        <f>AVERAGE(E26:E27)</f>
        <v>0.5</v>
      </c>
      <c r="F28" s="403">
        <f>AVERAGE(F26:F27)</f>
        <v>1</v>
      </c>
      <c r="G28" s="404">
        <f>AVERAGE(G26:G27)</f>
        <v>0.40434782608695652</v>
      </c>
      <c r="H28" s="423"/>
      <c r="I28" s="396"/>
      <c r="J28" s="396"/>
      <c r="K28" s="396"/>
      <c r="V28" s="379"/>
      <c r="W28" s="382"/>
    </row>
    <row r="29" spans="3:23" ht="33" customHeight="1">
      <c r="C29" s="485"/>
      <c r="D29" s="483"/>
      <c r="E29" s="423"/>
      <c r="F29" s="423"/>
      <c r="G29" s="423"/>
      <c r="H29" s="396"/>
      <c r="I29" s="396"/>
      <c r="J29" s="396"/>
    </row>
    <row r="30" spans="3:23" s="407" customFormat="1">
      <c r="D30" s="408"/>
      <c r="E30" s="408"/>
      <c r="V30" s="409"/>
    </row>
    <row r="31" spans="3:23" s="407" customFormat="1" ht="36.75" hidden="1" customHeight="1">
      <c r="D31" s="408"/>
      <c r="E31" s="408"/>
      <c r="G31" s="484" t="s">
        <v>815</v>
      </c>
      <c r="I31" s="484" t="s">
        <v>816</v>
      </c>
      <c r="L31" s="484" t="s">
        <v>814</v>
      </c>
      <c r="V31" s="409"/>
    </row>
    <row r="32" spans="3:23" s="407" customFormat="1" ht="15.75">
      <c r="C32" s="410" t="s">
        <v>604</v>
      </c>
      <c r="D32" s="408"/>
      <c r="E32" s="408"/>
      <c r="V32" s="409"/>
    </row>
    <row r="33" spans="2:24" ht="36.75" customHeight="1">
      <c r="C33" s="575" t="s">
        <v>605</v>
      </c>
      <c r="D33" s="574" t="s">
        <v>606</v>
      </c>
      <c r="E33" s="576" t="s">
        <v>607</v>
      </c>
      <c r="F33" s="577"/>
      <c r="G33" s="578"/>
      <c r="H33" s="574" t="s">
        <v>608</v>
      </c>
      <c r="I33" s="586" t="str">
        <f>$I$31</f>
        <v>Ejecución Acumulada Corte
30/09/2020</v>
      </c>
      <c r="J33" s="574" t="s">
        <v>609</v>
      </c>
      <c r="K33" s="574" t="s">
        <v>581</v>
      </c>
      <c r="L33" s="574"/>
      <c r="M33" s="574"/>
      <c r="N33" s="573" t="s">
        <v>679</v>
      </c>
      <c r="O33" s="573"/>
      <c r="P33" s="573"/>
      <c r="Q33" s="573"/>
      <c r="R33" s="573"/>
      <c r="S33" s="573"/>
      <c r="T33" s="573"/>
      <c r="U33" s="573"/>
      <c r="V33" s="574" t="s">
        <v>610</v>
      </c>
    </row>
    <row r="34" spans="2:24" ht="37.5" customHeight="1">
      <c r="C34" s="575"/>
      <c r="D34" s="574"/>
      <c r="E34" s="480" t="s">
        <v>673</v>
      </c>
      <c r="F34" s="480" t="str">
        <f>$C$5</f>
        <v>Tercer Trimestre</v>
      </c>
      <c r="G34" s="484" t="str">
        <f>$G$31</f>
        <v>Acumulada Corte
30/09/2020</v>
      </c>
      <c r="H34" s="574"/>
      <c r="I34" s="586"/>
      <c r="J34" s="574"/>
      <c r="K34" s="480" t="str">
        <f>+$C$5</f>
        <v>Tercer Trimestre</v>
      </c>
      <c r="L34" s="484" t="str">
        <f>$L$31</f>
        <v>Acumulado Corte 30/09/2020</v>
      </c>
      <c r="M34" s="482" t="s">
        <v>582</v>
      </c>
      <c r="N34" s="551" t="s">
        <v>767</v>
      </c>
      <c r="O34" s="552"/>
      <c r="P34" s="548" t="s">
        <v>674</v>
      </c>
      <c r="Q34" s="549"/>
      <c r="R34" s="549"/>
      <c r="S34" s="550"/>
      <c r="T34" s="553" t="s">
        <v>768</v>
      </c>
      <c r="U34" s="554"/>
      <c r="V34" s="574"/>
    </row>
    <row r="35" spans="2:24" ht="46.5" customHeight="1">
      <c r="B35" s="413">
        <f>'01 Direcc Estratégico POA 2020 '!R13</f>
        <v>1</v>
      </c>
      <c r="C35" s="414" t="str">
        <f>'Rango en indicadores'!E5</f>
        <v>Plan operativo formulado</v>
      </c>
      <c r="D35" s="415" t="str">
        <f>'Rango en indicadores'!D5</f>
        <v>01-RI-01</v>
      </c>
      <c r="E35" s="416">
        <f>'01 Direcc Estratégico POA 2020 '!AQ13</f>
        <v>1</v>
      </c>
      <c r="F35" s="416">
        <f>+'01 Direcc Estratégico POA 2020 '!AG13</f>
        <v>0</v>
      </c>
      <c r="G35" s="416">
        <f>+'01 Direcc Estratégico POA 2020 '!Q13+'01 Direcc Estratégico POA 2020 '!Y13+'01 Direcc Estratégico POA 2020 '!AG13</f>
        <v>1</v>
      </c>
      <c r="H35" s="416">
        <f>+'01 Direcc Estratégico POA 2020 '!AH13</f>
        <v>0</v>
      </c>
      <c r="I35" s="416">
        <f>+'01 Direcc Estratégico POA 2020 '!R13+'01 Direcc Estratégico POA 2020 '!Z13+'01 Direcc Estratégico POA 2020 '!AH13</f>
        <v>1</v>
      </c>
      <c r="J35" s="416">
        <f>'01 Direcc Estratégico POA 2020 '!AR13</f>
        <v>1</v>
      </c>
      <c r="K35" s="417" t="str">
        <f t="shared" ref="K35:K40" si="0">IF(AND(F35&gt;0),H35/F35,"No programado")</f>
        <v>No programado</v>
      </c>
      <c r="L35" s="417">
        <f t="shared" ref="L35:L40" si="1">IF(AND(G35&gt;0),I35/G35,"No programado")</f>
        <v>1</v>
      </c>
      <c r="M35" s="417">
        <f>'01 Direcc Estratégico POA 2020 '!AS13</f>
        <v>1</v>
      </c>
      <c r="N35" s="417" t="str">
        <f>'Rango en indicadores'!G5</f>
        <v>Mayor o igual A:</v>
      </c>
      <c r="O35" s="416">
        <f>'Rango en indicadores'!H5</f>
        <v>100</v>
      </c>
      <c r="P35" s="417" t="str">
        <f>'Rango en indicadores'!I5</f>
        <v>Desde (&gt;):</v>
      </c>
      <c r="Q35" s="416">
        <f>'Rango en indicadores'!J5</f>
        <v>98</v>
      </c>
      <c r="R35" s="417" t="str">
        <f>'Rango en indicadores'!K5</f>
        <v>Hasta (&lt;):</v>
      </c>
      <c r="S35" s="416">
        <f>'Rango en indicadores'!L5</f>
        <v>100</v>
      </c>
      <c r="T35" s="417" t="str">
        <f>'Rango en indicadores'!M5</f>
        <v>Menor o Igual A:</v>
      </c>
      <c r="U35" s="416">
        <f>'Rango en indicadores'!N5</f>
        <v>98</v>
      </c>
      <c r="V35" s="418" t="s">
        <v>778</v>
      </c>
    </row>
    <row r="36" spans="2:24" ht="110.25" customHeight="1">
      <c r="B36" s="413">
        <f>1+B35</f>
        <v>2</v>
      </c>
      <c r="C36" s="414" t="str">
        <f>'Rango en indicadores'!E6</f>
        <v>Avance en la implementación del Modelo (MIPG)</v>
      </c>
      <c r="D36" s="415" t="str">
        <f>'Rango en indicadores'!D6</f>
        <v>01-RI-02</v>
      </c>
      <c r="E36" s="419">
        <f>'01 Direcc Estratégico POA 2020 '!AQ14</f>
        <v>0.6</v>
      </c>
      <c r="F36" s="419">
        <f>+'01 Direcc Estratégico POA 2020 '!AG14</f>
        <v>0.27</v>
      </c>
      <c r="G36" s="419">
        <f>+'01 Direcc Estratégico POA 2020 '!Q14+'01 Direcc Estratégico POA 2020 '!Y14+'01 Direcc Estratégico POA 2020 '!AG14</f>
        <v>0.39</v>
      </c>
      <c r="H36" s="419">
        <f>+'01 Direcc Estratégico POA 2020 '!AH14</f>
        <v>0.27</v>
      </c>
      <c r="I36" s="419">
        <f>+'01 Direcc Estratégico POA 2020 '!R14+'01 Direcc Estratégico POA 2020 '!Z14+'01 Direcc Estratégico POA 2020 '!AH14</f>
        <v>0.39</v>
      </c>
      <c r="J36" s="419">
        <f>'01 Direcc Estratégico POA 2020 '!AR14</f>
        <v>0.39</v>
      </c>
      <c r="K36" s="417">
        <f t="shared" si="0"/>
        <v>1</v>
      </c>
      <c r="L36" s="417">
        <f t="shared" si="1"/>
        <v>1</v>
      </c>
      <c r="M36" s="417">
        <f>'01 Direcc Estratégico POA 2020 '!AS14</f>
        <v>0.65</v>
      </c>
      <c r="N36" s="417" t="str">
        <f>'Rango en indicadores'!G6</f>
        <v>Mayor o igual A:</v>
      </c>
      <c r="O36" s="416">
        <f>'Rango en indicadores'!H6</f>
        <v>95</v>
      </c>
      <c r="P36" s="417" t="str">
        <f>'Rango en indicadores'!I6</f>
        <v>Desde (&gt;):</v>
      </c>
      <c r="Q36" s="416">
        <f>'Rango en indicadores'!J6</f>
        <v>70</v>
      </c>
      <c r="R36" s="417" t="str">
        <f>'Rango en indicadores'!K6</f>
        <v>Hasta (&lt;):</v>
      </c>
      <c r="S36" s="416">
        <f>'Rango en indicadores'!L6</f>
        <v>95</v>
      </c>
      <c r="T36" s="417" t="str">
        <f>'Rango en indicadores'!M6</f>
        <v>Menor o Igual A:</v>
      </c>
      <c r="U36" s="416">
        <f>'Rango en indicadores'!N6</f>
        <v>70</v>
      </c>
      <c r="V36" s="418" t="s">
        <v>819</v>
      </c>
    </row>
    <row r="37" spans="2:24" ht="138.75" customHeight="1">
      <c r="B37" s="413">
        <f>1+B36</f>
        <v>3</v>
      </c>
      <c r="C37" s="414" t="str">
        <f>'Rango en indicadores'!E7</f>
        <v xml:space="preserve">Avance en la implementación de acciones para la sostenibilidad del Sistema de Gestión de la Calidad </v>
      </c>
      <c r="D37" s="415" t="str">
        <f>'Rango en indicadores'!D7</f>
        <v>01-RI-03</v>
      </c>
      <c r="E37" s="419">
        <f>'01 Direcc Estratégico POA 2020 '!AQ15</f>
        <v>1</v>
      </c>
      <c r="F37" s="419">
        <f>+'01 Direcc Estratégico POA 2020 '!AG15</f>
        <v>0.30000000000000004</v>
      </c>
      <c r="G37" s="419">
        <f>+'01 Direcc Estratégico POA 2020 '!Q15+'01 Direcc Estratégico POA 2020 '!Y15+'01 Direcc Estratégico POA 2020 '!AG15</f>
        <v>0.65000000000000013</v>
      </c>
      <c r="H37" s="419">
        <f>+'01 Direcc Estratégico POA 2020 '!AH15</f>
        <v>0.3049</v>
      </c>
      <c r="I37" s="420">
        <f>+'01 Direcc Estratégico POA 2020 '!R15+'01 Direcc Estratégico POA 2020 '!Z15+'01 Direcc Estratégico POA 2020 '!AH15</f>
        <v>0.64190000000000003</v>
      </c>
      <c r="J37" s="419">
        <f>'01 Direcc Estratégico POA 2020 '!AR15</f>
        <v>0.64190000000000003</v>
      </c>
      <c r="K37" s="417">
        <f t="shared" si="0"/>
        <v>1.0163333333333331</v>
      </c>
      <c r="L37" s="417">
        <f t="shared" si="1"/>
        <v>0.98753846153846137</v>
      </c>
      <c r="M37" s="417">
        <f>'01 Direcc Estratégico POA 2020 '!AS15</f>
        <v>0.64190000000000003</v>
      </c>
      <c r="N37" s="417" t="str">
        <f>'Rango en indicadores'!G7</f>
        <v>Mayor o igual A:</v>
      </c>
      <c r="O37" s="416">
        <f>'Rango en indicadores'!H7</f>
        <v>90</v>
      </c>
      <c r="P37" s="417" t="str">
        <f>'Rango en indicadores'!I7</f>
        <v>Desde (&gt;):</v>
      </c>
      <c r="Q37" s="416">
        <f>'Rango en indicadores'!J7</f>
        <v>80</v>
      </c>
      <c r="R37" s="417" t="str">
        <f>'Rango en indicadores'!K7</f>
        <v>Hasta (&lt;):</v>
      </c>
      <c r="S37" s="416">
        <f>'Rango en indicadores'!L7</f>
        <v>90</v>
      </c>
      <c r="T37" s="417" t="str">
        <f>'Rango en indicadores'!M7</f>
        <v>Menor o Igual A:</v>
      </c>
      <c r="U37" s="416">
        <f>'Rango en indicadores'!N7</f>
        <v>80</v>
      </c>
      <c r="V37" s="418" t="s">
        <v>820</v>
      </c>
      <c r="X37" s="502"/>
    </row>
    <row r="38" spans="2:24" ht="99" customHeight="1">
      <c r="B38" s="413">
        <f>1+B37</f>
        <v>4</v>
      </c>
      <c r="C38" s="414" t="str">
        <f>'Rango en indicadores'!E8</f>
        <v>Porcentaje de avance en las  actividades programadas PAAC</v>
      </c>
      <c r="D38" s="415" t="str">
        <f>'Rango en indicadores'!D8</f>
        <v>01-RI-08</v>
      </c>
      <c r="E38" s="419">
        <f>'01 Direcc Estratégico POA 2020 '!AQ16</f>
        <v>1</v>
      </c>
      <c r="F38" s="419">
        <f>+'01 Direcc Estratégico POA 2020 '!AG16</f>
        <v>0.15</v>
      </c>
      <c r="G38" s="419">
        <f>+'01 Direcc Estratégico POA 2020 '!Q16+'01 Direcc Estratégico POA 2020 '!Y16+'01 Direcc Estratégico POA 2020 '!AG16</f>
        <v>0.85000000000000009</v>
      </c>
      <c r="H38" s="419">
        <f>+'01 Direcc Estratégico POA 2020 '!AH16</f>
        <v>0.15</v>
      </c>
      <c r="I38" s="419">
        <f>+'01 Direcc Estratégico POA 2020 '!R16+'01 Direcc Estratégico POA 2020 '!Z16+'01 Direcc Estratégico POA 2020 '!AH16</f>
        <v>0.85000000000000009</v>
      </c>
      <c r="J38" s="419">
        <f>'01 Direcc Estratégico POA 2020 '!AR16</f>
        <v>0.85000000000000009</v>
      </c>
      <c r="K38" s="417">
        <f t="shared" si="0"/>
        <v>1</v>
      </c>
      <c r="L38" s="417">
        <f t="shared" si="1"/>
        <v>1</v>
      </c>
      <c r="M38" s="417">
        <f>'01 Direcc Estratégico POA 2020 '!AS16</f>
        <v>0.85000000000000009</v>
      </c>
      <c r="N38" s="417" t="str">
        <f>'Rango en indicadores'!G8</f>
        <v>Mayor o igual A:</v>
      </c>
      <c r="O38" s="416">
        <f>'Rango en indicadores'!H8</f>
        <v>90</v>
      </c>
      <c r="P38" s="417" t="str">
        <f>'Rango en indicadores'!I8</f>
        <v>Desde (&gt;):</v>
      </c>
      <c r="Q38" s="416">
        <f>'Rango en indicadores'!J8</f>
        <v>80</v>
      </c>
      <c r="R38" s="417" t="str">
        <f>'Rango en indicadores'!K8</f>
        <v>Hasta (&lt;):</v>
      </c>
      <c r="S38" s="416">
        <f>'Rango en indicadores'!L8</f>
        <v>90</v>
      </c>
      <c r="T38" s="417" t="str">
        <f>'Rango en indicadores'!M8</f>
        <v>Menor o Igual A:</v>
      </c>
      <c r="U38" s="416">
        <f>'Rango en indicadores'!N8</f>
        <v>80</v>
      </c>
      <c r="V38" s="418" t="s">
        <v>821</v>
      </c>
    </row>
    <row r="39" spans="2:24" ht="117.75" customHeight="1">
      <c r="B39" s="413">
        <f>1+B38</f>
        <v>5</v>
      </c>
      <c r="C39" s="414" t="str">
        <f>'Rango en indicadores'!E9</f>
        <v>Visitas para realizar control a la gestión</v>
      </c>
      <c r="D39" s="415" t="str">
        <f>'Rango en indicadores'!D9</f>
        <v>01-RI-09</v>
      </c>
      <c r="E39" s="416">
        <f>'01 Direcc Estratégico POA 2020 '!AQ17</f>
        <v>19</v>
      </c>
      <c r="F39" s="416">
        <f>+'01 Direcc Estratégico POA 2020 '!AG17</f>
        <v>1</v>
      </c>
      <c r="G39" s="416">
        <f>+'01 Direcc Estratégico POA 2020 '!Q17+'01 Direcc Estratégico POA 2020 '!Y17+'01 Direcc Estratégico POA 2020 '!AG17</f>
        <v>15</v>
      </c>
      <c r="H39" s="416">
        <f>+'01 Direcc Estratégico POA 2020 '!AH17</f>
        <v>0</v>
      </c>
      <c r="I39" s="416">
        <f>+'01 Direcc Estratégico POA 2020 '!R17+'01 Direcc Estratégico POA 2020 '!Z17+'01 Direcc Estratégico POA 2020 '!AH17</f>
        <v>15</v>
      </c>
      <c r="J39" s="416">
        <f>'01 Direcc Estratégico POA 2020 '!AR17</f>
        <v>15</v>
      </c>
      <c r="K39" s="417">
        <f t="shared" si="0"/>
        <v>0</v>
      </c>
      <c r="L39" s="417">
        <f t="shared" si="1"/>
        <v>1</v>
      </c>
      <c r="M39" s="417">
        <f>'01 Direcc Estratégico POA 2020 '!AS17</f>
        <v>0.78947368421052633</v>
      </c>
      <c r="N39" s="417" t="str">
        <f>'Rango en indicadores'!G9</f>
        <v>Mayor o igual A:</v>
      </c>
      <c r="O39" s="416">
        <f>'Rango en indicadores'!H9</f>
        <v>90</v>
      </c>
      <c r="P39" s="417" t="str">
        <f>'Rango en indicadores'!I9</f>
        <v>Desde (&gt;):</v>
      </c>
      <c r="Q39" s="416">
        <f>'Rango en indicadores'!J9</f>
        <v>80</v>
      </c>
      <c r="R39" s="417" t="str">
        <f>'Rango en indicadores'!K9</f>
        <v>Hasta (&lt;):</v>
      </c>
      <c r="S39" s="416">
        <f>'Rango en indicadores'!L9</f>
        <v>90</v>
      </c>
      <c r="T39" s="417" t="str">
        <f>'Rango en indicadores'!M9</f>
        <v>Menor o Igual A:</v>
      </c>
      <c r="U39" s="416">
        <f>'Rango en indicadores'!N9</f>
        <v>80</v>
      </c>
      <c r="V39" s="418" t="s">
        <v>822</v>
      </c>
    </row>
    <row r="40" spans="2:24" ht="117.75" customHeight="1">
      <c r="B40" s="413">
        <f>1+B39</f>
        <v>6</v>
      </c>
      <c r="C40" s="414" t="str">
        <f>'Rango en indicadores'!E10</f>
        <v>Publicación  de seguimiento a planes, programas y proyectos</v>
      </c>
      <c r="D40" s="415" t="str">
        <f>'Rango en indicadores'!D10</f>
        <v>01-RI-10</v>
      </c>
      <c r="E40" s="420">
        <f>'01 Direcc Estratégico POA 2020 '!AQ18</f>
        <v>1</v>
      </c>
      <c r="F40" s="419">
        <f>+'01 Direcc Estratégico POA 2020 '!AG18</f>
        <v>1</v>
      </c>
      <c r="G40" s="419">
        <f>ROUNDDOWN(AVERAGE('01 Direcc Estratégico POA 2020 '!Q18,'01 Direcc Estratégico POA 2020 '!Y18,'01 Direcc Estratégico POA 2020 '!AG18),3)</f>
        <v>1</v>
      </c>
      <c r="H40" s="419">
        <f>+'01 Direcc Estratégico POA 2020 '!AH18</f>
        <v>1</v>
      </c>
      <c r="I40" s="419">
        <f>ROUNDDOWN(AVERAGE('01 Direcc Estratégico POA 2020 '!R18,'01 Direcc Estratégico POA 2020 '!Z18,'01 Direcc Estratégico POA 2020 '!AH18),3)</f>
        <v>1</v>
      </c>
      <c r="J40" s="420">
        <f>'01 Direcc Estratégico POA 2020 '!AR18</f>
        <v>1</v>
      </c>
      <c r="K40" s="417">
        <f t="shared" si="0"/>
        <v>1</v>
      </c>
      <c r="L40" s="417">
        <f t="shared" si="1"/>
        <v>1</v>
      </c>
      <c r="M40" s="417">
        <f>'01 Direcc Estratégico POA 2020 '!AS18</f>
        <v>1</v>
      </c>
      <c r="N40" s="417" t="str">
        <f>'Rango en indicadores'!G10</f>
        <v>Mayor o igual A:</v>
      </c>
      <c r="O40" s="416">
        <f>'Rango en indicadores'!H10</f>
        <v>90</v>
      </c>
      <c r="P40" s="417" t="str">
        <f>'Rango en indicadores'!I10</f>
        <v>Desde (&gt;):</v>
      </c>
      <c r="Q40" s="416">
        <f>'Rango en indicadores'!J10</f>
        <v>80</v>
      </c>
      <c r="R40" s="417" t="str">
        <f>'Rango en indicadores'!K10</f>
        <v>Hasta (&lt;):</v>
      </c>
      <c r="S40" s="416">
        <f>'Rango en indicadores'!L10</f>
        <v>90</v>
      </c>
      <c r="T40" s="417" t="str">
        <f>'Rango en indicadores'!M10</f>
        <v>Menor o Igual A:</v>
      </c>
      <c r="U40" s="416">
        <f>'Rango en indicadores'!N10</f>
        <v>80</v>
      </c>
      <c r="V40" s="418" t="s">
        <v>793</v>
      </c>
    </row>
    <row r="41" spans="2:24" ht="15.75">
      <c r="C41" s="587" t="s">
        <v>615</v>
      </c>
      <c r="D41" s="588"/>
      <c r="E41" s="588"/>
      <c r="F41" s="588"/>
      <c r="G41" s="588"/>
      <c r="H41" s="588"/>
      <c r="I41" s="588"/>
      <c r="J41" s="589"/>
      <c r="K41" s="421">
        <f>IFERROR(AVERAGE(K35:K40),0)</f>
        <v>0.80326666666666657</v>
      </c>
      <c r="L41" s="421">
        <f>IFERROR(AVERAGE(L35:L40),0)</f>
        <v>0.99792307692307691</v>
      </c>
      <c r="M41" s="422">
        <f>AVERAGE(M35:M40)</f>
        <v>0.82189561403508771</v>
      </c>
      <c r="N41" s="423"/>
      <c r="O41" s="423"/>
      <c r="P41" s="423"/>
      <c r="Q41" s="423"/>
      <c r="R41" s="423"/>
      <c r="S41" s="423"/>
      <c r="T41" s="423"/>
      <c r="U41" s="423"/>
      <c r="V41" s="424"/>
    </row>
    <row r="42" spans="2:24">
      <c r="E42" s="379"/>
    </row>
    <row r="43" spans="2:24" ht="15.75">
      <c r="C43" s="425" t="s">
        <v>616</v>
      </c>
      <c r="D43" s="486"/>
      <c r="E43" s="379"/>
    </row>
    <row r="44" spans="2:24" ht="40.5" customHeight="1">
      <c r="C44" s="575" t="s">
        <v>605</v>
      </c>
      <c r="D44" s="574" t="s">
        <v>606</v>
      </c>
      <c r="E44" s="576" t="s">
        <v>607</v>
      </c>
      <c r="F44" s="577"/>
      <c r="G44" s="578"/>
      <c r="H44" s="574" t="s">
        <v>608</v>
      </c>
      <c r="I44" s="586" t="str">
        <f>$I$31</f>
        <v>Ejecución Acumulada Corte
30/09/2020</v>
      </c>
      <c r="J44" s="574" t="s">
        <v>609</v>
      </c>
      <c r="K44" s="574" t="s">
        <v>581</v>
      </c>
      <c r="L44" s="574"/>
      <c r="M44" s="574"/>
      <c r="N44" s="573" t="s">
        <v>679</v>
      </c>
      <c r="O44" s="573"/>
      <c r="P44" s="573"/>
      <c r="Q44" s="573"/>
      <c r="R44" s="573"/>
      <c r="S44" s="573"/>
      <c r="T44" s="573"/>
      <c r="U44" s="573"/>
      <c r="V44" s="574" t="s">
        <v>610</v>
      </c>
    </row>
    <row r="45" spans="2:24" ht="50.25" customHeight="1">
      <c r="C45" s="575"/>
      <c r="D45" s="574"/>
      <c r="E45" s="411" t="s">
        <v>673</v>
      </c>
      <c r="F45" s="411" t="str">
        <f>$C$5</f>
        <v>Tercer Trimestre</v>
      </c>
      <c r="G45" s="484" t="str">
        <f>$G$31</f>
        <v>Acumulada Corte
30/09/2020</v>
      </c>
      <c r="H45" s="574"/>
      <c r="I45" s="586"/>
      <c r="J45" s="574"/>
      <c r="K45" s="411" t="str">
        <f>+$C$5</f>
        <v>Tercer Trimestre</v>
      </c>
      <c r="L45" s="484" t="s">
        <v>792</v>
      </c>
      <c r="M45" s="412" t="s">
        <v>582</v>
      </c>
      <c r="N45" s="551" t="s">
        <v>767</v>
      </c>
      <c r="O45" s="552"/>
      <c r="P45" s="548" t="s">
        <v>674</v>
      </c>
      <c r="Q45" s="549"/>
      <c r="R45" s="549"/>
      <c r="S45" s="550"/>
      <c r="T45" s="553" t="s">
        <v>768</v>
      </c>
      <c r="U45" s="554"/>
      <c r="V45" s="574"/>
    </row>
    <row r="46" spans="2:24" ht="98.25" customHeight="1">
      <c r="B46" s="413">
        <f>+B40+1</f>
        <v>7</v>
      </c>
      <c r="C46" s="414" t="str">
        <f>'Rango en indicadores'!E11</f>
        <v>Espacios  de transferencia  de conocimientos realizados .</v>
      </c>
      <c r="D46" s="415" t="str">
        <f>'Rango en indicadores'!D11</f>
        <v>02-RI-01</v>
      </c>
      <c r="E46" s="416">
        <f>'02 G. Conoc Innovación POA 2020'!AQ13</f>
        <v>2</v>
      </c>
      <c r="F46" s="416">
        <f>+'02 G. Conoc Innovación POA 2020'!AG13</f>
        <v>0</v>
      </c>
      <c r="G46" s="416">
        <f>+'02 G. Conoc Innovación POA 2020'!Q13+'02 G. Conoc Innovación POA 2020'!Y13+'02 G. Conoc Innovación POA 2020'!AG13</f>
        <v>1</v>
      </c>
      <c r="H46" s="416">
        <f>+'02 G. Conoc Innovación POA 2020'!AH13</f>
        <v>0</v>
      </c>
      <c r="I46" s="416">
        <f>+'02 G. Conoc Innovación POA 2020'!R13+'02 G. Conoc Innovación POA 2020'!Z13+'02 G. Conoc Innovación POA 2020'!AH13</f>
        <v>1</v>
      </c>
      <c r="J46" s="416">
        <f>'02 G. Conoc Innovación POA 2020'!AR13</f>
        <v>1</v>
      </c>
      <c r="K46" s="432" t="str">
        <f>IF(AND(F46&gt;0),H46/F46,"No programado")</f>
        <v>No programado</v>
      </c>
      <c r="L46" s="432">
        <f>IF(AND(G46&gt;0),I46/G46,"No programado")</f>
        <v>1</v>
      </c>
      <c r="M46" s="395">
        <f>'02 G. Conoc Innovación POA 2020'!AS13</f>
        <v>0.5</v>
      </c>
      <c r="N46" s="395" t="str">
        <f>'Rango en indicadores'!G11</f>
        <v>Mayor o igual A:</v>
      </c>
      <c r="O46" s="416">
        <f>'Rango en indicadores'!H11</f>
        <v>90</v>
      </c>
      <c r="P46" s="395" t="str">
        <f>'Rango en indicadores'!I11</f>
        <v>Desde (&gt;):</v>
      </c>
      <c r="Q46" s="416">
        <f>'Rango en indicadores'!J11</f>
        <v>60</v>
      </c>
      <c r="R46" s="395" t="str">
        <f>'Rango en indicadores'!K11</f>
        <v>Hasta (&lt;):</v>
      </c>
      <c r="S46" s="416">
        <f>'Rango en indicadores'!L11</f>
        <v>90</v>
      </c>
      <c r="T46" s="395" t="str">
        <f>'Rango en indicadores'!M11</f>
        <v>Menor o Igual A:</v>
      </c>
      <c r="U46" s="416">
        <f>'Rango en indicadores'!N11</f>
        <v>60</v>
      </c>
      <c r="V46" s="418" t="s">
        <v>823</v>
      </c>
    </row>
    <row r="47" spans="2:24" ht="95.25" customHeight="1">
      <c r="B47" s="413">
        <f>+B46+1</f>
        <v>8</v>
      </c>
      <c r="C47" s="414" t="str">
        <f>'Rango en indicadores'!E12</f>
        <v>Espacios  de  ideación y creación de innovación pública realizados</v>
      </c>
      <c r="D47" s="415" t="str">
        <f>'Rango en indicadores'!D12</f>
        <v>02-RI-02</v>
      </c>
      <c r="E47" s="416">
        <f>'02 G. Conoc Innovación POA 2020'!AQ14</f>
        <v>2</v>
      </c>
      <c r="F47" s="416">
        <f>+'02 G. Conoc Innovación POA 2020'!AG14</f>
        <v>1</v>
      </c>
      <c r="G47" s="416">
        <f>+'02 G. Conoc Innovación POA 2020'!Q14+'02 G. Conoc Innovación POA 2020'!Y14+'02 G. Conoc Innovación POA 2020'!AG14</f>
        <v>1</v>
      </c>
      <c r="H47" s="416">
        <f>+'02 G. Conoc Innovación POA 2020'!AH14</f>
        <v>5</v>
      </c>
      <c r="I47" s="416">
        <f>+'02 G. Conoc Innovación POA 2020'!R14+'02 G. Conoc Innovación POA 2020'!Z14+'02 G. Conoc Innovación POA 2020'!AH14</f>
        <v>5</v>
      </c>
      <c r="J47" s="416">
        <f>'02 G. Conoc Innovación POA 2020'!AR14</f>
        <v>5</v>
      </c>
      <c r="K47" s="426">
        <f>IF(AND(F47&gt;0),H47/F47,"No programado")</f>
        <v>5</v>
      </c>
      <c r="L47" s="432">
        <f t="shared" ref="L47:L48" si="2">IF(AND(G47&gt;0),I47/G47,"No programado")</f>
        <v>5</v>
      </c>
      <c r="M47" s="395">
        <f>'02 G. Conoc Innovación POA 2020'!AS14</f>
        <v>2.5</v>
      </c>
      <c r="N47" s="395" t="str">
        <f>'Rango en indicadores'!G12</f>
        <v>Mayor o igual A:</v>
      </c>
      <c r="O47" s="416">
        <f>'Rango en indicadores'!H12</f>
        <v>90</v>
      </c>
      <c r="P47" s="395" t="str">
        <f>'Rango en indicadores'!I12</f>
        <v>Desde (&gt;):</v>
      </c>
      <c r="Q47" s="416">
        <f>'Rango en indicadores'!J12</f>
        <v>60</v>
      </c>
      <c r="R47" s="395" t="str">
        <f>'Rango en indicadores'!K12</f>
        <v>Hasta (&lt;):</v>
      </c>
      <c r="S47" s="416">
        <f>'Rango en indicadores'!L12</f>
        <v>90</v>
      </c>
      <c r="T47" s="395" t="str">
        <f>'Rango en indicadores'!M12</f>
        <v>Menor o Igual A:</v>
      </c>
      <c r="U47" s="416">
        <f>'Rango en indicadores'!N12</f>
        <v>60</v>
      </c>
      <c r="V47" s="418" t="s">
        <v>904</v>
      </c>
    </row>
    <row r="48" spans="2:24" ht="129" customHeight="1">
      <c r="B48" s="413">
        <f>+B47+1</f>
        <v>9</v>
      </c>
      <c r="C48" s="414" t="str">
        <f>'Rango en indicadores'!E13</f>
        <v>Mecanismo implementado para la documentación y/o registro de la memoria institucional,  conservación en el repositorio institucional y difusión</v>
      </c>
      <c r="D48" s="415" t="str">
        <f>'Rango en indicadores'!D13</f>
        <v>02-RI-03</v>
      </c>
      <c r="E48" s="419">
        <f>'02 G. Conoc Innovación POA 2020'!AQ15</f>
        <v>0.99999999999999989</v>
      </c>
      <c r="F48" s="419">
        <f>'02 G. Conoc Innovación POA 2020'!AG15</f>
        <v>0.35</v>
      </c>
      <c r="G48" s="419">
        <f>+'02 G. Conoc Innovación POA 2020'!Q15+'02 G. Conoc Innovación POA 2020'!Y15+'02 G. Conoc Innovación POA 2020'!AG15</f>
        <v>0.64999999999999991</v>
      </c>
      <c r="H48" s="420">
        <f>'02 G. Conoc Innovación POA 2020'!AH15</f>
        <v>0.22500000000000001</v>
      </c>
      <c r="I48" s="419">
        <f>+'02 G. Conoc Innovación POA 2020'!R15+'02 G. Conoc Innovación POA 2020'!Z15+'02 G. Conoc Innovación POA 2020'!AH15</f>
        <v>0.52500000000000002</v>
      </c>
      <c r="J48" s="427">
        <f>'02 G. Conoc Innovación POA 2020'!AR15</f>
        <v>0.52500000000000002</v>
      </c>
      <c r="K48" s="432">
        <f>IF(AND(F48&gt;0),H48/F48,"No programado")</f>
        <v>0.6428571428571429</v>
      </c>
      <c r="L48" s="432">
        <f t="shared" si="2"/>
        <v>0.80769230769230782</v>
      </c>
      <c r="M48" s="395">
        <f>'02 G. Conoc Innovación POA 2020'!AS15</f>
        <v>0.52500000000000013</v>
      </c>
      <c r="N48" s="395" t="str">
        <f>'Rango en indicadores'!G13</f>
        <v>Mayor o igual A:</v>
      </c>
      <c r="O48" s="416">
        <f>'Rango en indicadores'!H13</f>
        <v>90</v>
      </c>
      <c r="P48" s="395" t="str">
        <f>'Rango en indicadores'!I13</f>
        <v>Desde (&gt;):</v>
      </c>
      <c r="Q48" s="416">
        <f>'Rango en indicadores'!J13</f>
        <v>60</v>
      </c>
      <c r="R48" s="395" t="str">
        <f>'Rango en indicadores'!K13</f>
        <v>Hasta (&lt;):</v>
      </c>
      <c r="S48" s="416">
        <f>'Rango en indicadores'!L13</f>
        <v>90</v>
      </c>
      <c r="T48" s="395" t="str">
        <f>'Rango en indicadores'!M13</f>
        <v>Menor o Igual A:</v>
      </c>
      <c r="U48" s="416">
        <f>'Rango en indicadores'!N13</f>
        <v>60</v>
      </c>
      <c r="V48" s="418" t="s">
        <v>824</v>
      </c>
    </row>
    <row r="49" spans="2:23" ht="15.75">
      <c r="C49" s="587" t="s">
        <v>615</v>
      </c>
      <c r="D49" s="588"/>
      <c r="E49" s="588"/>
      <c r="F49" s="588"/>
      <c r="G49" s="588"/>
      <c r="H49" s="588"/>
      <c r="I49" s="588"/>
      <c r="J49" s="589"/>
      <c r="K49" s="422">
        <f>IFERROR(AVERAGE(K46:K48),0)</f>
        <v>2.8214285714285716</v>
      </c>
      <c r="L49" s="422">
        <f>IFERROR(AVERAGE(L46:L48),0)</f>
        <v>2.2692307692307692</v>
      </c>
      <c r="M49" s="422">
        <f>IFERROR(AVERAGE(M46:M48),0)</f>
        <v>1.175</v>
      </c>
      <c r="N49" s="423"/>
      <c r="O49" s="423"/>
      <c r="P49" s="423"/>
      <c r="Q49" s="423"/>
      <c r="R49" s="423"/>
      <c r="S49" s="423"/>
      <c r="T49" s="423"/>
      <c r="U49" s="423"/>
      <c r="V49" s="424"/>
    </row>
    <row r="50" spans="2:23" s="407" customFormat="1" ht="15.75">
      <c r="C50" s="428"/>
      <c r="D50" s="429"/>
      <c r="E50" s="428"/>
      <c r="F50" s="428"/>
      <c r="G50" s="428"/>
      <c r="H50" s="428"/>
      <c r="I50" s="428"/>
      <c r="J50" s="428"/>
      <c r="K50" s="428"/>
      <c r="L50" s="428"/>
      <c r="M50" s="428"/>
      <c r="N50" s="428"/>
      <c r="O50" s="428"/>
      <c r="P50" s="428"/>
      <c r="Q50" s="428"/>
      <c r="R50" s="428"/>
      <c r="S50" s="428"/>
      <c r="T50" s="428"/>
      <c r="U50" s="428"/>
      <c r="V50" s="409"/>
    </row>
    <row r="51" spans="2:23" s="407" customFormat="1" ht="15.75">
      <c r="C51" s="410" t="s">
        <v>617</v>
      </c>
      <c r="D51" s="429"/>
      <c r="E51" s="428"/>
      <c r="F51" s="428"/>
      <c r="G51" s="428"/>
      <c r="H51" s="428"/>
      <c r="I51" s="428"/>
      <c r="J51" s="428"/>
      <c r="K51" s="428"/>
      <c r="L51" s="428"/>
      <c r="M51" s="428"/>
      <c r="N51" s="428"/>
      <c r="O51" s="428"/>
      <c r="P51" s="428"/>
      <c r="Q51" s="428"/>
      <c r="R51" s="428"/>
      <c r="S51" s="428"/>
      <c r="T51" s="428"/>
      <c r="U51" s="428"/>
      <c r="V51" s="409"/>
    </row>
    <row r="52" spans="2:23" ht="33.75" customHeight="1">
      <c r="C52" s="575" t="s">
        <v>605</v>
      </c>
      <c r="D52" s="574" t="s">
        <v>606</v>
      </c>
      <c r="E52" s="576" t="s">
        <v>607</v>
      </c>
      <c r="F52" s="577"/>
      <c r="G52" s="578"/>
      <c r="H52" s="574" t="s">
        <v>608</v>
      </c>
      <c r="I52" s="586" t="str">
        <f>$I$31</f>
        <v>Ejecución Acumulada Corte
30/09/2020</v>
      </c>
      <c r="J52" s="574" t="s">
        <v>609</v>
      </c>
      <c r="K52" s="574" t="s">
        <v>581</v>
      </c>
      <c r="L52" s="574"/>
      <c r="M52" s="574"/>
      <c r="N52" s="573" t="s">
        <v>679</v>
      </c>
      <c r="O52" s="573"/>
      <c r="P52" s="573"/>
      <c r="Q52" s="573"/>
      <c r="R52" s="573"/>
      <c r="S52" s="573"/>
      <c r="T52" s="573"/>
      <c r="U52" s="573"/>
      <c r="V52" s="574" t="s">
        <v>610</v>
      </c>
    </row>
    <row r="53" spans="2:23" ht="48.75" customHeight="1">
      <c r="C53" s="575"/>
      <c r="D53" s="574"/>
      <c r="E53" s="480" t="s">
        <v>673</v>
      </c>
      <c r="F53" s="480" t="str">
        <f>$C$5</f>
        <v>Tercer Trimestre</v>
      </c>
      <c r="G53" s="484" t="str">
        <f>$G$31</f>
        <v>Acumulada Corte
30/09/2020</v>
      </c>
      <c r="H53" s="574"/>
      <c r="I53" s="586"/>
      <c r="J53" s="574"/>
      <c r="K53" s="480" t="str">
        <f>+$C$5</f>
        <v>Tercer Trimestre</v>
      </c>
      <c r="L53" s="484" t="s">
        <v>792</v>
      </c>
      <c r="M53" s="482" t="s">
        <v>582</v>
      </c>
      <c r="N53" s="551" t="s">
        <v>767</v>
      </c>
      <c r="O53" s="552"/>
      <c r="P53" s="548" t="s">
        <v>674</v>
      </c>
      <c r="Q53" s="549"/>
      <c r="R53" s="549"/>
      <c r="S53" s="550"/>
      <c r="T53" s="553" t="s">
        <v>768</v>
      </c>
      <c r="U53" s="554"/>
      <c r="V53" s="574"/>
    </row>
    <row r="54" spans="2:23" ht="108" customHeight="1">
      <c r="B54" s="413">
        <f>+B48+1</f>
        <v>10</v>
      </c>
      <c r="C54" s="414" t="str">
        <f>'Rango en indicadores'!E14</f>
        <v>Avance en la  implementación de las mejores prácticas para la adecuada gestión de la infraestructura tecnológica de la Entidad</v>
      </c>
      <c r="D54" s="415" t="str">
        <f>'Rango en indicadores'!D14</f>
        <v>03-RI-06</v>
      </c>
      <c r="E54" s="430">
        <f>'03 Direccionamient TIC POA 2020'!AQ13</f>
        <v>0.4</v>
      </c>
      <c r="F54" s="430">
        <f>'03 Direccionamient TIC POA 2020'!AG13</f>
        <v>0.15000000000000002</v>
      </c>
      <c r="G54" s="430">
        <f>+'03 Direccionamient TIC POA 2020'!Q13+'03 Direccionamient TIC POA 2020'!Y13+'03 Direccionamient TIC POA 2020'!AG13</f>
        <v>0.30000000000000004</v>
      </c>
      <c r="H54" s="430">
        <f>+'03 Direccionamient TIC POA 2020'!AH13</f>
        <v>0.15000000000000002</v>
      </c>
      <c r="I54" s="430">
        <f>+'03 Direccionamient TIC POA 2020'!R13+'03 Direccionamient TIC POA 2020'!Z13+'03 Direccionamient TIC POA 2020'!AH13</f>
        <v>0.30000000000000004</v>
      </c>
      <c r="J54" s="430">
        <f>'03 Direccionamient TIC POA 2020'!AR13</f>
        <v>0.30000000000000004</v>
      </c>
      <c r="K54" s="431">
        <f t="shared" ref="K54:K59" si="3">IF(AND(F54&gt;0),H54/F54,"No programado")</f>
        <v>1</v>
      </c>
      <c r="L54" s="431">
        <f>IF(AND(G54&gt;0),I54/G54,"No programado")</f>
        <v>1</v>
      </c>
      <c r="M54" s="395">
        <f>'03 Direccionamient TIC POA 2020'!AS13</f>
        <v>0.75000000000000011</v>
      </c>
      <c r="N54" s="432" t="str">
        <f>'Rango en indicadores'!G14</f>
        <v>Mayor o igual A:</v>
      </c>
      <c r="O54" s="416">
        <f>'Rango en indicadores'!H14</f>
        <v>90</v>
      </c>
      <c r="P54" s="432" t="str">
        <f>'Rango en indicadores'!I14</f>
        <v>Desde (&gt;):</v>
      </c>
      <c r="Q54" s="416">
        <f>'Rango en indicadores'!J14</f>
        <v>69</v>
      </c>
      <c r="R54" s="432" t="str">
        <f>'Rango en indicadores'!K14</f>
        <v>Hasta (&lt;):</v>
      </c>
      <c r="S54" s="416">
        <f>'Rango en indicadores'!L14</f>
        <v>90</v>
      </c>
      <c r="T54" s="432" t="str">
        <f>'Rango en indicadores'!M14</f>
        <v>Menor o Igual A:</v>
      </c>
      <c r="U54" s="416">
        <f>'Rango en indicadores'!N14</f>
        <v>69</v>
      </c>
      <c r="V54" s="418" t="s">
        <v>825</v>
      </c>
    </row>
    <row r="55" spans="2:23" ht="123" customHeight="1">
      <c r="B55" s="413">
        <f>+B54+1</f>
        <v>11</v>
      </c>
      <c r="C55" s="414" t="str">
        <f>'Rango en indicadores'!E15</f>
        <v>Avance para mantener y evolucionar los sistemas de información de la Entidad acorde a las necesidades</v>
      </c>
      <c r="D55" s="415" t="str">
        <f>'Rango en indicadores'!D15</f>
        <v>03-RI-07</v>
      </c>
      <c r="E55" s="430">
        <f>'03 Direccionamient TIC POA 2020'!AQ14</f>
        <v>0.60000000000000009</v>
      </c>
      <c r="F55" s="430">
        <f>'03 Direccionamient TIC POA 2020'!AG14</f>
        <v>0.25</v>
      </c>
      <c r="G55" s="430">
        <f>+'03 Direccionamient TIC POA 2020'!Q14+'03 Direccionamient TIC POA 2020'!Y14+'03 Direccionamient TIC POA 2020'!AG14</f>
        <v>0.45</v>
      </c>
      <c r="H55" s="430">
        <f>+'03 Direccionamient TIC POA 2020'!AH14</f>
        <v>0.36499999999999999</v>
      </c>
      <c r="I55" s="430">
        <f>+'03 Direccionamient TIC POA 2020'!R14+'03 Direccionamient TIC POA 2020'!Z14+'03 Direccionamient TIC POA 2020'!AH14</f>
        <v>0.61</v>
      </c>
      <c r="J55" s="430">
        <f>'03 Direccionamient TIC POA 2020'!AR14</f>
        <v>0.61</v>
      </c>
      <c r="K55" s="431">
        <f t="shared" si="3"/>
        <v>1.46</v>
      </c>
      <c r="L55" s="431">
        <f t="shared" ref="L55" si="4">IF(AND(G55&gt;0),I55/G55,"No programado")</f>
        <v>1.3555555555555554</v>
      </c>
      <c r="M55" s="395">
        <f>'03 Direccionamient TIC POA 2020'!AS14</f>
        <v>1.0166666666666664</v>
      </c>
      <c r="N55" s="432" t="str">
        <f>'Rango en indicadores'!G15</f>
        <v>Mayor o igual A:</v>
      </c>
      <c r="O55" s="416">
        <f>'Rango en indicadores'!H15</f>
        <v>90</v>
      </c>
      <c r="P55" s="432" t="str">
        <f>'Rango en indicadores'!I15</f>
        <v>Desde (&gt;):</v>
      </c>
      <c r="Q55" s="416">
        <f>'Rango en indicadores'!J15</f>
        <v>69</v>
      </c>
      <c r="R55" s="432" t="str">
        <f>'Rango en indicadores'!K15</f>
        <v>Hasta (&lt;):</v>
      </c>
      <c r="S55" s="416">
        <f>'Rango en indicadores'!L15</f>
        <v>90</v>
      </c>
      <c r="T55" s="432" t="str">
        <f>'Rango en indicadores'!M15</f>
        <v>Menor o Igual A:</v>
      </c>
      <c r="U55" s="416">
        <f>'Rango en indicadores'!N15</f>
        <v>69</v>
      </c>
      <c r="V55" s="418" t="s">
        <v>826</v>
      </c>
      <c r="W55" s="501"/>
    </row>
    <row r="56" spans="2:23" ht="124.5" customHeight="1">
      <c r="B56" s="413">
        <f>+B55+1</f>
        <v>12</v>
      </c>
      <c r="C56" s="414" t="str">
        <f>'Rango en indicadores'!E16</f>
        <v>Avance en el desarrollo de las actividades requeridas para la implementación del Sistema de Gestión de Seguridad de la Información SGSI</v>
      </c>
      <c r="D56" s="415" t="str">
        <f>'Rango en indicadores'!D16</f>
        <v>03-RI-08</v>
      </c>
      <c r="E56" s="430">
        <f>'03 Direccionamient TIC POA 2020'!AQ15</f>
        <v>0.2</v>
      </c>
      <c r="F56" s="430">
        <f>'03 Direccionamient TIC POA 2020'!AG15</f>
        <v>0.1</v>
      </c>
      <c r="G56" s="430">
        <f>+'03 Direccionamient TIC POA 2020'!Q15+'03 Direccionamient TIC POA 2020'!Y15+'03 Direccionamient TIC POA 2020'!AG15</f>
        <v>0.2</v>
      </c>
      <c r="H56" s="430">
        <f>+'03 Direccionamient TIC POA 2020'!AH15</f>
        <v>6.5000000000000002E-2</v>
      </c>
      <c r="I56" s="430">
        <f>+'03 Direccionamient TIC POA 2020'!R15+'03 Direccionamient TIC POA 2020'!Z15+'03 Direccionamient TIC POA 2020'!AH15</f>
        <v>0.185</v>
      </c>
      <c r="J56" s="430">
        <f>'03 Direccionamient TIC POA 2020'!AR15</f>
        <v>0.185</v>
      </c>
      <c r="K56" s="431">
        <f t="shared" si="3"/>
        <v>0.65</v>
      </c>
      <c r="L56" s="431">
        <f>IF(AND(G56&gt;0),I56/G56,"No programado")</f>
        <v>0.92499999999999993</v>
      </c>
      <c r="M56" s="395">
        <f>'03 Direccionamient TIC POA 2020'!AS15</f>
        <v>0.92499999999999993</v>
      </c>
      <c r="N56" s="432" t="str">
        <f>'Rango en indicadores'!G16</f>
        <v>Mayor o igual A:</v>
      </c>
      <c r="O56" s="416">
        <f>'Rango en indicadores'!H16</f>
        <v>90</v>
      </c>
      <c r="P56" s="432" t="str">
        <f>'Rango en indicadores'!I16</f>
        <v>Desde (&gt;):</v>
      </c>
      <c r="Q56" s="416">
        <f>'Rango en indicadores'!J16</f>
        <v>69</v>
      </c>
      <c r="R56" s="432" t="str">
        <f>'Rango en indicadores'!K16</f>
        <v>Hasta (&lt;):</v>
      </c>
      <c r="S56" s="416">
        <f>'Rango en indicadores'!L16</f>
        <v>90</v>
      </c>
      <c r="T56" s="432" t="str">
        <f>'Rango en indicadores'!M16</f>
        <v>Menor o Igual A:</v>
      </c>
      <c r="U56" s="416">
        <f>'Rango en indicadores'!N16</f>
        <v>69</v>
      </c>
      <c r="V56" s="418" t="s">
        <v>827</v>
      </c>
    </row>
    <row r="57" spans="2:23" ht="102.75" customHeight="1">
      <c r="B57" s="413">
        <f>+B56+1</f>
        <v>13</v>
      </c>
      <c r="C57" s="414" t="str">
        <f>'Rango en indicadores'!E17</f>
        <v>Avance del desarrollo del plan de acción enmarcadas en el manual de la política de Gobierno Digital</v>
      </c>
      <c r="D57" s="415" t="str">
        <f>'Rango en indicadores'!D17</f>
        <v>03-RI-09</v>
      </c>
      <c r="E57" s="430">
        <f>'03 Direccionamient TIC POA 2020'!AQ16</f>
        <v>0.4</v>
      </c>
      <c r="F57" s="430">
        <f>'03 Direccionamient TIC POA 2020'!AG16</f>
        <v>0.15000000000000002</v>
      </c>
      <c r="G57" s="430">
        <f>+'03 Direccionamient TIC POA 2020'!Q16+'03 Direccionamient TIC POA 2020'!Y16+'03 Direccionamient TIC POA 2020'!AG16</f>
        <v>0.35000000000000003</v>
      </c>
      <c r="H57" s="430">
        <f>+'03 Direccionamient TIC POA 2020'!AH16</f>
        <v>0.15000000000000002</v>
      </c>
      <c r="I57" s="430">
        <f>+'03 Direccionamient TIC POA 2020'!R16+'03 Direccionamient TIC POA 2020'!Z16+'03 Direccionamient TIC POA 2020'!AH16</f>
        <v>0.35000000000000003</v>
      </c>
      <c r="J57" s="430">
        <f>'03 Direccionamient TIC POA 2020'!AR16</f>
        <v>0.35000000000000003</v>
      </c>
      <c r="K57" s="431">
        <f t="shared" si="3"/>
        <v>1</v>
      </c>
      <c r="L57" s="431">
        <f>IF(AND(G57&gt;0),I57/G57,"No programado")</f>
        <v>1</v>
      </c>
      <c r="M57" s="395">
        <f>'03 Direccionamient TIC POA 2020'!AS16</f>
        <v>0.875</v>
      </c>
      <c r="N57" s="432" t="str">
        <f>'Rango en indicadores'!G17</f>
        <v>Mayor o igual A:</v>
      </c>
      <c r="O57" s="416">
        <f>'Rango en indicadores'!H17</f>
        <v>90</v>
      </c>
      <c r="P57" s="432" t="str">
        <f>'Rango en indicadores'!I17</f>
        <v>Desde (&gt;):</v>
      </c>
      <c r="Q57" s="416">
        <f>'Rango en indicadores'!J17</f>
        <v>69</v>
      </c>
      <c r="R57" s="432" t="str">
        <f>'Rango en indicadores'!K17</f>
        <v>Hasta (&lt;):</v>
      </c>
      <c r="S57" s="416">
        <f>'Rango en indicadores'!L17</f>
        <v>90</v>
      </c>
      <c r="T57" s="432" t="str">
        <f>'Rango en indicadores'!M17</f>
        <v>Menor o Igual A:</v>
      </c>
      <c r="U57" s="416">
        <f>'Rango en indicadores'!N17</f>
        <v>69</v>
      </c>
      <c r="V57" s="418" t="s">
        <v>828</v>
      </c>
    </row>
    <row r="58" spans="2:23" ht="177.75" customHeight="1">
      <c r="B58" s="413">
        <f>+B57+1</f>
        <v>14</v>
      </c>
      <c r="C58" s="414" t="str">
        <f>'Rango en indicadores'!E18</f>
        <v>Porcentaje de requerimientos atendidos oportunamente</v>
      </c>
      <c r="D58" s="415" t="str">
        <f>'Rango en indicadores'!D18</f>
        <v>03-RI-10</v>
      </c>
      <c r="E58" s="430">
        <f>'03 Direccionamient TIC POA 2020'!AQ17</f>
        <v>0.91249999999999998</v>
      </c>
      <c r="F58" s="430">
        <f>'03 Direccionamient TIC POA 2020'!AG17</f>
        <v>0.9</v>
      </c>
      <c r="G58" s="420">
        <f>ROUNDDOWN(AVERAGE('03 Direccionamient TIC POA 2020'!Q17,'03 Direccionamient TIC POA 2020'!Y17,'03 Direccionamient TIC POA 2020'!AG17),3)</f>
        <v>0.91600000000000004</v>
      </c>
      <c r="H58" s="430">
        <f>+'03 Direccionamient TIC POA 2020'!AH17</f>
        <v>0.90700000000000003</v>
      </c>
      <c r="I58" s="420">
        <f>ROUNDDOWN(AVERAGE('03 Direccionamient TIC POA 2020'!R17,'03 Direccionamient TIC POA 2020'!Z17,'03 Direccionamient TIC POA 2020'!AH17),3)</f>
        <v>0.92900000000000005</v>
      </c>
      <c r="J58" s="430">
        <f>'03 Direccionamient TIC POA 2020'!AR17</f>
        <v>0.93</v>
      </c>
      <c r="K58" s="431">
        <f t="shared" si="3"/>
        <v>1.0077777777777779</v>
      </c>
      <c r="L58" s="431">
        <f>IF(AND(G58&gt;0),I58/G58,"No programado")</f>
        <v>1.0141921397379914</v>
      </c>
      <c r="M58" s="395">
        <f>'03 Direccionamient TIC POA 2020'!AS17</f>
        <v>1.0191780821917809</v>
      </c>
      <c r="N58" s="432" t="str">
        <f>'Rango en indicadores'!G18</f>
        <v>Mayor o igual A:</v>
      </c>
      <c r="O58" s="416">
        <f>'Rango en indicadores'!H18</f>
        <v>90</v>
      </c>
      <c r="P58" s="432" t="str">
        <f>'Rango en indicadores'!I18</f>
        <v>Desde (&gt;):</v>
      </c>
      <c r="Q58" s="416">
        <f>'Rango en indicadores'!J18</f>
        <v>69</v>
      </c>
      <c r="R58" s="432" t="str">
        <f>'Rango en indicadores'!K18</f>
        <v>Hasta (&lt;):</v>
      </c>
      <c r="S58" s="416">
        <f>'Rango en indicadores'!L18</f>
        <v>90</v>
      </c>
      <c r="T58" s="432" t="str">
        <f>'Rango en indicadores'!M18</f>
        <v>Menor o Igual A:</v>
      </c>
      <c r="U58" s="416">
        <f>'Rango en indicadores'!N18</f>
        <v>69</v>
      </c>
      <c r="V58" s="418" t="s">
        <v>905</v>
      </c>
    </row>
    <row r="59" spans="2:23" ht="240.75" customHeight="1">
      <c r="B59" s="413">
        <f>+B58+1</f>
        <v>15</v>
      </c>
      <c r="C59" s="414" t="str">
        <f>'Rango en indicadores'!E19</f>
        <v>Porcentaje de usuarios satisfechos</v>
      </c>
      <c r="D59" s="415" t="str">
        <f>'Rango en indicadores'!D19</f>
        <v>03-RI-11</v>
      </c>
      <c r="E59" s="430">
        <f>'03 Direccionamient TIC POA 2020'!AQ18</f>
        <v>0.91249999999999998</v>
      </c>
      <c r="F59" s="430">
        <f>'03 Direccionamient TIC POA 2020'!AG18</f>
        <v>0.9</v>
      </c>
      <c r="G59" s="420">
        <f>ROUNDDOWN(AVERAGE('03 Direccionamient TIC POA 2020'!Q18,'03 Direccionamient TIC POA 2020'!Y18,'03 Direccionamient TIC POA 2020'!AG18),3)</f>
        <v>0.91600000000000004</v>
      </c>
      <c r="H59" s="430">
        <f>+'03 Direccionamient TIC POA 2020'!AH18</f>
        <v>0.96199999999999997</v>
      </c>
      <c r="I59" s="420">
        <f>ROUNDDOWN(AVERAGE('03 Direccionamient TIC POA 2020'!R18,'03 Direccionamient TIC POA 2020'!Z18,'03 Direccionamient TIC POA 2020'!AH17),3)</f>
        <v>0.94299999999999995</v>
      </c>
      <c r="J59" s="430">
        <f>'03 Direccionamient TIC POA 2020'!AR18</f>
        <v>0.96199999999999997</v>
      </c>
      <c r="K59" s="431">
        <f t="shared" si="3"/>
        <v>1.0688888888888888</v>
      </c>
      <c r="L59" s="431">
        <f>IF(AND(G59&gt;0),I59/G59,"No programado")</f>
        <v>1.0294759825327511</v>
      </c>
      <c r="M59" s="395">
        <f>'03 Direccionamient TIC POA 2020'!AS18</f>
        <v>1.0542465753424657</v>
      </c>
      <c r="N59" s="432" t="str">
        <f>'Rango en indicadores'!G19</f>
        <v>Mayor o igual A:</v>
      </c>
      <c r="O59" s="416">
        <f>'Rango en indicadores'!H19</f>
        <v>90</v>
      </c>
      <c r="P59" s="432" t="str">
        <f>'Rango en indicadores'!I19</f>
        <v>Desde (&gt;):</v>
      </c>
      <c r="Q59" s="416">
        <f>'Rango en indicadores'!J19</f>
        <v>69</v>
      </c>
      <c r="R59" s="432" t="str">
        <f>'Rango en indicadores'!K19</f>
        <v>Hasta (&lt;):</v>
      </c>
      <c r="S59" s="416">
        <f>'Rango en indicadores'!L19</f>
        <v>90</v>
      </c>
      <c r="T59" s="432" t="str">
        <f>'Rango en indicadores'!M19</f>
        <v>Menor o Igual A:</v>
      </c>
      <c r="U59" s="416">
        <f>'Rango en indicadores'!N19</f>
        <v>69</v>
      </c>
      <c r="V59" s="418" t="s">
        <v>906</v>
      </c>
    </row>
    <row r="60" spans="2:23" ht="15.75">
      <c r="C60" s="587" t="s">
        <v>615</v>
      </c>
      <c r="D60" s="588"/>
      <c r="E60" s="588"/>
      <c r="F60" s="588"/>
      <c r="G60" s="588"/>
      <c r="H60" s="588"/>
      <c r="I60" s="588"/>
      <c r="J60" s="589"/>
      <c r="K60" s="422">
        <f>IFERROR(AVERAGE(K54:K59),0)</f>
        <v>1.0311111111111111</v>
      </c>
      <c r="L60" s="422">
        <f>IFERROR(AVERAGE(L54:L59),0)</f>
        <v>1.0540372796377162</v>
      </c>
      <c r="M60" s="422">
        <f>IFERROR(AVERAGE(M54:M59),0)</f>
        <v>0.9400152207001522</v>
      </c>
      <c r="N60" s="423"/>
      <c r="O60" s="423"/>
      <c r="P60" s="423"/>
      <c r="Q60" s="423"/>
      <c r="R60" s="423"/>
      <c r="S60" s="423"/>
      <c r="T60" s="423"/>
      <c r="U60" s="423"/>
      <c r="V60" s="424"/>
    </row>
    <row r="61" spans="2:23" s="407" customFormat="1">
      <c r="D61" s="408"/>
      <c r="V61" s="409"/>
    </row>
    <row r="62" spans="2:23" s="407" customFormat="1" ht="15.75">
      <c r="C62" s="410" t="s">
        <v>623</v>
      </c>
      <c r="D62" s="429"/>
      <c r="V62" s="409"/>
    </row>
    <row r="63" spans="2:23" ht="34.5" customHeight="1">
      <c r="C63" s="575" t="s">
        <v>605</v>
      </c>
      <c r="D63" s="574" t="s">
        <v>606</v>
      </c>
      <c r="E63" s="576" t="s">
        <v>607</v>
      </c>
      <c r="F63" s="577"/>
      <c r="G63" s="578"/>
      <c r="H63" s="574" t="s">
        <v>608</v>
      </c>
      <c r="I63" s="586" t="str">
        <f>$I$31</f>
        <v>Ejecución Acumulada Corte
30/09/2020</v>
      </c>
      <c r="J63" s="574" t="s">
        <v>609</v>
      </c>
      <c r="K63" s="574" t="s">
        <v>581</v>
      </c>
      <c r="L63" s="574"/>
      <c r="M63" s="574"/>
      <c r="N63" s="573" t="s">
        <v>679</v>
      </c>
      <c r="O63" s="573"/>
      <c r="P63" s="573"/>
      <c r="Q63" s="573"/>
      <c r="R63" s="573"/>
      <c r="S63" s="573"/>
      <c r="T63" s="573"/>
      <c r="U63" s="573"/>
      <c r="V63" s="574" t="s">
        <v>610</v>
      </c>
    </row>
    <row r="64" spans="2:23" ht="36.75" customHeight="1">
      <c r="C64" s="575"/>
      <c r="D64" s="574"/>
      <c r="E64" s="411" t="s">
        <v>673</v>
      </c>
      <c r="F64" s="411" t="str">
        <f>$C$5</f>
        <v>Tercer Trimestre</v>
      </c>
      <c r="G64" s="484" t="str">
        <f>$G$31</f>
        <v>Acumulada Corte
30/09/2020</v>
      </c>
      <c r="H64" s="574"/>
      <c r="I64" s="586"/>
      <c r="J64" s="574"/>
      <c r="K64" s="411" t="str">
        <f>+$C$5</f>
        <v>Tercer Trimestre</v>
      </c>
      <c r="L64" s="484" t="str">
        <f>$L$31</f>
        <v>Acumulado Corte 30/09/2020</v>
      </c>
      <c r="M64" s="412" t="s">
        <v>582</v>
      </c>
      <c r="N64" s="551" t="s">
        <v>767</v>
      </c>
      <c r="O64" s="552"/>
      <c r="P64" s="548" t="s">
        <v>674</v>
      </c>
      <c r="Q64" s="549"/>
      <c r="R64" s="549"/>
      <c r="S64" s="550"/>
      <c r="T64" s="553" t="s">
        <v>768</v>
      </c>
      <c r="U64" s="554"/>
      <c r="V64" s="574"/>
    </row>
    <row r="65" spans="2:22" ht="114" customHeight="1">
      <c r="B65" s="413">
        <f>+B59+1</f>
        <v>16</v>
      </c>
      <c r="C65" s="414" t="str">
        <f>'Rango en indicadores'!E20</f>
        <v>Porcentaje de avance en el diseño e implementación de la estrategia de comunicación para la socialización de los servicios que brindan las personería locales</v>
      </c>
      <c r="D65" s="415" t="str">
        <f>'Rango en indicadores'!D20</f>
        <v>04-RI-01</v>
      </c>
      <c r="E65" s="430">
        <f>'04 Comunicación Estrat POA 2020'!AQ13</f>
        <v>1</v>
      </c>
      <c r="F65" s="430">
        <f>+'04 Comunicación Estrat POA 2020'!AG13</f>
        <v>1</v>
      </c>
      <c r="G65" s="420">
        <f>ROUNDDOWN(AVERAGE('04 Comunicación Estrat POA 2020'!Q13,'04 Comunicación Estrat POA 2020'!Y13,'04 Comunicación Estrat POA 2020'!AG13),3)</f>
        <v>1</v>
      </c>
      <c r="H65" s="430">
        <f>+'04 Comunicación Estrat POA 2020'!AH13</f>
        <v>1</v>
      </c>
      <c r="I65" s="420">
        <f>ROUNDDOWN(AVERAGE('04 Comunicación Estrat POA 2020'!R13,'04 Comunicación Estrat POA 2020'!Z13,'04 Comunicación Estrat POA 2020'!AH13),3)</f>
        <v>1</v>
      </c>
      <c r="J65" s="430">
        <f>'04 Comunicación Estrat POA 2020'!AR13</f>
        <v>1</v>
      </c>
      <c r="K65" s="431">
        <f>IF(AND(F65&gt;0),H65/F65,"No programado")</f>
        <v>1</v>
      </c>
      <c r="L65" s="431">
        <f>IF(AND(G65&gt;0),I65/G65,"No programado")</f>
        <v>1</v>
      </c>
      <c r="M65" s="395">
        <f>'04 Comunicación Estrat POA 2020'!AS13</f>
        <v>1</v>
      </c>
      <c r="N65" s="432" t="str">
        <f>'Rango en indicadores'!G20</f>
        <v>Mayor o igual A:</v>
      </c>
      <c r="O65" s="416">
        <f>'Rango en indicadores'!H20</f>
        <v>90</v>
      </c>
      <c r="P65" s="432" t="str">
        <f>'Rango en indicadores'!I20</f>
        <v>Desde (&gt;):</v>
      </c>
      <c r="Q65" s="416">
        <f>'Rango en indicadores'!J20</f>
        <v>69</v>
      </c>
      <c r="R65" s="432" t="str">
        <f>'Rango en indicadores'!K20</f>
        <v>Hasta (&lt;):</v>
      </c>
      <c r="S65" s="416">
        <f>'Rango en indicadores'!L20</f>
        <v>90</v>
      </c>
      <c r="T65" s="432" t="str">
        <f>'Rango en indicadores'!M20</f>
        <v>Menor o Igual A:</v>
      </c>
      <c r="U65" s="416">
        <f>'Rango en indicadores'!N20</f>
        <v>69</v>
      </c>
      <c r="V65" s="418" t="s">
        <v>793</v>
      </c>
    </row>
    <row r="66" spans="2:22" ht="109.5" customHeight="1">
      <c r="B66" s="413">
        <f>+B65+1</f>
        <v>17</v>
      </c>
      <c r="C66" s="414" t="str">
        <f>'Rango en indicadores'!E21</f>
        <v>Porcentaje de avance en el diseño y ejecución de la campaña de sensibilización para ayudar a promover los derechos de las personas en el Distrito Capital.</v>
      </c>
      <c r="D66" s="415" t="str">
        <f>'Rango en indicadores'!D21</f>
        <v>04-RI-02</v>
      </c>
      <c r="E66" s="430">
        <f>'04 Comunicación Estrat POA 2020'!AQ14</f>
        <v>1</v>
      </c>
      <c r="F66" s="430">
        <f>+'04 Comunicación Estrat POA 2020'!AG14</f>
        <v>1</v>
      </c>
      <c r="G66" s="420">
        <f>ROUNDDOWN(AVERAGE('04 Comunicación Estrat POA 2020'!Q14,'04 Comunicación Estrat POA 2020'!Y14,'04 Comunicación Estrat POA 2020'!AG14),3)</f>
        <v>1</v>
      </c>
      <c r="H66" s="430">
        <f>+'04 Comunicación Estrat POA 2020'!AH14</f>
        <v>1</v>
      </c>
      <c r="I66" s="420">
        <f>ROUNDDOWN(AVERAGE('04 Comunicación Estrat POA 2020'!R14,'04 Comunicación Estrat POA 2020'!Z14,'04 Comunicación Estrat POA 2020'!AH14),3)</f>
        <v>1</v>
      </c>
      <c r="J66" s="430">
        <f>'04 Comunicación Estrat POA 2020'!AR14</f>
        <v>1</v>
      </c>
      <c r="K66" s="431">
        <f>IF(AND(F66&gt;0),H66/F66,"No programado")</f>
        <v>1</v>
      </c>
      <c r="L66" s="431">
        <f t="shared" ref="L66:L68" si="5">IF(AND(G66&gt;0),I66/G66,"No programado")</f>
        <v>1</v>
      </c>
      <c r="M66" s="395">
        <f>'04 Comunicación Estrat POA 2020'!AS14</f>
        <v>1</v>
      </c>
      <c r="N66" s="432" t="str">
        <f>'Rango en indicadores'!G21</f>
        <v>Mayor o igual A:</v>
      </c>
      <c r="O66" s="416">
        <f>'Rango en indicadores'!H21</f>
        <v>90</v>
      </c>
      <c r="P66" s="432" t="str">
        <f>'Rango en indicadores'!I21</f>
        <v>Desde (&gt;):</v>
      </c>
      <c r="Q66" s="416">
        <f>'Rango en indicadores'!J21</f>
        <v>69</v>
      </c>
      <c r="R66" s="432" t="str">
        <f>'Rango en indicadores'!K21</f>
        <v>Hasta (&lt;):</v>
      </c>
      <c r="S66" s="416">
        <f>'Rango en indicadores'!L21</f>
        <v>90</v>
      </c>
      <c r="T66" s="432" t="str">
        <f>'Rango en indicadores'!M21</f>
        <v>Menor o Igual A:</v>
      </c>
      <c r="U66" s="416">
        <f>'Rango en indicadores'!N21</f>
        <v>69</v>
      </c>
      <c r="V66" s="418" t="s">
        <v>793</v>
      </c>
    </row>
    <row r="67" spans="2:22" ht="112.5" customHeight="1">
      <c r="B67" s="413">
        <f>+B66+1</f>
        <v>18</v>
      </c>
      <c r="C67" s="414" t="str">
        <f>'Rango en indicadores'!E22</f>
        <v>Porcentaje de avance en el diseño y ejecución de la campaña de divulgación para contribuir en la promoción de los derechos humanos en el distrito capital</v>
      </c>
      <c r="D67" s="415" t="str">
        <f>'Rango en indicadores'!D22</f>
        <v>04-RI-03</v>
      </c>
      <c r="E67" s="430">
        <f>'04 Comunicación Estrat POA 2020'!AQ15</f>
        <v>1</v>
      </c>
      <c r="F67" s="430">
        <f>+'04 Comunicación Estrat POA 2020'!AG15</f>
        <v>1</v>
      </c>
      <c r="G67" s="420">
        <f>ROUNDDOWN(AVERAGE('04 Comunicación Estrat POA 2020'!Q15,'04 Comunicación Estrat POA 2020'!Y15,'04 Comunicación Estrat POA 2020'!AG15),3)</f>
        <v>1</v>
      </c>
      <c r="H67" s="430">
        <f>+'04 Comunicación Estrat POA 2020'!AH15</f>
        <v>1</v>
      </c>
      <c r="I67" s="420">
        <f>ROUNDDOWN(AVERAGE('04 Comunicación Estrat POA 2020'!R15,'04 Comunicación Estrat POA 2020'!Z15,'04 Comunicación Estrat POA 2020'!AH15),3)</f>
        <v>1</v>
      </c>
      <c r="J67" s="430">
        <f>'04 Comunicación Estrat POA 2020'!AR15</f>
        <v>1</v>
      </c>
      <c r="K67" s="431">
        <f>IF(AND(F67&gt;0),H67/F67,"No programado")</f>
        <v>1</v>
      </c>
      <c r="L67" s="431">
        <f t="shared" si="5"/>
        <v>1</v>
      </c>
      <c r="M67" s="395">
        <f>'04 Comunicación Estrat POA 2020'!AS15</f>
        <v>1</v>
      </c>
      <c r="N67" s="432" t="str">
        <f>'Rango en indicadores'!G22</f>
        <v>Mayor o igual A:</v>
      </c>
      <c r="O67" s="416">
        <f>'Rango en indicadores'!H22</f>
        <v>90</v>
      </c>
      <c r="P67" s="432" t="str">
        <f>'Rango en indicadores'!I22</f>
        <v>Desde (&gt;):</v>
      </c>
      <c r="Q67" s="416">
        <f>'Rango en indicadores'!J22</f>
        <v>69</v>
      </c>
      <c r="R67" s="432" t="str">
        <f>'Rango en indicadores'!K22</f>
        <v>Hasta (&lt;):</v>
      </c>
      <c r="S67" s="416">
        <f>'Rango en indicadores'!L22</f>
        <v>90</v>
      </c>
      <c r="T67" s="432" t="str">
        <f>'Rango en indicadores'!M22</f>
        <v>Menor o Igual A:</v>
      </c>
      <c r="U67" s="416">
        <f>'Rango en indicadores'!N22</f>
        <v>69</v>
      </c>
      <c r="V67" s="418" t="s">
        <v>793</v>
      </c>
    </row>
    <row r="68" spans="2:22" ht="107.25" customHeight="1">
      <c r="B68" s="413">
        <f>+B67+1</f>
        <v>19</v>
      </c>
      <c r="C68" s="414" t="str">
        <f>'Rango en indicadores'!E23</f>
        <v>Porcentaje de avance en el diseño y ejecución de la campaña de divulgación para promover una Cultura de Calidad, Buen Servicio y Mejora Continua</v>
      </c>
      <c r="D68" s="415" t="str">
        <f>'Rango en indicadores'!D23</f>
        <v>04-RI-04</v>
      </c>
      <c r="E68" s="430">
        <f>'04 Comunicación Estrat POA 2020'!AQ16</f>
        <v>1</v>
      </c>
      <c r="F68" s="430">
        <f>+'04 Comunicación Estrat POA 2020'!AG16</f>
        <v>1</v>
      </c>
      <c r="G68" s="420">
        <f>ROUNDDOWN(AVERAGE('04 Comunicación Estrat POA 2020'!Q16,'04 Comunicación Estrat POA 2020'!Y16,'04 Comunicación Estrat POA 2020'!AG16),3)</f>
        <v>1</v>
      </c>
      <c r="H68" s="430">
        <f>+'04 Comunicación Estrat POA 2020'!AH16</f>
        <v>1</v>
      </c>
      <c r="I68" s="420">
        <f>ROUNDDOWN(AVERAGE('04 Comunicación Estrat POA 2020'!R16,'04 Comunicación Estrat POA 2020'!Z16,'04 Comunicación Estrat POA 2020'!AH16),3)</f>
        <v>1</v>
      </c>
      <c r="J68" s="430">
        <f>'04 Comunicación Estrat POA 2020'!AR16</f>
        <v>1</v>
      </c>
      <c r="K68" s="431">
        <f>IF(AND(F68&gt;0),H68/F68,"No programado")</f>
        <v>1</v>
      </c>
      <c r="L68" s="431">
        <f t="shared" si="5"/>
        <v>1</v>
      </c>
      <c r="M68" s="395">
        <f>'04 Comunicación Estrat POA 2020'!AS16</f>
        <v>1</v>
      </c>
      <c r="N68" s="432" t="str">
        <f>'Rango en indicadores'!G23</f>
        <v>Mayor o igual A:</v>
      </c>
      <c r="O68" s="416">
        <f>'Rango en indicadores'!H23</f>
        <v>90</v>
      </c>
      <c r="P68" s="432" t="str">
        <f>'Rango en indicadores'!I23</f>
        <v>Desde (&gt;):</v>
      </c>
      <c r="Q68" s="416">
        <f>'Rango en indicadores'!J23</f>
        <v>69</v>
      </c>
      <c r="R68" s="432" t="str">
        <f>'Rango en indicadores'!K23</f>
        <v>Hasta (&lt;):</v>
      </c>
      <c r="S68" s="416">
        <f>'Rango en indicadores'!L23</f>
        <v>90</v>
      </c>
      <c r="T68" s="432" t="str">
        <f>'Rango en indicadores'!M23</f>
        <v>Menor o Igual A:</v>
      </c>
      <c r="U68" s="416">
        <f>'Rango en indicadores'!N23</f>
        <v>69</v>
      </c>
      <c r="V68" s="418" t="s">
        <v>793</v>
      </c>
    </row>
    <row r="69" spans="2:22" ht="107.25" customHeight="1">
      <c r="B69" s="413">
        <f>+B68+1</f>
        <v>20</v>
      </c>
      <c r="C69" s="414" t="str">
        <f>'Rango en indicadores'!E24</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D69" s="415" t="str">
        <f>'Rango en indicadores'!D24</f>
        <v>04-RI-05</v>
      </c>
      <c r="E69" s="430">
        <f>'04 Comunicación Estrat POA 2020'!AQ17</f>
        <v>1</v>
      </c>
      <c r="F69" s="430">
        <f>+'04 Comunicación Estrat POA 2020'!AG17</f>
        <v>1</v>
      </c>
      <c r="G69" s="420">
        <f>ROUNDDOWN(AVERAGE('04 Comunicación Estrat POA 2020'!Q17,'04 Comunicación Estrat POA 2020'!Y17,'04 Comunicación Estrat POA 2020'!AG17),3)</f>
        <v>1</v>
      </c>
      <c r="H69" s="430">
        <f>+'04 Comunicación Estrat POA 2020'!AH17</f>
        <v>1</v>
      </c>
      <c r="I69" s="420">
        <f>ROUNDDOWN(AVERAGE('04 Comunicación Estrat POA 2020'!R17,'04 Comunicación Estrat POA 2020'!Z17,'04 Comunicación Estrat POA 2020'!AH17),3)</f>
        <v>1</v>
      </c>
      <c r="J69" s="430">
        <f>'04 Comunicación Estrat POA 2020'!AR17</f>
        <v>1</v>
      </c>
      <c r="K69" s="431">
        <f>IF(AND(F69&gt;0),H69/F69,"No programado")</f>
        <v>1</v>
      </c>
      <c r="L69" s="431">
        <f>IF(AND(G69&gt;0),I69/G69,"No programado")</f>
        <v>1</v>
      </c>
      <c r="M69" s="395">
        <f>'04 Comunicación Estrat POA 2020'!AS17</f>
        <v>1</v>
      </c>
      <c r="N69" s="432" t="str">
        <f>'Rango en indicadores'!G24</f>
        <v>Mayor o igual A:</v>
      </c>
      <c r="O69" s="416">
        <f>'Rango en indicadores'!H24</f>
        <v>90</v>
      </c>
      <c r="P69" s="432" t="str">
        <f>'Rango en indicadores'!I24</f>
        <v>Desde (&gt;):</v>
      </c>
      <c r="Q69" s="416">
        <f>'Rango en indicadores'!J24</f>
        <v>69</v>
      </c>
      <c r="R69" s="432" t="str">
        <f>'Rango en indicadores'!K24</f>
        <v>Hasta (&lt;):</v>
      </c>
      <c r="S69" s="416">
        <f>'Rango en indicadores'!L24</f>
        <v>90</v>
      </c>
      <c r="T69" s="432" t="str">
        <f>'Rango en indicadores'!M24</f>
        <v>Menor o Igual A:</v>
      </c>
      <c r="U69" s="416">
        <f>'Rango en indicadores'!N24</f>
        <v>69</v>
      </c>
      <c r="V69" s="418" t="s">
        <v>793</v>
      </c>
    </row>
    <row r="70" spans="2:22" ht="15.75">
      <c r="C70" s="587" t="s">
        <v>615</v>
      </c>
      <c r="D70" s="588"/>
      <c r="E70" s="588"/>
      <c r="F70" s="588"/>
      <c r="G70" s="588"/>
      <c r="H70" s="588"/>
      <c r="I70" s="588"/>
      <c r="J70" s="589"/>
      <c r="K70" s="422">
        <f>IFERROR(AVERAGE(K65:K69),0)</f>
        <v>1</v>
      </c>
      <c r="L70" s="422">
        <f>IFERROR(AVERAGE(L65:L69),0)</f>
        <v>1</v>
      </c>
      <c r="M70" s="422">
        <f>IFERROR(AVERAGE(M65:M69),0)</f>
        <v>1</v>
      </c>
      <c r="N70" s="434"/>
      <c r="O70" s="434"/>
      <c r="P70" s="434"/>
      <c r="Q70" s="434"/>
      <c r="R70" s="434"/>
      <c r="S70" s="434"/>
      <c r="T70" s="434"/>
      <c r="U70" s="434"/>
      <c r="V70" s="424"/>
    </row>
    <row r="71" spans="2:22" s="407" customFormat="1">
      <c r="D71" s="408"/>
      <c r="V71" s="409"/>
    </row>
    <row r="72" spans="2:22" s="407" customFormat="1" ht="15.75">
      <c r="C72" s="410" t="s">
        <v>627</v>
      </c>
      <c r="D72" s="429"/>
      <c r="V72" s="409"/>
    </row>
    <row r="73" spans="2:22" ht="33" customHeight="1">
      <c r="C73" s="575" t="s">
        <v>605</v>
      </c>
      <c r="D73" s="574" t="s">
        <v>606</v>
      </c>
      <c r="E73" s="576" t="s">
        <v>607</v>
      </c>
      <c r="F73" s="577"/>
      <c r="G73" s="578"/>
      <c r="H73" s="574" t="s">
        <v>608</v>
      </c>
      <c r="I73" s="586" t="str">
        <f>$I$31</f>
        <v>Ejecución Acumulada Corte
30/09/2020</v>
      </c>
      <c r="J73" s="574" t="s">
        <v>609</v>
      </c>
      <c r="K73" s="574" t="s">
        <v>581</v>
      </c>
      <c r="L73" s="574"/>
      <c r="M73" s="574"/>
      <c r="N73" s="573" t="s">
        <v>679</v>
      </c>
      <c r="O73" s="573"/>
      <c r="P73" s="573"/>
      <c r="Q73" s="573"/>
      <c r="R73" s="573"/>
      <c r="S73" s="573"/>
      <c r="T73" s="573"/>
      <c r="U73" s="573"/>
      <c r="V73" s="593" t="s">
        <v>610</v>
      </c>
    </row>
    <row r="74" spans="2:22" ht="42" customHeight="1">
      <c r="C74" s="575"/>
      <c r="D74" s="574"/>
      <c r="E74" s="411" t="s">
        <v>673</v>
      </c>
      <c r="F74" s="411" t="str">
        <f>$C$5</f>
        <v>Tercer Trimestre</v>
      </c>
      <c r="G74" s="484" t="str">
        <f>$G$31</f>
        <v>Acumulada Corte
30/09/2020</v>
      </c>
      <c r="H74" s="574"/>
      <c r="I74" s="586"/>
      <c r="J74" s="574"/>
      <c r="K74" s="411" t="str">
        <f>+$C$5</f>
        <v>Tercer Trimestre</v>
      </c>
      <c r="L74" s="484" t="str">
        <f>$L$31</f>
        <v>Acumulado Corte 30/09/2020</v>
      </c>
      <c r="M74" s="411" t="s">
        <v>582</v>
      </c>
      <c r="N74" s="551" t="s">
        <v>767</v>
      </c>
      <c r="O74" s="552"/>
      <c r="P74" s="548" t="s">
        <v>674</v>
      </c>
      <c r="Q74" s="549"/>
      <c r="R74" s="549"/>
      <c r="S74" s="550"/>
      <c r="T74" s="553" t="s">
        <v>768</v>
      </c>
      <c r="U74" s="554"/>
      <c r="V74" s="593"/>
    </row>
    <row r="75" spans="2:22" ht="45.75" customHeight="1">
      <c r="B75" s="413">
        <f>+B69+1</f>
        <v>21</v>
      </c>
      <c r="C75" s="414" t="str">
        <f>'Rango en indicadores'!E85</f>
        <v>Lineamientos mínimos requeridos</v>
      </c>
      <c r="D75" s="415" t="str">
        <f>'Rango en indicadores'!D85</f>
        <v>14-RI-01</v>
      </c>
      <c r="E75" s="430">
        <f>'14 Servicio al Usuario POA 2020'!AQ13</f>
        <v>1</v>
      </c>
      <c r="F75" s="430">
        <f>+'14 Servicio al Usuario POA 2020'!AG13</f>
        <v>0</v>
      </c>
      <c r="G75" s="430">
        <f>+'14 Servicio al Usuario POA 2020'!Q13+'14 Servicio al Usuario POA 2020'!Y13+'14 Servicio al Usuario POA 2020'!AG13</f>
        <v>1</v>
      </c>
      <c r="H75" s="430">
        <f>+'14 Servicio al Usuario POA 2020'!AH13</f>
        <v>0.1</v>
      </c>
      <c r="I75" s="430">
        <f>+'14 Servicio al Usuario POA 2020'!R13+'14 Servicio al Usuario POA 2020'!Z13+'14 Servicio al Usuario POA 2020'!AH13</f>
        <v>1</v>
      </c>
      <c r="J75" s="430">
        <f>'14 Servicio al Usuario POA 2020'!AR13</f>
        <v>1</v>
      </c>
      <c r="K75" s="395" t="str">
        <f>IF(AND(F75&gt;0),H75/F75,"No programado")</f>
        <v>No programado</v>
      </c>
      <c r="L75" s="395">
        <f>IF(AND(G75&gt;0),I75/G75,"No programado")</f>
        <v>1</v>
      </c>
      <c r="M75" s="395">
        <f>'14 Servicio al Usuario POA 2020'!AS13</f>
        <v>1</v>
      </c>
      <c r="N75" s="435" t="str">
        <f>'Rango en indicadores'!G85</f>
        <v>Mayor o igual A:</v>
      </c>
      <c r="O75" s="416">
        <f>'Rango en indicadores'!H85</f>
        <v>90</v>
      </c>
      <c r="P75" s="435" t="str">
        <f>'Rango en indicadores'!I85</f>
        <v>Desde (&gt;):</v>
      </c>
      <c r="Q75" s="416">
        <f>'Rango en indicadores'!J85</f>
        <v>70</v>
      </c>
      <c r="R75" s="435" t="str">
        <f>'Rango en indicadores'!K85</f>
        <v>Hasta (&lt;):</v>
      </c>
      <c r="S75" s="416">
        <f>'Rango en indicadores'!L85</f>
        <v>90</v>
      </c>
      <c r="T75" s="435" t="str">
        <f>'Rango en indicadores'!M85</f>
        <v>Menor o Igual A:</v>
      </c>
      <c r="U75" s="416">
        <f>'Rango en indicadores'!N85</f>
        <v>70</v>
      </c>
      <c r="V75" s="418" t="s">
        <v>829</v>
      </c>
    </row>
    <row r="76" spans="2:22" ht="44.25" customHeight="1">
      <c r="B76" s="413">
        <f>+B75+1</f>
        <v>22</v>
      </c>
      <c r="C76" s="414" t="str">
        <f>'Rango en indicadores'!E86</f>
        <v>Eficacia de la implementación de los lineamientos</v>
      </c>
      <c r="D76" s="415" t="str">
        <f>'Rango en indicadores'!D86</f>
        <v>14-RI-02</v>
      </c>
      <c r="E76" s="430">
        <f>'14 Servicio al Usuario POA 2020'!AQ14</f>
        <v>1</v>
      </c>
      <c r="F76" s="430">
        <f>+'14 Servicio al Usuario POA 2020'!AG14</f>
        <v>0.5</v>
      </c>
      <c r="G76" s="430">
        <f>+'14 Servicio al Usuario POA 2020'!Q14+'14 Servicio al Usuario POA 2020'!Y14+'14 Servicio al Usuario POA 2020'!AG14</f>
        <v>1</v>
      </c>
      <c r="H76" s="430">
        <f>+'14 Servicio al Usuario POA 2020'!AH14</f>
        <v>0.5</v>
      </c>
      <c r="I76" s="430">
        <f>+'14 Servicio al Usuario POA 2020'!R14+'14 Servicio al Usuario POA 2020'!Z14+'14 Servicio al Usuario POA 2020'!AH14</f>
        <v>1</v>
      </c>
      <c r="J76" s="430">
        <f>'14 Servicio al Usuario POA 2020'!AR14</f>
        <v>1</v>
      </c>
      <c r="K76" s="395">
        <f>IF(AND(F76&gt;0),H76/F76,"No programado")</f>
        <v>1</v>
      </c>
      <c r="L76" s="395">
        <f t="shared" ref="L76:L77" si="6">IF(AND(G76&gt;0),I76/G76,"No programado")</f>
        <v>1</v>
      </c>
      <c r="M76" s="395">
        <f>'14 Servicio al Usuario POA 2020'!AS14</f>
        <v>1</v>
      </c>
      <c r="N76" s="435" t="str">
        <f>'Rango en indicadores'!G86</f>
        <v>Mayor o igual A:</v>
      </c>
      <c r="O76" s="416">
        <f>'Rango en indicadores'!H86</f>
        <v>90</v>
      </c>
      <c r="P76" s="435" t="str">
        <f>'Rango en indicadores'!I86</f>
        <v>Desde (&gt;):</v>
      </c>
      <c r="Q76" s="416">
        <f>'Rango en indicadores'!J86</f>
        <v>70</v>
      </c>
      <c r="R76" s="435" t="str">
        <f>'Rango en indicadores'!K86</f>
        <v>Hasta (&lt;):</v>
      </c>
      <c r="S76" s="416">
        <f>'Rango en indicadores'!L86</f>
        <v>90</v>
      </c>
      <c r="T76" s="435" t="str">
        <f>'Rango en indicadores'!M86</f>
        <v>Menor o Igual A:</v>
      </c>
      <c r="U76" s="416">
        <f>'Rango en indicadores'!N86</f>
        <v>70</v>
      </c>
      <c r="V76" s="418" t="s">
        <v>829</v>
      </c>
    </row>
    <row r="77" spans="2:22" ht="101.25" customHeight="1">
      <c r="B77" s="413">
        <f>+B76+1</f>
        <v>23</v>
      </c>
      <c r="C77" s="414" t="str">
        <f>'Rango en indicadores'!E87</f>
        <v>Medición de la satisfacción de los usuarios</v>
      </c>
      <c r="D77" s="415" t="str">
        <f>'Rango en indicadores'!D87</f>
        <v>14-RI-03</v>
      </c>
      <c r="E77" s="430">
        <f>'14 Servicio al Usuario POA 2020'!AQ15</f>
        <v>1</v>
      </c>
      <c r="F77" s="430">
        <f>+'14 Servicio al Usuario POA 2020'!AG15</f>
        <v>0.85</v>
      </c>
      <c r="G77" s="430">
        <f>+'14 Servicio al Usuario POA 2020'!Q15+'14 Servicio al Usuario POA 2020'!Y15+'14 Servicio al Usuario POA 2020'!AG15</f>
        <v>0.95</v>
      </c>
      <c r="H77" s="430">
        <f>+'14 Servicio al Usuario POA 2020'!AH15</f>
        <v>0.85</v>
      </c>
      <c r="I77" s="430">
        <f>+'14 Servicio al Usuario POA 2020'!R15+'14 Servicio al Usuario POA 2020'!Z15+'14 Servicio al Usuario POA 2020'!AH15</f>
        <v>0.95</v>
      </c>
      <c r="J77" s="430">
        <f>'14 Servicio al Usuario POA 2020'!AR15</f>
        <v>0.95</v>
      </c>
      <c r="K77" s="395">
        <f>IF(AND(F77&gt;0),H77/F77,"No programado")</f>
        <v>1</v>
      </c>
      <c r="L77" s="395">
        <f t="shared" si="6"/>
        <v>1</v>
      </c>
      <c r="M77" s="395">
        <f>'14 Servicio al Usuario POA 2020'!AS15</f>
        <v>0.95</v>
      </c>
      <c r="N77" s="435" t="str">
        <f>'Rango en indicadores'!G87</f>
        <v>Mayor o igual A:</v>
      </c>
      <c r="O77" s="416">
        <f>'Rango en indicadores'!H87</f>
        <v>90</v>
      </c>
      <c r="P77" s="435" t="str">
        <f>'Rango en indicadores'!I87</f>
        <v>Desde (&gt;):</v>
      </c>
      <c r="Q77" s="416">
        <f>'Rango en indicadores'!J87</f>
        <v>70</v>
      </c>
      <c r="R77" s="435" t="str">
        <f>'Rango en indicadores'!K87</f>
        <v>Hasta (&lt;):</v>
      </c>
      <c r="S77" s="416">
        <f>'Rango en indicadores'!L87</f>
        <v>90</v>
      </c>
      <c r="T77" s="435" t="str">
        <f>'Rango en indicadores'!M87</f>
        <v>Menor o Igual A:</v>
      </c>
      <c r="U77" s="416">
        <f>'Rango en indicadores'!N87</f>
        <v>70</v>
      </c>
      <c r="V77" s="418" t="s">
        <v>830</v>
      </c>
    </row>
    <row r="78" spans="2:22" ht="15.75">
      <c r="C78" s="587" t="s">
        <v>615</v>
      </c>
      <c r="D78" s="588"/>
      <c r="E78" s="588"/>
      <c r="F78" s="588"/>
      <c r="G78" s="588"/>
      <c r="H78" s="588"/>
      <c r="I78" s="588"/>
      <c r="J78" s="589"/>
      <c r="K78" s="422">
        <f>IFERROR(AVERAGE(K75:K76),0)</f>
        <v>1</v>
      </c>
      <c r="L78" s="422">
        <f>IFERROR(AVERAGE(L75:L76),0)</f>
        <v>1</v>
      </c>
      <c r="M78" s="422">
        <f>IFERROR(AVERAGE(M75:M77),0)</f>
        <v>0.98333333333333339</v>
      </c>
      <c r="N78" s="434"/>
      <c r="O78" s="434"/>
      <c r="P78" s="434"/>
      <c r="Q78" s="434"/>
      <c r="R78" s="434"/>
      <c r="S78" s="434"/>
      <c r="T78" s="434"/>
      <c r="U78" s="434"/>
      <c r="V78" s="424"/>
    </row>
    <row r="79" spans="2:22" s="407" customFormat="1">
      <c r="D79" s="408"/>
      <c r="V79" s="409"/>
    </row>
    <row r="80" spans="2:22" s="407" customFormat="1" ht="15.75">
      <c r="C80" s="410" t="s">
        <v>628</v>
      </c>
      <c r="D80" s="429"/>
      <c r="V80" s="409"/>
    </row>
    <row r="81" spans="2:24" ht="32.25" customHeight="1">
      <c r="C81" s="575" t="s">
        <v>605</v>
      </c>
      <c r="D81" s="574" t="s">
        <v>606</v>
      </c>
      <c r="E81" s="576" t="s">
        <v>607</v>
      </c>
      <c r="F81" s="577"/>
      <c r="G81" s="578"/>
      <c r="H81" s="574" t="s">
        <v>608</v>
      </c>
      <c r="I81" s="586" t="str">
        <f>$I$31</f>
        <v>Ejecución Acumulada Corte
30/09/2020</v>
      </c>
      <c r="J81" s="574" t="s">
        <v>609</v>
      </c>
      <c r="K81" s="574" t="s">
        <v>581</v>
      </c>
      <c r="L81" s="574"/>
      <c r="M81" s="574"/>
      <c r="N81" s="573" t="s">
        <v>679</v>
      </c>
      <c r="O81" s="573"/>
      <c r="P81" s="573"/>
      <c r="Q81" s="573"/>
      <c r="R81" s="573"/>
      <c r="S81" s="573"/>
      <c r="T81" s="573"/>
      <c r="U81" s="573"/>
      <c r="V81" s="593" t="s">
        <v>610</v>
      </c>
    </row>
    <row r="82" spans="2:24" ht="34.5" customHeight="1">
      <c r="C82" s="575"/>
      <c r="D82" s="574"/>
      <c r="E82" s="411" t="s">
        <v>673</v>
      </c>
      <c r="F82" s="411" t="str">
        <f>$C$5</f>
        <v>Tercer Trimestre</v>
      </c>
      <c r="G82" s="484" t="str">
        <f>$G$31</f>
        <v>Acumulada Corte
30/09/2020</v>
      </c>
      <c r="H82" s="574"/>
      <c r="I82" s="586"/>
      <c r="J82" s="574"/>
      <c r="K82" s="411" t="str">
        <f>+$C$5</f>
        <v>Tercer Trimestre</v>
      </c>
      <c r="L82" s="484" t="str">
        <f>$L$31</f>
        <v>Acumulado Corte 30/09/2020</v>
      </c>
      <c r="M82" s="411" t="s">
        <v>582</v>
      </c>
      <c r="N82" s="551" t="s">
        <v>767</v>
      </c>
      <c r="O82" s="552"/>
      <c r="P82" s="548" t="s">
        <v>674</v>
      </c>
      <c r="Q82" s="549"/>
      <c r="R82" s="549"/>
      <c r="S82" s="550"/>
      <c r="T82" s="553" t="s">
        <v>768</v>
      </c>
      <c r="U82" s="554"/>
      <c r="V82" s="593"/>
    </row>
    <row r="83" spans="2:24" ht="171.75" customHeight="1">
      <c r="B83" s="413">
        <f>+B77+1</f>
        <v>24</v>
      </c>
      <c r="C83" s="414" t="str">
        <f>'Rango en indicadores'!E25</f>
        <v xml:space="preserve">Acciones de promoción y apropiación de derechos y deberes realizadas. </v>
      </c>
      <c r="D83" s="415" t="str">
        <f>'Rango en indicadores'!D25</f>
        <v>05-RI-05</v>
      </c>
      <c r="E83" s="437">
        <f>'05 Prom Defen Derechos POA 2020'!AQ13</f>
        <v>106</v>
      </c>
      <c r="F83" s="437">
        <f>+'05 Prom Defen Derechos POA 2020'!AG13</f>
        <v>33</v>
      </c>
      <c r="G83" s="437">
        <f>+'05 Prom Defen Derechos POA 2020'!Q13+'05 Prom Defen Derechos POA 2020'!Y13+'05 Prom Defen Derechos POA 2020'!AG13</f>
        <v>86</v>
      </c>
      <c r="H83" s="437">
        <f>+'05 Prom Defen Derechos POA 2020'!AH13</f>
        <v>37</v>
      </c>
      <c r="I83" s="437">
        <f>+'05 Prom Defen Derechos POA 2020'!R13+'05 Prom Defen Derechos POA 2020'!Z13+'05 Prom Defen Derechos POA 2020'!AH13</f>
        <v>92</v>
      </c>
      <c r="J83" s="437">
        <f>'05 Prom Defen Derechos POA 2020'!AR13</f>
        <v>92</v>
      </c>
      <c r="K83" s="417">
        <f t="shared" ref="K83:K103" si="7">IF(AND(F83&gt;0),H83/F83,"No programado")</f>
        <v>1.1212121212121211</v>
      </c>
      <c r="L83" s="417">
        <f>IF(AND(G83&gt;0),I83/G83,"No programado")</f>
        <v>1.069767441860465</v>
      </c>
      <c r="M83" s="417">
        <f>'05 Prom Defen Derechos POA 2020'!AS13</f>
        <v>0.86792452830188682</v>
      </c>
      <c r="N83" s="432" t="str">
        <f>'Rango en indicadores'!G25</f>
        <v>Mayor A:</v>
      </c>
      <c r="O83" s="416">
        <f>'Rango en indicadores'!H25</f>
        <v>95</v>
      </c>
      <c r="P83" s="432" t="str">
        <f>'Rango en indicadores'!I25</f>
        <v>Desde (&gt;=):</v>
      </c>
      <c r="Q83" s="416">
        <f>'Rango en indicadores'!J25</f>
        <v>85</v>
      </c>
      <c r="R83" s="432" t="str">
        <f>'Rango en indicadores'!K25</f>
        <v>Hasta (&lt;=):</v>
      </c>
      <c r="S83" s="416">
        <f>'Rango en indicadores'!L25</f>
        <v>95</v>
      </c>
      <c r="T83" s="432" t="str">
        <f>'Rango en indicadores'!M25</f>
        <v>Menor A:</v>
      </c>
      <c r="U83" s="416">
        <f>'Rango en indicadores'!N25</f>
        <v>85</v>
      </c>
      <c r="V83" s="438" t="s">
        <v>831</v>
      </c>
      <c r="W83" s="439"/>
      <c r="X83" s="439"/>
    </row>
    <row r="84" spans="2:24" ht="177.75" customHeight="1">
      <c r="B84" s="413">
        <f>+B83+1</f>
        <v>25</v>
      </c>
      <c r="C84" s="414" t="str">
        <f>'Rango en indicadores'!E26</f>
        <v xml:space="preserve">Numero de personas sensibilizadas en derechos y deberes. </v>
      </c>
      <c r="D84" s="415" t="str">
        <f>'Rango en indicadores'!D26</f>
        <v>05-RI-06</v>
      </c>
      <c r="E84" s="437">
        <f>'05 Prom Defen Derechos POA 2020'!AQ14</f>
        <v>384354</v>
      </c>
      <c r="F84" s="437">
        <f>+'05 Prom Defen Derechos POA 2020'!AG14</f>
        <v>183221</v>
      </c>
      <c r="G84" s="437">
        <f>+'05 Prom Defen Derechos POA 2020'!Q14+'05 Prom Defen Derechos POA 2020'!Y14+'05 Prom Defen Derechos POA 2020'!AG14</f>
        <v>255294</v>
      </c>
      <c r="H84" s="437">
        <f>+'05 Prom Defen Derechos POA 2020'!AH14</f>
        <v>143637</v>
      </c>
      <c r="I84" s="437">
        <f>+'05 Prom Defen Derechos POA 2020'!R14+'05 Prom Defen Derechos POA 2020'!Z14+'05 Prom Defen Derechos POA 2020'!AH14</f>
        <v>375802</v>
      </c>
      <c r="J84" s="437">
        <f>'05 Prom Defen Derechos POA 2020'!AR14</f>
        <v>375802</v>
      </c>
      <c r="K84" s="417">
        <f t="shared" si="7"/>
        <v>0.78395489599991264</v>
      </c>
      <c r="L84" s="417">
        <f>IF(AND(G84&gt;0),I84/G84,"No programado")</f>
        <v>1.4720361622286462</v>
      </c>
      <c r="M84" s="417">
        <f>'05 Prom Defen Derechos POA 2020'!AS14</f>
        <v>0.97774967868163198</v>
      </c>
      <c r="N84" s="432" t="str">
        <f>'Rango en indicadores'!G26</f>
        <v>Mayor A:</v>
      </c>
      <c r="O84" s="416">
        <f>'Rango en indicadores'!H26</f>
        <v>95</v>
      </c>
      <c r="P84" s="432" t="str">
        <f>'Rango en indicadores'!I26</f>
        <v>Desde (&gt;=):</v>
      </c>
      <c r="Q84" s="416">
        <f>'Rango en indicadores'!J26</f>
        <v>85</v>
      </c>
      <c r="R84" s="432" t="str">
        <f>'Rango en indicadores'!K26</f>
        <v>Hasta (&lt;=):</v>
      </c>
      <c r="S84" s="416">
        <f>'Rango en indicadores'!L26</f>
        <v>95</v>
      </c>
      <c r="T84" s="432" t="str">
        <f>'Rango en indicadores'!M26</f>
        <v>Menor A:</v>
      </c>
      <c r="U84" s="416">
        <f>'Rango en indicadores'!N26</f>
        <v>85</v>
      </c>
      <c r="V84" s="418" t="s">
        <v>832</v>
      </c>
      <c r="W84" s="439"/>
      <c r="X84" s="439"/>
    </row>
    <row r="85" spans="2:24" ht="203.25" customHeight="1">
      <c r="B85" s="570">
        <f>+B84+1</f>
        <v>26</v>
      </c>
      <c r="C85" s="594" t="str">
        <f>'Rango en indicadores'!E27</f>
        <v xml:space="preserve">Intervenciones adelantadas en el ejercicio del ministerio Público en defensa de los derechos </v>
      </c>
      <c r="D85" s="415" t="str">
        <f>'Rango en indicadores'!D27</f>
        <v>05-RI-07MP</v>
      </c>
      <c r="E85" s="437">
        <f>'05 Prom Defen Derechos POA 2020'!AQ15</f>
        <v>112505</v>
      </c>
      <c r="F85" s="437">
        <f>+'05 Prom Defen Derechos POA 2020'!AG15</f>
        <v>24965</v>
      </c>
      <c r="G85" s="437">
        <f>+'05 Prom Defen Derechos POA 2020'!Q15+'05 Prom Defen Derechos POA 2020'!Y15+'05 Prom Defen Derechos POA 2020'!AG15</f>
        <v>82675</v>
      </c>
      <c r="H85" s="437">
        <f>+'05 Prom Defen Derechos POA 2020'!AH15</f>
        <v>30874</v>
      </c>
      <c r="I85" s="437">
        <f>+'05 Prom Defen Derechos POA 2020'!R15+'05 Prom Defen Derechos POA 2020'!Z15+'05 Prom Defen Derechos POA 2020'!AH15</f>
        <v>97071</v>
      </c>
      <c r="J85" s="437">
        <f>'05 Prom Defen Derechos POA 2020'!AR15</f>
        <v>97071</v>
      </c>
      <c r="K85" s="417">
        <f t="shared" si="7"/>
        <v>1.2366913679150811</v>
      </c>
      <c r="L85" s="417">
        <f>IF(AND(G85&gt;0),I85/G85,"No programado")</f>
        <v>1.1741276081040217</v>
      </c>
      <c r="M85" s="417">
        <f>'05 Prom Defen Derechos POA 2020'!AS15</f>
        <v>0.86281498600062223</v>
      </c>
      <c r="N85" s="432" t="str">
        <f>'Rango en indicadores'!G27</f>
        <v>Mayor A:</v>
      </c>
      <c r="O85" s="416">
        <f>'Rango en indicadores'!H27</f>
        <v>90</v>
      </c>
      <c r="P85" s="432" t="str">
        <f>'Rango en indicadores'!I27</f>
        <v>Desde (&gt;=):</v>
      </c>
      <c r="Q85" s="416">
        <f>'Rango en indicadores'!J27</f>
        <v>80</v>
      </c>
      <c r="R85" s="432" t="str">
        <f>'Rango en indicadores'!K27</f>
        <v>Hasta (&lt;=):</v>
      </c>
      <c r="S85" s="416">
        <f>'Rango en indicadores'!L27</f>
        <v>90</v>
      </c>
      <c r="T85" s="432" t="str">
        <f>'Rango en indicadores'!M27</f>
        <v>Menor A:</v>
      </c>
      <c r="U85" s="416">
        <f>'Rango en indicadores'!N27</f>
        <v>80</v>
      </c>
      <c r="V85" s="418" t="s">
        <v>833</v>
      </c>
      <c r="W85" s="439"/>
      <c r="X85" s="439"/>
    </row>
    <row r="86" spans="2:24" ht="212.25" customHeight="1">
      <c r="B86" s="572"/>
      <c r="C86" s="595"/>
      <c r="D86" s="415" t="str">
        <f>'Rango en indicadores'!D28</f>
        <v>05-RI-07PC</v>
      </c>
      <c r="E86" s="437">
        <f>'05 Prom Defen Derechos POA 2020'!AQ16</f>
        <v>240</v>
      </c>
      <c r="F86" s="437">
        <f>+'05 Prom Defen Derechos POA 2020'!AG16</f>
        <v>60</v>
      </c>
      <c r="G86" s="437">
        <f>+'05 Prom Defen Derechos POA 2020'!Q16+'05 Prom Defen Derechos POA 2020'!Y16+'05 Prom Defen Derechos POA 2020'!AG16</f>
        <v>179</v>
      </c>
      <c r="H86" s="437">
        <f>+'05 Prom Defen Derechos POA 2020'!AH16</f>
        <v>81</v>
      </c>
      <c r="I86" s="437">
        <f>+'05 Prom Defen Derechos POA 2020'!R16+'05 Prom Defen Derechos POA 2020'!Z16+'05 Prom Defen Derechos POA 2020'!AH16</f>
        <v>238</v>
      </c>
      <c r="J86" s="437">
        <f>'05 Prom Defen Derechos POA 2020'!AR16</f>
        <v>238</v>
      </c>
      <c r="K86" s="417">
        <f t="shared" si="7"/>
        <v>1.35</v>
      </c>
      <c r="L86" s="417">
        <f>IF(AND(G86&gt;0),I86/G86,"No programado")</f>
        <v>1.3296089385474861</v>
      </c>
      <c r="M86" s="417">
        <f>'05 Prom Defen Derechos POA 2020'!AS16</f>
        <v>0.9916666666666667</v>
      </c>
      <c r="N86" s="432" t="str">
        <f>'Rango en indicadores'!G28</f>
        <v>Mayor A:</v>
      </c>
      <c r="O86" s="416">
        <f>'Rango en indicadores'!H28</f>
        <v>90</v>
      </c>
      <c r="P86" s="432" t="str">
        <f>'Rango en indicadores'!I28</f>
        <v>Desde (&gt;=):</v>
      </c>
      <c r="Q86" s="416">
        <f>'Rango en indicadores'!J28</f>
        <v>80</v>
      </c>
      <c r="R86" s="432" t="str">
        <f>'Rango en indicadores'!K28</f>
        <v>Hasta (&lt;=):</v>
      </c>
      <c r="S86" s="416">
        <f>'Rango en indicadores'!L28</f>
        <v>90</v>
      </c>
      <c r="T86" s="432" t="str">
        <f>'Rango en indicadores'!M28</f>
        <v>Menor A:</v>
      </c>
      <c r="U86" s="416">
        <f>'Rango en indicadores'!N28</f>
        <v>80</v>
      </c>
      <c r="V86" s="438" t="s">
        <v>834</v>
      </c>
      <c r="W86" s="439"/>
      <c r="X86" s="439"/>
    </row>
    <row r="87" spans="2:24" ht="177.75" customHeight="1">
      <c r="B87" s="413">
        <f>+B85+1</f>
        <v>27</v>
      </c>
      <c r="C87" s="414" t="str">
        <f>'Rango en indicadores'!E29</f>
        <v>Acciones adelantadas en favor de las víctimas del conflicto armado.</v>
      </c>
      <c r="D87" s="415" t="str">
        <f>'Rango en indicadores'!D29</f>
        <v>05-RI-08</v>
      </c>
      <c r="E87" s="437">
        <f>'05 Prom Defen Derechos POA 2020'!AQ17</f>
        <v>4256</v>
      </c>
      <c r="F87" s="437">
        <f>+'05 Prom Defen Derechos POA 2020'!AG17</f>
        <v>0</v>
      </c>
      <c r="G87" s="437">
        <f>+'05 Prom Defen Derechos POA 2020'!Q17+'05 Prom Defen Derechos POA 2020'!Y17+'05 Prom Defen Derechos POA 2020'!AG17</f>
        <v>4256</v>
      </c>
      <c r="H87" s="437">
        <f>+'05 Prom Defen Derechos POA 2020'!AH17</f>
        <v>955</v>
      </c>
      <c r="I87" s="437">
        <f>+'05 Prom Defen Derechos POA 2020'!R17+'05 Prom Defen Derechos POA 2020'!Z17+'05 Prom Defen Derechos POA 2020'!AH17</f>
        <v>3347</v>
      </c>
      <c r="J87" s="437">
        <f>'05 Prom Defen Derechos POA 2020'!AR17</f>
        <v>3347</v>
      </c>
      <c r="K87" s="417" t="str">
        <f t="shared" si="7"/>
        <v>No programado</v>
      </c>
      <c r="L87" s="417">
        <f t="shared" ref="L87:L103" si="8">IF(AND(G87&gt;0),I87/G87,"No programado")</f>
        <v>0.78641917293233088</v>
      </c>
      <c r="M87" s="417">
        <f>'05 Prom Defen Derechos POA 2020'!AS17</f>
        <v>0.78641917293233088</v>
      </c>
      <c r="N87" s="432" t="str">
        <f>'Rango en indicadores'!G29</f>
        <v>Mayor A:</v>
      </c>
      <c r="O87" s="416">
        <f>'Rango en indicadores'!H29</f>
        <v>90</v>
      </c>
      <c r="P87" s="432" t="str">
        <f>'Rango en indicadores'!I29</f>
        <v>Desde (&gt;=):</v>
      </c>
      <c r="Q87" s="416">
        <f>'Rango en indicadores'!J29</f>
        <v>80</v>
      </c>
      <c r="R87" s="432" t="str">
        <f>'Rango en indicadores'!K29</f>
        <v>Hasta (&lt;=):</v>
      </c>
      <c r="S87" s="416">
        <f>'Rango en indicadores'!L29</f>
        <v>90</v>
      </c>
      <c r="T87" s="432" t="str">
        <f>'Rango en indicadores'!M29</f>
        <v>Menor A:</v>
      </c>
      <c r="U87" s="416">
        <f>'Rango en indicadores'!N29</f>
        <v>80</v>
      </c>
      <c r="V87" s="438" t="s">
        <v>835</v>
      </c>
      <c r="W87" s="439"/>
      <c r="X87" s="439"/>
    </row>
    <row r="88" spans="2:24" ht="175.5" customHeight="1">
      <c r="B88" s="570">
        <f>+B87+1</f>
        <v>28</v>
      </c>
      <c r="C88" s="594" t="str">
        <f>'Rango en indicadores'!E30</f>
        <v>Requerimientos finalizados en defensa de los derechos.</v>
      </c>
      <c r="D88" s="415" t="str">
        <f>'Rango en indicadores'!D30</f>
        <v>05-RI-09MP</v>
      </c>
      <c r="E88" s="437">
        <f>'05 Prom Defen Derechos POA 2020'!AQ18</f>
        <v>84525</v>
      </c>
      <c r="F88" s="437">
        <f>+'05 Prom Defen Derechos POA 2020'!AG18</f>
        <v>18415</v>
      </c>
      <c r="G88" s="437">
        <f>+'05 Prom Defen Derechos POA 2020'!Q18+'05 Prom Defen Derechos POA 2020'!Y18+'05 Prom Defen Derechos POA 2020'!AG18</f>
        <v>69234</v>
      </c>
      <c r="H88" s="437">
        <f>+'05 Prom Defen Derechos POA 2020'!AH18</f>
        <v>21995</v>
      </c>
      <c r="I88" s="437">
        <f>+'05 Prom Defen Derechos POA 2020'!R18+'05 Prom Defen Derechos POA 2020'!Z18+'05 Prom Defen Derechos POA 2020'!AH18</f>
        <v>65905</v>
      </c>
      <c r="J88" s="437">
        <f>'05 Prom Defen Derechos POA 2020'!AR18</f>
        <v>65905</v>
      </c>
      <c r="K88" s="417">
        <f t="shared" si="7"/>
        <v>1.1944067336410535</v>
      </c>
      <c r="L88" s="417">
        <f t="shared" si="8"/>
        <v>0.95191668833232224</v>
      </c>
      <c r="M88" s="417">
        <f>'05 Prom Defen Derechos POA 2020'!AS18</f>
        <v>0.77971014492753621</v>
      </c>
      <c r="N88" s="432" t="str">
        <f>'Rango en indicadores'!G30</f>
        <v>Mayor A:</v>
      </c>
      <c r="O88" s="416">
        <f>'Rango en indicadores'!H30</f>
        <v>90</v>
      </c>
      <c r="P88" s="432" t="str">
        <f>'Rango en indicadores'!I30</f>
        <v>Desde (&gt;=):</v>
      </c>
      <c r="Q88" s="416">
        <f>'Rango en indicadores'!J30</f>
        <v>80</v>
      </c>
      <c r="R88" s="432" t="str">
        <f>'Rango en indicadores'!K30</f>
        <v>Hasta (&lt;=):</v>
      </c>
      <c r="S88" s="416">
        <f>'Rango en indicadores'!L30</f>
        <v>90</v>
      </c>
      <c r="T88" s="432" t="str">
        <f>'Rango en indicadores'!M30</f>
        <v>Menor A:</v>
      </c>
      <c r="U88" s="416">
        <f>'Rango en indicadores'!N30</f>
        <v>80</v>
      </c>
      <c r="V88" s="418" t="s">
        <v>836</v>
      </c>
      <c r="W88" s="439"/>
      <c r="X88" s="439"/>
    </row>
    <row r="89" spans="2:24" ht="168.75" customHeight="1">
      <c r="B89" s="571"/>
      <c r="C89" s="596"/>
      <c r="D89" s="415" t="str">
        <f>'Rango en indicadores'!D31</f>
        <v>05-RI-09L</v>
      </c>
      <c r="E89" s="437">
        <f>'05 Prom Defen Derechos POA 2020'!AQ19</f>
        <v>21500</v>
      </c>
      <c r="F89" s="437">
        <f>+'05 Prom Defen Derechos POA 2020'!AG19</f>
        <v>4500</v>
      </c>
      <c r="G89" s="437">
        <f>+'05 Prom Defen Derechos POA 2020'!Q19+'05 Prom Defen Derechos POA 2020'!Y19+'05 Prom Defen Derechos POA 2020'!AG19</f>
        <v>17400</v>
      </c>
      <c r="H89" s="437">
        <f>+'05 Prom Defen Derechos POA 2020'!AH19</f>
        <v>5875</v>
      </c>
      <c r="I89" s="437">
        <f>+'05 Prom Defen Derechos POA 2020'!R19+'05 Prom Defen Derechos POA 2020'!Z19+'05 Prom Defen Derechos POA 2020'!AH19</f>
        <v>17518</v>
      </c>
      <c r="J89" s="437">
        <f>'05 Prom Defen Derechos POA 2020'!AR19</f>
        <v>17518</v>
      </c>
      <c r="K89" s="417">
        <f t="shared" si="7"/>
        <v>1.3055555555555556</v>
      </c>
      <c r="L89" s="417">
        <f t="shared" si="8"/>
        <v>1.0067816091954023</v>
      </c>
      <c r="M89" s="417">
        <f>'05 Prom Defen Derechos POA 2020'!AS19</f>
        <v>0.81479069767441858</v>
      </c>
      <c r="N89" s="432" t="str">
        <f>'Rango en indicadores'!G31</f>
        <v>Mayor A:</v>
      </c>
      <c r="O89" s="416">
        <f>'Rango en indicadores'!H31</f>
        <v>90</v>
      </c>
      <c r="P89" s="432" t="str">
        <f>'Rango en indicadores'!I31</f>
        <v>Desde (&gt;=):</v>
      </c>
      <c r="Q89" s="416">
        <f>'Rango en indicadores'!J31</f>
        <v>80</v>
      </c>
      <c r="R89" s="432" t="str">
        <f>'Rango en indicadores'!K31</f>
        <v>Hasta (&lt;=):</v>
      </c>
      <c r="S89" s="416">
        <f>'Rango en indicadores'!L31</f>
        <v>90</v>
      </c>
      <c r="T89" s="432" t="str">
        <f>'Rango en indicadores'!M31</f>
        <v>Menor A:</v>
      </c>
      <c r="U89" s="416">
        <f>'Rango en indicadores'!N31</f>
        <v>80</v>
      </c>
      <c r="V89" s="418" t="s">
        <v>837</v>
      </c>
      <c r="W89" s="503"/>
      <c r="X89" s="439"/>
    </row>
    <row r="90" spans="2:24" ht="177" customHeight="1">
      <c r="B90" s="572"/>
      <c r="C90" s="595"/>
      <c r="D90" s="415" t="str">
        <f>'Rango en indicadores'!D32</f>
        <v>05-RI-09PC</v>
      </c>
      <c r="E90" s="437">
        <f>'05 Prom Defen Derechos POA 2020'!AQ20</f>
        <v>16000</v>
      </c>
      <c r="F90" s="437">
        <f>+'05 Prom Defen Derechos POA 2020'!AG20</f>
        <v>5300</v>
      </c>
      <c r="G90" s="437">
        <f>+'05 Prom Defen Derechos POA 2020'!Q20+'05 Prom Defen Derechos POA 2020'!Y20+'05 Prom Defen Derechos POA 2020'!AG20</f>
        <v>12250</v>
      </c>
      <c r="H90" s="437">
        <f>+'05 Prom Defen Derechos POA 2020'!AH20</f>
        <v>5907</v>
      </c>
      <c r="I90" s="437">
        <f>+'05 Prom Defen Derechos POA 2020'!R20+'05 Prom Defen Derechos POA 2020'!Z20+'05 Prom Defen Derechos POA 2020'!AH20</f>
        <v>14107</v>
      </c>
      <c r="J90" s="437">
        <f>'05 Prom Defen Derechos POA 2020'!AR20</f>
        <v>14107</v>
      </c>
      <c r="K90" s="417">
        <f t="shared" si="7"/>
        <v>1.1145283018867924</v>
      </c>
      <c r="L90" s="417">
        <f t="shared" si="8"/>
        <v>1.1515918367346938</v>
      </c>
      <c r="M90" s="417">
        <f>'05 Prom Defen Derechos POA 2020'!AS20</f>
        <v>0.88168749999999996</v>
      </c>
      <c r="N90" s="432" t="str">
        <f>'Rango en indicadores'!G32</f>
        <v>Mayor A:</v>
      </c>
      <c r="O90" s="416">
        <f>'Rango en indicadores'!H32</f>
        <v>90</v>
      </c>
      <c r="P90" s="432" t="str">
        <f>'Rango en indicadores'!I32</f>
        <v>Desde (&gt;=):</v>
      </c>
      <c r="Q90" s="416">
        <f>'Rango en indicadores'!J32</f>
        <v>80</v>
      </c>
      <c r="R90" s="432" t="str">
        <f>'Rango en indicadores'!K32</f>
        <v>Hasta (&lt;=):</v>
      </c>
      <c r="S90" s="416">
        <f>'Rango en indicadores'!L32</f>
        <v>90</v>
      </c>
      <c r="T90" s="432" t="str">
        <f>'Rango en indicadores'!M32</f>
        <v>Menor A:</v>
      </c>
      <c r="U90" s="416">
        <f>'Rango en indicadores'!N32</f>
        <v>80</v>
      </c>
      <c r="V90" s="418" t="s">
        <v>838</v>
      </c>
      <c r="W90" s="439"/>
      <c r="X90" s="439"/>
    </row>
    <row r="91" spans="2:24" ht="177.75" customHeight="1">
      <c r="B91" s="413">
        <f>+B88+1</f>
        <v>29</v>
      </c>
      <c r="C91" s="414" t="str">
        <f>'Rango en indicadores'!E33</f>
        <v xml:space="preserve">% de Tutelas con fallos a favor. </v>
      </c>
      <c r="D91" s="415" t="str">
        <f>'Rango en indicadores'!D33</f>
        <v>05-RI-10</v>
      </c>
      <c r="E91" s="419">
        <f>'05 Prom Defen Derechos POA 2020'!AQ21</f>
        <v>0.80000000000000016</v>
      </c>
      <c r="F91" s="420">
        <f>'05 Prom Defen Derechos POA 2020'!AG21</f>
        <v>0.80000000000000016</v>
      </c>
      <c r="G91" s="420">
        <f>ROUNDDOWN(AVERAGE('05 Prom Defen Derechos POA 2020'!Q21,'05 Prom Defen Derechos POA 2020'!Y21,'05 Prom Defen Derechos POA 2020'!AG21),3)</f>
        <v>0.8</v>
      </c>
      <c r="H91" s="420">
        <f>'05 Prom Defen Derechos POA 2020'!AH21</f>
        <v>0.84400861426771956</v>
      </c>
      <c r="I91" s="420">
        <f>ROUNDDOWN(AVERAGE('05 Prom Defen Derechos POA 2020'!R21,'05 Prom Defen Derechos POA 2020'!Z21,'05 Prom Defen Derechos POA 2020'!AH21),3)</f>
        <v>0.84199999999999997</v>
      </c>
      <c r="J91" s="420">
        <f>'05 Prom Defen Derechos POA 2020'!AR21</f>
        <v>0.84299999999999997</v>
      </c>
      <c r="K91" s="417">
        <f t="shared" si="7"/>
        <v>1.0550107678346492</v>
      </c>
      <c r="L91" s="417">
        <f t="shared" si="8"/>
        <v>1.0525</v>
      </c>
      <c r="M91" s="417">
        <f>'05 Prom Defen Derechos POA 2020'!AS21</f>
        <v>1.0537499999999997</v>
      </c>
      <c r="N91" s="432" t="str">
        <f>'Rango en indicadores'!G33</f>
        <v>Mayor A:</v>
      </c>
      <c r="O91" s="416">
        <f>'Rango en indicadores'!H33</f>
        <v>80</v>
      </c>
      <c r="P91" s="432" t="str">
        <f>'Rango en indicadores'!I33</f>
        <v>Desde (&gt;=):</v>
      </c>
      <c r="Q91" s="416">
        <f>'Rango en indicadores'!J33</f>
        <v>70</v>
      </c>
      <c r="R91" s="432" t="str">
        <f>'Rango en indicadores'!K33</f>
        <v>Hasta (&lt;=):</v>
      </c>
      <c r="S91" s="416">
        <f>'Rango en indicadores'!L33</f>
        <v>80</v>
      </c>
      <c r="T91" s="432" t="str">
        <f>'Rango en indicadores'!M33</f>
        <v>Menor A:</v>
      </c>
      <c r="U91" s="416">
        <f>'Rango en indicadores'!N33</f>
        <v>70</v>
      </c>
      <c r="V91" s="418" t="s">
        <v>839</v>
      </c>
      <c r="W91" s="439"/>
      <c r="X91" s="439"/>
    </row>
    <row r="92" spans="2:24" ht="156.75" customHeight="1">
      <c r="B92" s="413">
        <f>+B91+1</f>
        <v>30</v>
      </c>
      <c r="C92" s="414" t="str">
        <f>'Rango en indicadores'!E34</f>
        <v>Solicitudes de conciliación atendidas.</v>
      </c>
      <c r="D92" s="415" t="str">
        <f>'Rango en indicadores'!D34</f>
        <v>05-RI-12</v>
      </c>
      <c r="E92" s="437">
        <f>'05 Prom Defen Derechos POA 2020'!AQ22</f>
        <v>7460</v>
      </c>
      <c r="F92" s="437">
        <f>+'05 Prom Defen Derechos POA 2020'!AG22</f>
        <v>0</v>
      </c>
      <c r="G92" s="437">
        <f>+'05 Prom Defen Derechos POA 2020'!Q22+'05 Prom Defen Derechos POA 2020'!Y22+'05 Prom Defen Derechos POA 2020'!AG22</f>
        <v>7460</v>
      </c>
      <c r="H92" s="437">
        <f>+'05 Prom Defen Derechos POA 2020'!AH22</f>
        <v>642</v>
      </c>
      <c r="I92" s="437">
        <f>+'05 Prom Defen Derechos POA 2020'!R22+'05 Prom Defen Derechos POA 2020'!Z22+'05 Prom Defen Derechos POA 2020'!AH22</f>
        <v>3639</v>
      </c>
      <c r="J92" s="437">
        <f>'05 Prom Defen Derechos POA 2020'!AR22</f>
        <v>3639</v>
      </c>
      <c r="K92" s="417" t="str">
        <f t="shared" ref="K92" si="9">IF(AND(F92&gt;0),H92/F92,"No programado")</f>
        <v>No programado</v>
      </c>
      <c r="L92" s="417">
        <f t="shared" si="8"/>
        <v>0.4878016085790885</v>
      </c>
      <c r="M92" s="417">
        <f>'05 Prom Defen Derechos POA 2020'!AS22</f>
        <v>0.4878016085790885</v>
      </c>
      <c r="N92" s="432" t="str">
        <f>'Rango en indicadores'!G34</f>
        <v>Mayor A:</v>
      </c>
      <c r="O92" s="416">
        <f>'Rango en indicadores'!H34</f>
        <v>90</v>
      </c>
      <c r="P92" s="432" t="str">
        <f>'Rango en indicadores'!I34</f>
        <v>Desde (&gt;=):</v>
      </c>
      <c r="Q92" s="416">
        <f>'Rango en indicadores'!J34</f>
        <v>80</v>
      </c>
      <c r="R92" s="432" t="str">
        <f>'Rango en indicadores'!K34</f>
        <v>Hasta (&lt;=):</v>
      </c>
      <c r="S92" s="416">
        <f>'Rango en indicadores'!L34</f>
        <v>90</v>
      </c>
      <c r="T92" s="432" t="str">
        <f>'Rango en indicadores'!M34</f>
        <v>Menor A:</v>
      </c>
      <c r="U92" s="416">
        <f>'Rango en indicadores'!N34</f>
        <v>80</v>
      </c>
      <c r="V92" s="418" t="s">
        <v>907</v>
      </c>
      <c r="W92" s="439"/>
      <c r="X92" s="439"/>
    </row>
    <row r="93" spans="2:24" ht="67.5" customHeight="1">
      <c r="B93" s="413">
        <f t="shared" ref="B93:B103" si="10">+B92+1</f>
        <v>31</v>
      </c>
      <c r="C93" s="414" t="str">
        <f>'Rango en indicadores'!E35</f>
        <v>Informe de seguimiento a la política publica para victimas del conflicto armado.</v>
      </c>
      <c r="D93" s="415" t="str">
        <f>'Rango en indicadores'!D35</f>
        <v>05-RI-13</v>
      </c>
      <c r="E93" s="437">
        <f>'05 Prom Defen Derechos POA 2020'!AQ23</f>
        <v>1</v>
      </c>
      <c r="F93" s="437">
        <f>+'05 Prom Defen Derechos POA 2020'!AG23</f>
        <v>0</v>
      </c>
      <c r="G93" s="437">
        <f>+'05 Prom Defen Derechos POA 2020'!Q23+'05 Prom Defen Derechos POA 2020'!Y23+'05 Prom Defen Derechos POA 2020'!AG23</f>
        <v>0</v>
      </c>
      <c r="H93" s="437">
        <f>+'05 Prom Defen Derechos POA 2020'!AH23</f>
        <v>0</v>
      </c>
      <c r="I93" s="437">
        <f>+'05 Prom Defen Derechos POA 2020'!R23+'05 Prom Defen Derechos POA 2020'!Z23+'05 Prom Defen Derechos POA 2020'!AH23</f>
        <v>0</v>
      </c>
      <c r="J93" s="437">
        <f>'05 Prom Defen Derechos POA 2020'!AR23</f>
        <v>0</v>
      </c>
      <c r="K93" s="440" t="str">
        <f t="shared" si="7"/>
        <v>No programado</v>
      </c>
      <c r="L93" s="440" t="str">
        <f t="shared" si="8"/>
        <v>No programado</v>
      </c>
      <c r="M93" s="417">
        <f>'05 Prom Defen Derechos POA 2020'!AS23</f>
        <v>0</v>
      </c>
      <c r="N93" s="432" t="str">
        <f>'Rango en indicadores'!G35</f>
        <v>Mayor o igual A:</v>
      </c>
      <c r="O93" s="416">
        <f>'Rango en indicadores'!H35</f>
        <v>100</v>
      </c>
      <c r="P93" s="432" t="str">
        <f>'Rango en indicadores'!I35</f>
        <v>Desde (&gt;):</v>
      </c>
      <c r="Q93" s="416">
        <f>'Rango en indicadores'!J35</f>
        <v>99</v>
      </c>
      <c r="R93" s="432" t="str">
        <f>'Rango en indicadores'!K35</f>
        <v>Hasta (&lt;):</v>
      </c>
      <c r="S93" s="416">
        <f>'Rango en indicadores'!L35</f>
        <v>100</v>
      </c>
      <c r="T93" s="432" t="str">
        <f>'Rango en indicadores'!M35</f>
        <v>Menor o Igual A:</v>
      </c>
      <c r="U93" s="416">
        <f>'Rango en indicadores'!N35</f>
        <v>99</v>
      </c>
      <c r="V93" s="418" t="s">
        <v>794</v>
      </c>
    </row>
    <row r="94" spans="2:24" ht="75" customHeight="1">
      <c r="B94" s="413">
        <f t="shared" si="10"/>
        <v>32</v>
      </c>
      <c r="C94" s="414" t="str">
        <f>'Rango en indicadores'!E36</f>
        <v>Informe de seguimiento sobre el cumplimiento la Política Pública de Mujeres y Equidad de Género en el Distrito Capital.</v>
      </c>
      <c r="D94" s="415" t="str">
        <f>'Rango en indicadores'!D36</f>
        <v>05-RI-14</v>
      </c>
      <c r="E94" s="437">
        <f>'05 Prom Defen Derechos POA 2020'!AQ24</f>
        <v>1</v>
      </c>
      <c r="F94" s="437">
        <f>+'05 Prom Defen Derechos POA 2020'!AG24</f>
        <v>0</v>
      </c>
      <c r="G94" s="437">
        <f>+'05 Prom Defen Derechos POA 2020'!Q24+'05 Prom Defen Derechos POA 2020'!Y24+'05 Prom Defen Derechos POA 2020'!AG24</f>
        <v>0</v>
      </c>
      <c r="H94" s="437">
        <f>+'05 Prom Defen Derechos POA 2020'!AH24</f>
        <v>0</v>
      </c>
      <c r="I94" s="437">
        <f>+'05 Prom Defen Derechos POA 2020'!R24+'05 Prom Defen Derechos POA 2020'!Z24+'05 Prom Defen Derechos POA 2020'!AH24</f>
        <v>0</v>
      </c>
      <c r="J94" s="437">
        <f>'05 Prom Defen Derechos POA 2020'!AR24</f>
        <v>0</v>
      </c>
      <c r="K94" s="440" t="str">
        <f t="shared" si="7"/>
        <v>No programado</v>
      </c>
      <c r="L94" s="440" t="str">
        <f t="shared" si="8"/>
        <v>No programado</v>
      </c>
      <c r="M94" s="417">
        <f>'05 Prom Defen Derechos POA 2020'!AS24</f>
        <v>0</v>
      </c>
      <c r="N94" s="432" t="str">
        <f>'Rango en indicadores'!G36</f>
        <v>Mayor o igual A:</v>
      </c>
      <c r="O94" s="416">
        <f>'Rango en indicadores'!H36</f>
        <v>100</v>
      </c>
      <c r="P94" s="432" t="str">
        <f>'Rango en indicadores'!I36</f>
        <v>Desde (&gt;):</v>
      </c>
      <c r="Q94" s="416">
        <f>'Rango en indicadores'!J36</f>
        <v>99</v>
      </c>
      <c r="R94" s="432" t="str">
        <f>'Rango en indicadores'!K36</f>
        <v>Hasta (&lt;):</v>
      </c>
      <c r="S94" s="416">
        <f>'Rango en indicadores'!L36</f>
        <v>100</v>
      </c>
      <c r="T94" s="432" t="str">
        <f>'Rango en indicadores'!M36</f>
        <v>Menor o Igual A:</v>
      </c>
      <c r="U94" s="416">
        <f>'Rango en indicadores'!N36</f>
        <v>99</v>
      </c>
      <c r="V94" s="418" t="s">
        <v>795</v>
      </c>
    </row>
    <row r="95" spans="2:24" ht="108.75" customHeight="1">
      <c r="B95" s="413">
        <f t="shared" si="10"/>
        <v>33</v>
      </c>
      <c r="C95" s="414" t="str">
        <f>'Rango en indicadores'!E37</f>
        <v xml:space="preserve">Mecanismo de prevención de los peligros que enfrentan los jóvenes de Bogotá D.C. </v>
      </c>
      <c r="D95" s="415" t="str">
        <f>'Rango en indicadores'!D37</f>
        <v>05-RI-15</v>
      </c>
      <c r="E95" s="437">
        <f>'05 Prom Defen Derechos POA 2020'!AQ25</f>
        <v>5</v>
      </c>
      <c r="F95" s="437">
        <f>+'05 Prom Defen Derechos POA 2020'!AG25</f>
        <v>3</v>
      </c>
      <c r="G95" s="437">
        <f>+'05 Prom Defen Derechos POA 2020'!Q25+'05 Prom Defen Derechos POA 2020'!Y25+'05 Prom Defen Derechos POA 2020'!AG25</f>
        <v>4</v>
      </c>
      <c r="H95" s="437">
        <f>+'05 Prom Defen Derechos POA 2020'!AH25</f>
        <v>0</v>
      </c>
      <c r="I95" s="437">
        <f>+'05 Prom Defen Derechos POA 2020'!R25+'05 Prom Defen Derechos POA 2020'!Z25+'05 Prom Defen Derechos POA 2020'!AH25</f>
        <v>0</v>
      </c>
      <c r="J95" s="437">
        <f>'05 Prom Defen Derechos POA 2020'!AR25</f>
        <v>0</v>
      </c>
      <c r="K95" s="417">
        <f t="shared" si="7"/>
        <v>0</v>
      </c>
      <c r="L95" s="417">
        <f t="shared" si="8"/>
        <v>0</v>
      </c>
      <c r="M95" s="417">
        <f>'05 Prom Defen Derechos POA 2020'!AS25</f>
        <v>0</v>
      </c>
      <c r="N95" s="432" t="str">
        <f>'Rango en indicadores'!G37</f>
        <v>Mayor A:</v>
      </c>
      <c r="O95" s="416">
        <f>'Rango en indicadores'!H37</f>
        <v>95</v>
      </c>
      <c r="P95" s="432" t="str">
        <f>'Rango en indicadores'!I37</f>
        <v>Desde (&gt;=):</v>
      </c>
      <c r="Q95" s="416">
        <f>'Rango en indicadores'!J37</f>
        <v>85</v>
      </c>
      <c r="R95" s="432" t="str">
        <f>'Rango en indicadores'!K37</f>
        <v>Hasta (&lt;=):</v>
      </c>
      <c r="S95" s="416">
        <f>'Rango en indicadores'!L37</f>
        <v>95</v>
      </c>
      <c r="T95" s="432" t="str">
        <f>'Rango en indicadores'!M37</f>
        <v>Menor A:</v>
      </c>
      <c r="U95" s="416">
        <f>'Rango en indicadores'!N37</f>
        <v>85</v>
      </c>
      <c r="V95" s="418" t="s">
        <v>908</v>
      </c>
    </row>
    <row r="96" spans="2:24" ht="168.75" customHeight="1">
      <c r="B96" s="413">
        <f t="shared" si="10"/>
        <v>34</v>
      </c>
      <c r="C96" s="414" t="str">
        <f>'Rango en indicadores'!E38</f>
        <v xml:space="preserve">Espacios de transferencia y fortalecimiento de conocimientos realizados para la atención de personas que acuden a la Personería de Bogotá, D. C. </v>
      </c>
      <c r="D96" s="415" t="str">
        <f>'Rango en indicadores'!D38</f>
        <v>05-RI-16</v>
      </c>
      <c r="E96" s="437">
        <f>'05 Prom Defen Derechos POA 2020'!AQ26</f>
        <v>20</v>
      </c>
      <c r="F96" s="437">
        <f>+'05 Prom Defen Derechos POA 2020'!AG26</f>
        <v>4</v>
      </c>
      <c r="G96" s="437">
        <f>+'05 Prom Defen Derechos POA 2020'!Q26+'05 Prom Defen Derechos POA 2020'!Y26+'05 Prom Defen Derechos POA 2020'!AG26</f>
        <v>19</v>
      </c>
      <c r="H96" s="437">
        <f>+'05 Prom Defen Derechos POA 2020'!AH26</f>
        <v>7</v>
      </c>
      <c r="I96" s="437">
        <f>+'05 Prom Defen Derechos POA 2020'!R26+'05 Prom Defen Derechos POA 2020'!Z26+'05 Prom Defen Derechos POA 2020'!AH26</f>
        <v>17</v>
      </c>
      <c r="J96" s="437">
        <f>'05 Prom Defen Derechos POA 2020'!AR26</f>
        <v>17</v>
      </c>
      <c r="K96" s="440">
        <f t="shared" si="7"/>
        <v>1.75</v>
      </c>
      <c r="L96" s="417">
        <f t="shared" si="8"/>
        <v>0.89473684210526316</v>
      </c>
      <c r="M96" s="417">
        <f>'05 Prom Defen Derechos POA 2020'!AS26</f>
        <v>0.85</v>
      </c>
      <c r="N96" s="432" t="str">
        <f>'Rango en indicadores'!G38</f>
        <v>Mayor A:</v>
      </c>
      <c r="O96" s="416">
        <f>'Rango en indicadores'!H38</f>
        <v>95</v>
      </c>
      <c r="P96" s="432" t="str">
        <f>'Rango en indicadores'!I38</f>
        <v>Desde (&gt;=):</v>
      </c>
      <c r="Q96" s="416">
        <f>'Rango en indicadores'!J38</f>
        <v>85</v>
      </c>
      <c r="R96" s="432" t="str">
        <f>'Rango en indicadores'!K38</f>
        <v>Hasta (&lt;=):</v>
      </c>
      <c r="S96" s="416">
        <f>'Rango en indicadores'!L38</f>
        <v>95</v>
      </c>
      <c r="T96" s="432" t="str">
        <f>'Rango en indicadores'!M38</f>
        <v>Menor A:</v>
      </c>
      <c r="U96" s="416">
        <f>'Rango en indicadores'!N38</f>
        <v>85</v>
      </c>
      <c r="V96" s="504" t="s">
        <v>841</v>
      </c>
      <c r="W96" s="439"/>
      <c r="X96" s="439"/>
    </row>
    <row r="97" spans="2:24" ht="182.25" customHeight="1">
      <c r="B97" s="413">
        <f t="shared" si="10"/>
        <v>35</v>
      </c>
      <c r="C97" s="414" t="str">
        <f>'Rango en indicadores'!E39</f>
        <v>Decisiones de fondo y de archivo verificadas</v>
      </c>
      <c r="D97" s="415" t="str">
        <f>'Rango en indicadores'!D39</f>
        <v>05-RI-17</v>
      </c>
      <c r="E97" s="437">
        <f>'05 Prom Defen Derechos POA 2020'!AQ27</f>
        <v>20000</v>
      </c>
      <c r="F97" s="437">
        <f>+'05 Prom Defen Derechos POA 2020'!AG27</f>
        <v>6000</v>
      </c>
      <c r="G97" s="437">
        <f>+'05 Prom Defen Derechos POA 2020'!Q27+'05 Prom Defen Derechos POA 2020'!Y27+'05 Prom Defen Derechos POA 2020'!AG27</f>
        <v>16000</v>
      </c>
      <c r="H97" s="437">
        <f>+'05 Prom Defen Derechos POA 2020'!AH27</f>
        <v>5396</v>
      </c>
      <c r="I97" s="437">
        <f>+'05 Prom Defen Derechos POA 2020'!R27+'05 Prom Defen Derechos POA 2020'!Z27+'05 Prom Defen Derechos POA 2020'!AH27</f>
        <v>12254</v>
      </c>
      <c r="J97" s="437">
        <f>'05 Prom Defen Derechos POA 2020'!AR27</f>
        <v>12254</v>
      </c>
      <c r="K97" s="417">
        <f t="shared" si="7"/>
        <v>0.89933333333333332</v>
      </c>
      <c r="L97" s="417">
        <f t="shared" si="8"/>
        <v>0.76587499999999997</v>
      </c>
      <c r="M97" s="417">
        <f>'05 Prom Defen Derechos POA 2020'!AS27</f>
        <v>0.61270000000000002</v>
      </c>
      <c r="N97" s="432" t="str">
        <f>'Rango en indicadores'!G39</f>
        <v>Mayor A:</v>
      </c>
      <c r="O97" s="416">
        <f>'Rango en indicadores'!H39</f>
        <v>90</v>
      </c>
      <c r="P97" s="432" t="str">
        <f>'Rango en indicadores'!I39</f>
        <v>Desde (&gt;=):</v>
      </c>
      <c r="Q97" s="416">
        <f>'Rango en indicadores'!J39</f>
        <v>70</v>
      </c>
      <c r="R97" s="432" t="str">
        <f>'Rango en indicadores'!K39</f>
        <v>Hasta (&lt;=):</v>
      </c>
      <c r="S97" s="416">
        <f>'Rango en indicadores'!L39</f>
        <v>90</v>
      </c>
      <c r="T97" s="432" t="str">
        <f>'Rango en indicadores'!M39</f>
        <v>Menor A:</v>
      </c>
      <c r="U97" s="416">
        <f>'Rango en indicadores'!N39</f>
        <v>70</v>
      </c>
      <c r="V97" s="438" t="s">
        <v>840</v>
      </c>
      <c r="W97" s="439"/>
      <c r="X97" s="439"/>
    </row>
    <row r="98" spans="2:24" ht="164.25" customHeight="1">
      <c r="B98" s="413">
        <f t="shared" si="10"/>
        <v>36</v>
      </c>
      <c r="C98" s="414" t="str">
        <f>'Rango en indicadores'!E40</f>
        <v>Asistencia a Audiencias Públicas</v>
      </c>
      <c r="D98" s="415" t="str">
        <f>'Rango en indicadores'!D40</f>
        <v>05-RI-27</v>
      </c>
      <c r="E98" s="437">
        <f>'05 Prom Defen Derechos POA 2020'!AQ28</f>
        <v>5500</v>
      </c>
      <c r="F98" s="437">
        <f>+'05 Prom Defen Derechos POA 2020'!AG28</f>
        <v>1650</v>
      </c>
      <c r="G98" s="437">
        <f>+'05 Prom Defen Derechos POA 2020'!Q28+'05 Prom Defen Derechos POA 2020'!Y28+'05 Prom Defen Derechos POA 2020'!AG28</f>
        <v>4400</v>
      </c>
      <c r="H98" s="437">
        <f>+'05 Prom Defen Derechos POA 2020'!AH28</f>
        <v>2127</v>
      </c>
      <c r="I98" s="437">
        <f>+'05 Prom Defen Derechos POA 2020'!R28+'05 Prom Defen Derechos POA 2020'!Z28+'05 Prom Defen Derechos POA 2020'!AH28</f>
        <v>3998</v>
      </c>
      <c r="J98" s="437">
        <f>'05 Prom Defen Derechos POA 2020'!AR28</f>
        <v>3998</v>
      </c>
      <c r="K98" s="417">
        <f t="shared" si="7"/>
        <v>1.2890909090909091</v>
      </c>
      <c r="L98" s="417">
        <f t="shared" si="8"/>
        <v>0.90863636363636369</v>
      </c>
      <c r="M98" s="417">
        <f>'05 Prom Defen Derechos POA 2020'!AS28</f>
        <v>0.72690909090909095</v>
      </c>
      <c r="N98" s="432" t="str">
        <f>'Rango en indicadores'!G40</f>
        <v>Mayor A:</v>
      </c>
      <c r="O98" s="416">
        <f>'Rango en indicadores'!H40</f>
        <v>90</v>
      </c>
      <c r="P98" s="432" t="str">
        <f>'Rango en indicadores'!I40</f>
        <v>Desde (&gt;=):</v>
      </c>
      <c r="Q98" s="416">
        <f>'Rango en indicadores'!J40</f>
        <v>70</v>
      </c>
      <c r="R98" s="432" t="str">
        <f>'Rango en indicadores'!K40</f>
        <v>Hasta (&lt;=):</v>
      </c>
      <c r="S98" s="416">
        <f>'Rango en indicadores'!L40</f>
        <v>90</v>
      </c>
      <c r="T98" s="432" t="str">
        <f>'Rango en indicadores'!M40</f>
        <v>Menor A:</v>
      </c>
      <c r="U98" s="416">
        <f>'Rango en indicadores'!N40</f>
        <v>70</v>
      </c>
      <c r="V98" s="438" t="s">
        <v>909</v>
      </c>
      <c r="W98" s="439"/>
      <c r="X98" s="439"/>
    </row>
    <row r="99" spans="2:24" ht="195.75" customHeight="1">
      <c r="B99" s="413">
        <f t="shared" si="10"/>
        <v>37</v>
      </c>
      <c r="C99" s="414" t="str">
        <f>'Rango en indicadores'!E41</f>
        <v>Sensibilizaciones realizadas en valores, derechos y  obligaciones</v>
      </c>
      <c r="D99" s="415" t="str">
        <f>'Rango en indicadores'!D41</f>
        <v>05-RI-28</v>
      </c>
      <c r="E99" s="437">
        <f>'05 Prom Defen Derechos POA 2020'!AQ29</f>
        <v>8000</v>
      </c>
      <c r="F99" s="437">
        <f>+'05 Prom Defen Derechos POA 2020'!AG29</f>
        <v>3850</v>
      </c>
      <c r="G99" s="437">
        <f>+'05 Prom Defen Derechos POA 2020'!Q29+'05 Prom Defen Derechos POA 2020'!Y29+'05 Prom Defen Derechos POA 2020'!AG29</f>
        <v>6600</v>
      </c>
      <c r="H99" s="437">
        <f>+'05 Prom Defen Derechos POA 2020'!AH29</f>
        <v>5334</v>
      </c>
      <c r="I99" s="437">
        <f>+'05 Prom Defen Derechos POA 2020'!R29+'05 Prom Defen Derechos POA 2020'!Z29+'05 Prom Defen Derechos POA 2020'!AH29</f>
        <v>9674</v>
      </c>
      <c r="J99" s="437">
        <f>'05 Prom Defen Derechos POA 2020'!AR29</f>
        <v>9674</v>
      </c>
      <c r="K99" s="417">
        <f t="shared" si="7"/>
        <v>1.3854545454545455</v>
      </c>
      <c r="L99" s="417">
        <f t="shared" si="8"/>
        <v>1.4657575757575758</v>
      </c>
      <c r="M99" s="417">
        <f>'05 Prom Defen Derechos POA 2020'!AS29</f>
        <v>1.2092499999999999</v>
      </c>
      <c r="N99" s="432" t="str">
        <f>'Rango en indicadores'!G41</f>
        <v>Mayor A:</v>
      </c>
      <c r="O99" s="416">
        <f>'Rango en indicadores'!H41</f>
        <v>90</v>
      </c>
      <c r="P99" s="432" t="str">
        <f>'Rango en indicadores'!I41</f>
        <v>Desde (&gt;=):</v>
      </c>
      <c r="Q99" s="416">
        <f>'Rango en indicadores'!J41</f>
        <v>70</v>
      </c>
      <c r="R99" s="432" t="str">
        <f>'Rango en indicadores'!K41</f>
        <v>Hasta (&lt;=):</v>
      </c>
      <c r="S99" s="416">
        <f>'Rango en indicadores'!L41</f>
        <v>90</v>
      </c>
      <c r="T99" s="432" t="str">
        <f>'Rango en indicadores'!M41</f>
        <v>Menor A:</v>
      </c>
      <c r="U99" s="416">
        <f>'Rango en indicadores'!N41</f>
        <v>70</v>
      </c>
      <c r="V99" s="418" t="s">
        <v>842</v>
      </c>
      <c r="W99" s="505"/>
      <c r="X99" s="439"/>
    </row>
    <row r="100" spans="2:24" ht="192" customHeight="1">
      <c r="B100" s="413">
        <f t="shared" si="10"/>
        <v>38</v>
      </c>
      <c r="C100" s="414" t="str">
        <f>'Rango en indicadores'!E42</f>
        <v>Actividades realizadas para fortalecer y promover la participación ciudadana</v>
      </c>
      <c r="D100" s="415" t="str">
        <f>'Rango en indicadores'!D42</f>
        <v>05-RI-29</v>
      </c>
      <c r="E100" s="437">
        <f>'05 Prom Defen Derechos POA 2020'!AQ30</f>
        <v>40</v>
      </c>
      <c r="F100" s="437">
        <f>+'05 Prom Defen Derechos POA 2020'!AG30</f>
        <v>20</v>
      </c>
      <c r="G100" s="437">
        <f>+'05 Prom Defen Derechos POA 2020'!Q30+'05 Prom Defen Derechos POA 2020'!Y30+'05 Prom Defen Derechos POA 2020'!AG30</f>
        <v>40</v>
      </c>
      <c r="H100" s="437">
        <f>+'05 Prom Defen Derechos POA 2020'!AH30</f>
        <v>16</v>
      </c>
      <c r="I100" s="437">
        <f>+'05 Prom Defen Derechos POA 2020'!R30+'05 Prom Defen Derechos POA 2020'!Z30+'05 Prom Defen Derechos POA 2020'!AH30</f>
        <v>44</v>
      </c>
      <c r="J100" s="437">
        <f>'05 Prom Defen Derechos POA 2020'!AR30</f>
        <v>44</v>
      </c>
      <c r="K100" s="417">
        <f t="shared" si="7"/>
        <v>0.8</v>
      </c>
      <c r="L100" s="417">
        <f t="shared" si="8"/>
        <v>1.1000000000000001</v>
      </c>
      <c r="M100" s="417">
        <f>'05 Prom Defen Derechos POA 2020'!AS30</f>
        <v>1.1000000000000001</v>
      </c>
      <c r="N100" s="432" t="str">
        <f>'Rango en indicadores'!G42</f>
        <v>Mayor A:</v>
      </c>
      <c r="O100" s="416">
        <f>'Rango en indicadores'!H42</f>
        <v>90</v>
      </c>
      <c r="P100" s="432" t="str">
        <f>'Rango en indicadores'!I42</f>
        <v>Desde (&gt;=):</v>
      </c>
      <c r="Q100" s="416">
        <f>'Rango en indicadores'!J42</f>
        <v>70</v>
      </c>
      <c r="R100" s="432" t="str">
        <f>'Rango en indicadores'!K42</f>
        <v>Hasta (&lt;=):</v>
      </c>
      <c r="S100" s="416">
        <f>'Rango en indicadores'!L42</f>
        <v>90</v>
      </c>
      <c r="T100" s="432" t="str">
        <f>'Rango en indicadores'!M42</f>
        <v>Menor A:</v>
      </c>
      <c r="U100" s="416">
        <f>'Rango en indicadores'!N42</f>
        <v>70</v>
      </c>
      <c r="V100" s="438" t="s">
        <v>910</v>
      </c>
      <c r="W100" s="439"/>
      <c r="X100" s="439"/>
    </row>
    <row r="101" spans="2:24" ht="175.5" customHeight="1">
      <c r="B101" s="413">
        <f t="shared" si="10"/>
        <v>39</v>
      </c>
      <c r="C101" s="414" t="str">
        <f>'Rango en indicadores'!E43</f>
        <v>Sensibilización en medio ambiente</v>
      </c>
      <c r="D101" s="415" t="str">
        <f>'Rango en indicadores'!D43</f>
        <v>05-RI-30</v>
      </c>
      <c r="E101" s="437">
        <f>'05 Prom Defen Derechos POA 2020'!AQ31</f>
        <v>2000</v>
      </c>
      <c r="F101" s="437">
        <f>+'05 Prom Defen Derechos POA 2020'!AG31</f>
        <v>950</v>
      </c>
      <c r="G101" s="437">
        <f>+'05 Prom Defen Derechos POA 2020'!Q31+'05 Prom Defen Derechos POA 2020'!Y31+'05 Prom Defen Derechos POA 2020'!AG31</f>
        <v>1550</v>
      </c>
      <c r="H101" s="437">
        <f>+'05 Prom Defen Derechos POA 2020'!AH31</f>
        <v>1119</v>
      </c>
      <c r="I101" s="437">
        <f>+'05 Prom Defen Derechos POA 2020'!R31+'05 Prom Defen Derechos POA 2020'!Z31+'05 Prom Defen Derechos POA 2020'!AH31</f>
        <v>1893</v>
      </c>
      <c r="J101" s="437">
        <f>'05 Prom Defen Derechos POA 2020'!AR31</f>
        <v>1893</v>
      </c>
      <c r="K101" s="417">
        <f t="shared" si="7"/>
        <v>1.1778947368421053</v>
      </c>
      <c r="L101" s="417">
        <f t="shared" si="8"/>
        <v>1.2212903225806451</v>
      </c>
      <c r="M101" s="417">
        <f>'05 Prom Defen Derechos POA 2020'!AS31</f>
        <v>0.94650000000000001</v>
      </c>
      <c r="N101" s="432" t="str">
        <f>'Rango en indicadores'!G43</f>
        <v>Mayor A:</v>
      </c>
      <c r="O101" s="416">
        <f>'Rango en indicadores'!H43</f>
        <v>90</v>
      </c>
      <c r="P101" s="432" t="str">
        <f>'Rango en indicadores'!I43</f>
        <v>Desde (&gt;=):</v>
      </c>
      <c r="Q101" s="416">
        <f>'Rango en indicadores'!J43</f>
        <v>70</v>
      </c>
      <c r="R101" s="432" t="str">
        <f>'Rango en indicadores'!K43</f>
        <v>Hasta (&lt;=):</v>
      </c>
      <c r="S101" s="416">
        <f>'Rango en indicadores'!L43</f>
        <v>90</v>
      </c>
      <c r="T101" s="432" t="str">
        <f>'Rango en indicadores'!M43</f>
        <v>Menor A:</v>
      </c>
      <c r="U101" s="416">
        <f>'Rango en indicadores'!N43</f>
        <v>70</v>
      </c>
      <c r="V101" s="418" t="s">
        <v>843</v>
      </c>
      <c r="W101" s="439"/>
      <c r="X101" s="439"/>
    </row>
    <row r="102" spans="2:24" ht="164.25" customHeight="1">
      <c r="B102" s="413">
        <f t="shared" si="10"/>
        <v>40</v>
      </c>
      <c r="C102" s="414" t="str">
        <f>'Rango en indicadores'!E44</f>
        <v>Elaboración de tutelas</v>
      </c>
      <c r="D102" s="415" t="str">
        <f>'Rango en indicadores'!D44</f>
        <v>05-RI-31</v>
      </c>
      <c r="E102" s="437">
        <f>'05 Prom Defen Derechos POA 2020'!AQ32</f>
        <v>1000</v>
      </c>
      <c r="F102" s="437">
        <f>+'05 Prom Defen Derechos POA 2020'!AG32</f>
        <v>300</v>
      </c>
      <c r="G102" s="437">
        <f>+'05 Prom Defen Derechos POA 2020'!Q32+'05 Prom Defen Derechos POA 2020'!Y32+'05 Prom Defen Derechos POA 2020'!AG32</f>
        <v>800</v>
      </c>
      <c r="H102" s="437">
        <f>+'05 Prom Defen Derechos POA 2020'!AH32</f>
        <v>132</v>
      </c>
      <c r="I102" s="437">
        <f>+'05 Prom Defen Derechos POA 2020'!R32+'05 Prom Defen Derechos POA 2020'!Z32+'05 Prom Defen Derechos POA 2020'!AH32</f>
        <v>472</v>
      </c>
      <c r="J102" s="437">
        <f>'05 Prom Defen Derechos POA 2020'!AR32</f>
        <v>472</v>
      </c>
      <c r="K102" s="417">
        <f t="shared" si="7"/>
        <v>0.44</v>
      </c>
      <c r="L102" s="417">
        <f t="shared" si="8"/>
        <v>0.59</v>
      </c>
      <c r="M102" s="417">
        <f>'05 Prom Defen Derechos POA 2020'!AS32</f>
        <v>0.47199999999999998</v>
      </c>
      <c r="N102" s="432" t="str">
        <f>'Rango en indicadores'!G44</f>
        <v>Mayor A:</v>
      </c>
      <c r="O102" s="416">
        <f>'Rango en indicadores'!H44</f>
        <v>90</v>
      </c>
      <c r="P102" s="432" t="str">
        <f>'Rango en indicadores'!I44</f>
        <v>Desde (&gt;=):</v>
      </c>
      <c r="Q102" s="416">
        <f>'Rango en indicadores'!J44</f>
        <v>70</v>
      </c>
      <c r="R102" s="432" t="str">
        <f>'Rango en indicadores'!K44</f>
        <v>Hasta (&lt;=):</v>
      </c>
      <c r="S102" s="416">
        <f>'Rango en indicadores'!L44</f>
        <v>90</v>
      </c>
      <c r="T102" s="432" t="str">
        <f>'Rango en indicadores'!M44</f>
        <v>Menor A:</v>
      </c>
      <c r="U102" s="416">
        <f>'Rango en indicadores'!N44</f>
        <v>70</v>
      </c>
      <c r="V102" s="438" t="s">
        <v>844</v>
      </c>
      <c r="W102" s="439"/>
      <c r="X102" s="439"/>
    </row>
    <row r="103" spans="2:24" ht="174.75" customHeight="1">
      <c r="B103" s="413">
        <f t="shared" si="10"/>
        <v>41</v>
      </c>
      <c r="C103" s="414" t="str">
        <f>'Rango en indicadores'!E45</f>
        <v>Intervenciones realizadas (impulsos realizados)</v>
      </c>
      <c r="D103" s="415" t="str">
        <f>'Rango en indicadores'!D45</f>
        <v>05-RI-32</v>
      </c>
      <c r="E103" s="437">
        <f>'05 Prom Defen Derechos POA 2020'!AQ33</f>
        <v>5000</v>
      </c>
      <c r="F103" s="437">
        <f>+'05 Prom Defen Derechos POA 2020'!AG33</f>
        <v>1200</v>
      </c>
      <c r="G103" s="437">
        <f>+'05 Prom Defen Derechos POA 2020'!Q33+'05 Prom Defen Derechos POA 2020'!Y33+'05 Prom Defen Derechos POA 2020'!AG33</f>
        <v>4300</v>
      </c>
      <c r="H103" s="437">
        <f>+'05 Prom Defen Derechos POA 2020'!AH33</f>
        <v>1707</v>
      </c>
      <c r="I103" s="437">
        <f>+'05 Prom Defen Derechos POA 2020'!R33+'05 Prom Defen Derechos POA 2020'!Z33+'05 Prom Defen Derechos POA 2020'!AH33</f>
        <v>3374</v>
      </c>
      <c r="J103" s="437">
        <f>'05 Prom Defen Derechos POA 2020'!AR33</f>
        <v>3374</v>
      </c>
      <c r="K103" s="417">
        <f t="shared" si="7"/>
        <v>1.4225000000000001</v>
      </c>
      <c r="L103" s="417">
        <f t="shared" si="8"/>
        <v>0.78465116279069769</v>
      </c>
      <c r="M103" s="417">
        <f>'05 Prom Defen Derechos POA 2020'!AS33</f>
        <v>0.67479999999999996</v>
      </c>
      <c r="N103" s="432" t="str">
        <f>'Rango en indicadores'!G45</f>
        <v>Mayor A:</v>
      </c>
      <c r="O103" s="416">
        <f>'Rango en indicadores'!H45</f>
        <v>90</v>
      </c>
      <c r="P103" s="432" t="str">
        <f>'Rango en indicadores'!I45</f>
        <v>Desde (&gt;=):</v>
      </c>
      <c r="Q103" s="416">
        <f>'Rango en indicadores'!J45</f>
        <v>70</v>
      </c>
      <c r="R103" s="432" t="str">
        <f>'Rango en indicadores'!K45</f>
        <v>Hasta (&lt;=):</v>
      </c>
      <c r="S103" s="416">
        <f>'Rango en indicadores'!L45</f>
        <v>90</v>
      </c>
      <c r="T103" s="432" t="str">
        <f>'Rango en indicadores'!M45</f>
        <v>Menor A:</v>
      </c>
      <c r="U103" s="416">
        <f>'Rango en indicadores'!N45</f>
        <v>70</v>
      </c>
      <c r="V103" s="438" t="s">
        <v>845</v>
      </c>
      <c r="W103" s="439"/>
      <c r="X103" s="439"/>
    </row>
    <row r="104" spans="2:24" ht="15.75">
      <c r="C104" s="587" t="s">
        <v>615</v>
      </c>
      <c r="D104" s="588"/>
      <c r="E104" s="588"/>
      <c r="F104" s="588"/>
      <c r="G104" s="588"/>
      <c r="H104" s="588"/>
      <c r="I104" s="588"/>
      <c r="J104" s="589"/>
      <c r="K104" s="422">
        <f>IFERROR(AVERAGE(K83:K103),0)</f>
        <v>1.0779784275744739</v>
      </c>
      <c r="L104" s="422">
        <f>IFERROR(AVERAGE(L83:L103),0)</f>
        <v>0.95860517544131585</v>
      </c>
      <c r="M104" s="422">
        <f>IFERROR(AVERAGE(M83:M103),0)</f>
        <v>0.71887971784158422</v>
      </c>
      <c r="N104" s="434"/>
      <c r="O104" s="434"/>
      <c r="P104" s="434"/>
      <c r="Q104" s="434"/>
      <c r="R104" s="434"/>
      <c r="S104" s="434"/>
      <c r="T104" s="434"/>
      <c r="U104" s="434"/>
      <c r="V104" s="424"/>
    </row>
    <row r="105" spans="2:24" s="407" customFormat="1">
      <c r="D105" s="408"/>
      <c r="V105" s="409"/>
    </row>
    <row r="106" spans="2:24" s="407" customFormat="1" ht="15.75">
      <c r="C106" s="410" t="s">
        <v>629</v>
      </c>
      <c r="D106" s="429"/>
      <c r="V106" s="409"/>
    </row>
    <row r="107" spans="2:24" ht="33.75" customHeight="1">
      <c r="C107" s="575" t="s">
        <v>605</v>
      </c>
      <c r="D107" s="574" t="s">
        <v>606</v>
      </c>
      <c r="E107" s="576" t="s">
        <v>607</v>
      </c>
      <c r="F107" s="577"/>
      <c r="G107" s="578"/>
      <c r="H107" s="574" t="s">
        <v>608</v>
      </c>
      <c r="I107" s="586" t="str">
        <f>$I$31</f>
        <v>Ejecución Acumulada Corte
30/09/2020</v>
      </c>
      <c r="J107" s="574" t="s">
        <v>609</v>
      </c>
      <c r="K107" s="574" t="s">
        <v>581</v>
      </c>
      <c r="L107" s="574"/>
      <c r="M107" s="574"/>
      <c r="N107" s="573" t="s">
        <v>679</v>
      </c>
      <c r="O107" s="573"/>
      <c r="P107" s="573"/>
      <c r="Q107" s="573"/>
      <c r="R107" s="573"/>
      <c r="S107" s="573"/>
      <c r="T107" s="573"/>
      <c r="U107" s="573"/>
      <c r="V107" s="593" t="s">
        <v>610</v>
      </c>
    </row>
    <row r="108" spans="2:24" ht="39" customHeight="1">
      <c r="C108" s="575"/>
      <c r="D108" s="574"/>
      <c r="E108" s="411" t="s">
        <v>673</v>
      </c>
      <c r="F108" s="411" t="str">
        <f>$C$5</f>
        <v>Tercer Trimestre</v>
      </c>
      <c r="G108" s="484" t="str">
        <f>$G$31</f>
        <v>Acumulada Corte
30/09/2020</v>
      </c>
      <c r="H108" s="574"/>
      <c r="I108" s="586"/>
      <c r="J108" s="574"/>
      <c r="K108" s="411" t="str">
        <f>+$C$5</f>
        <v>Tercer Trimestre</v>
      </c>
      <c r="L108" s="484" t="str">
        <f>$L$31</f>
        <v>Acumulado Corte 30/09/2020</v>
      </c>
      <c r="M108" s="411" t="s">
        <v>582</v>
      </c>
      <c r="N108" s="551" t="s">
        <v>767</v>
      </c>
      <c r="O108" s="552"/>
      <c r="P108" s="548" t="s">
        <v>674</v>
      </c>
      <c r="Q108" s="549"/>
      <c r="R108" s="549"/>
      <c r="S108" s="550"/>
      <c r="T108" s="553" t="s">
        <v>768</v>
      </c>
      <c r="U108" s="554"/>
      <c r="V108" s="593"/>
    </row>
    <row r="109" spans="2:24" ht="120.75" customHeight="1">
      <c r="B109" s="413">
        <f>+B103+1</f>
        <v>42</v>
      </c>
      <c r="C109" s="414" t="str">
        <f>'Rango en indicadores'!E46</f>
        <v xml:space="preserve">Audiencias  y mesas de trabajo realizadas 
</v>
      </c>
      <c r="D109" s="415" t="str">
        <f>'Rango en indicadores'!D46</f>
        <v>06-RI-02</v>
      </c>
      <c r="E109" s="437">
        <f>'06 Prev Ctrl Func Públ POA 2020'!AQ13</f>
        <v>11</v>
      </c>
      <c r="F109" s="437">
        <f>'06 Prev Ctrl Func Públ POA 2020'!AG13</f>
        <v>3</v>
      </c>
      <c r="G109" s="437">
        <f>+'06 Prev Ctrl Func Públ POA 2020'!Q13+'06 Prev Ctrl Func Públ POA 2020'!Y13+'06 Prev Ctrl Func Públ POA 2020'!AG13</f>
        <v>8</v>
      </c>
      <c r="H109" s="437">
        <f>+'06 Prev Ctrl Func Públ POA 2020'!AH13</f>
        <v>3</v>
      </c>
      <c r="I109" s="437">
        <f>+'06 Prev Ctrl Func Públ POA 2020'!R13+'06 Prev Ctrl Func Públ POA 2020'!Z13+'06 Prev Ctrl Func Públ POA 2020'!AH13</f>
        <v>8</v>
      </c>
      <c r="J109" s="437">
        <f>'06 Prev Ctrl Func Públ POA 2020'!AR13</f>
        <v>8</v>
      </c>
      <c r="K109" s="441">
        <f t="shared" ref="K109:K114" si="11">IF(AND(F109&gt;0),H109/F109,"No programado")</f>
        <v>1</v>
      </c>
      <c r="L109" s="441">
        <f>IF(AND(G109&gt;0),I109/G109,"No programado")</f>
        <v>1</v>
      </c>
      <c r="M109" s="441">
        <f>'06 Prev Ctrl Func Públ POA 2020'!AS13</f>
        <v>0.72727272727272729</v>
      </c>
      <c r="N109" s="432" t="str">
        <f>'Rango en indicadores'!G46</f>
        <v>Mayor A:</v>
      </c>
      <c r="O109" s="416">
        <f>'Rango en indicadores'!H46</f>
        <v>90</v>
      </c>
      <c r="P109" s="432" t="str">
        <f>'Rango en indicadores'!I46</f>
        <v>Desde (&gt;=):</v>
      </c>
      <c r="Q109" s="416">
        <f>'Rango en indicadores'!J46</f>
        <v>69</v>
      </c>
      <c r="R109" s="432" t="str">
        <f>'Rango en indicadores'!K46</f>
        <v>Hasta (&lt;=):</v>
      </c>
      <c r="S109" s="416">
        <f>'Rango en indicadores'!L46</f>
        <v>90</v>
      </c>
      <c r="T109" s="432" t="str">
        <f>'Rango en indicadores'!M46</f>
        <v>Menor A:</v>
      </c>
      <c r="U109" s="416">
        <f>'Rango en indicadores'!N46</f>
        <v>69</v>
      </c>
      <c r="V109" s="418" t="s">
        <v>846</v>
      </c>
    </row>
    <row r="110" spans="2:24" ht="165.75" customHeight="1">
      <c r="B110" s="413">
        <f>+B109+1</f>
        <v>43</v>
      </c>
      <c r="C110" s="414" t="str">
        <f>'Rango en indicadores'!E47</f>
        <v>Acciones de prevención y control a la función pública realizadas</v>
      </c>
      <c r="D110" s="415" t="str">
        <f>'Rango en indicadores'!D47</f>
        <v>06-RI-04</v>
      </c>
      <c r="E110" s="437">
        <f>'06 Prev Ctrl Func Públ POA 2020'!AQ14</f>
        <v>96</v>
      </c>
      <c r="F110" s="437">
        <f>'06 Prev Ctrl Func Públ POA 2020'!AG14</f>
        <v>45</v>
      </c>
      <c r="G110" s="437">
        <f>+'06 Prev Ctrl Func Públ POA 2020'!Q14+'06 Prev Ctrl Func Públ POA 2020'!Y14+'06 Prev Ctrl Func Públ POA 2020'!AG14</f>
        <v>72</v>
      </c>
      <c r="H110" s="437">
        <f>+'06 Prev Ctrl Func Públ POA 2020'!AH14</f>
        <v>45</v>
      </c>
      <c r="I110" s="437">
        <f>+'06 Prev Ctrl Func Públ POA 2020'!R14+'06 Prev Ctrl Func Públ POA 2020'!Z14+'06 Prev Ctrl Func Públ POA 2020'!AH14</f>
        <v>67</v>
      </c>
      <c r="J110" s="437">
        <f>'06 Prev Ctrl Func Públ POA 2020'!AR14</f>
        <v>67</v>
      </c>
      <c r="K110" s="441">
        <f t="shared" si="11"/>
        <v>1</v>
      </c>
      <c r="L110" s="441">
        <f t="shared" ref="L110:L114" si="12">IF(AND(G110&gt;0),I110/G110,"No programado")</f>
        <v>0.93055555555555558</v>
      </c>
      <c r="M110" s="441">
        <f>'06 Prev Ctrl Func Públ POA 2020'!AS14</f>
        <v>0.69791666666666663</v>
      </c>
      <c r="N110" s="432" t="str">
        <f>'Rango en indicadores'!G47</f>
        <v>Mayor A:</v>
      </c>
      <c r="O110" s="416">
        <f>'Rango en indicadores'!H47</f>
        <v>90</v>
      </c>
      <c r="P110" s="432" t="str">
        <f>'Rango en indicadores'!I47</f>
        <v>Desde (&gt;=):</v>
      </c>
      <c r="Q110" s="416">
        <f>'Rango en indicadores'!J47</f>
        <v>69</v>
      </c>
      <c r="R110" s="432" t="str">
        <f>'Rango en indicadores'!K47</f>
        <v>Hasta (&lt;=):</v>
      </c>
      <c r="S110" s="416">
        <f>'Rango en indicadores'!L47</f>
        <v>90</v>
      </c>
      <c r="T110" s="432" t="str">
        <f>'Rango en indicadores'!M47</f>
        <v>Menor A:</v>
      </c>
      <c r="U110" s="416">
        <f>'Rango en indicadores'!N47</f>
        <v>69</v>
      </c>
      <c r="V110" s="418" t="s">
        <v>847</v>
      </c>
      <c r="W110" s="439"/>
      <c r="X110" s="439"/>
    </row>
    <row r="111" spans="2:24" ht="166.5" customHeight="1">
      <c r="B111" s="413">
        <f>+B110+1</f>
        <v>44</v>
      </c>
      <c r="C111" s="414" t="str">
        <f>'Rango en indicadores'!E48</f>
        <v>Seguimientos realizados</v>
      </c>
      <c r="D111" s="415" t="str">
        <f>'Rango en indicadores'!D48</f>
        <v>06-RI-05</v>
      </c>
      <c r="E111" s="437">
        <f>'06 Prev Ctrl Func Públ POA 2020'!AQ15</f>
        <v>46</v>
      </c>
      <c r="F111" s="437">
        <f>'06 Prev Ctrl Func Públ POA 2020'!AG15</f>
        <v>9</v>
      </c>
      <c r="G111" s="437">
        <f>+'06 Prev Ctrl Func Públ POA 2020'!Q15+'06 Prev Ctrl Func Públ POA 2020'!Y15+'06 Prev Ctrl Func Públ POA 2020'!AG15</f>
        <v>33</v>
      </c>
      <c r="H111" s="437">
        <f>+'06 Prev Ctrl Func Públ POA 2020'!AH15</f>
        <v>15</v>
      </c>
      <c r="I111" s="437">
        <f>+'06 Prev Ctrl Func Públ POA 2020'!R15+'06 Prev Ctrl Func Públ POA 2020'!Z15+'06 Prev Ctrl Func Públ POA 2020'!AH15</f>
        <v>32</v>
      </c>
      <c r="J111" s="437">
        <f>'06 Prev Ctrl Func Públ POA 2020'!AR15</f>
        <v>32</v>
      </c>
      <c r="K111" s="441">
        <f t="shared" si="11"/>
        <v>1.6666666666666667</v>
      </c>
      <c r="L111" s="441">
        <f t="shared" si="12"/>
        <v>0.96969696969696972</v>
      </c>
      <c r="M111" s="441">
        <f>'06 Prev Ctrl Func Públ POA 2020'!AS15</f>
        <v>0.69565217391304346</v>
      </c>
      <c r="N111" s="432" t="str">
        <f>'Rango en indicadores'!G48</f>
        <v>Mayor A:</v>
      </c>
      <c r="O111" s="416">
        <f>'Rango en indicadores'!H48</f>
        <v>90</v>
      </c>
      <c r="P111" s="432" t="str">
        <f>'Rango en indicadores'!I48</f>
        <v>Desde (&gt;=):</v>
      </c>
      <c r="Q111" s="416">
        <f>'Rango en indicadores'!J48</f>
        <v>69</v>
      </c>
      <c r="R111" s="432" t="str">
        <f>'Rango en indicadores'!K48</f>
        <v>Hasta (&lt;=):</v>
      </c>
      <c r="S111" s="416">
        <f>'Rango en indicadores'!L48</f>
        <v>90</v>
      </c>
      <c r="T111" s="432" t="str">
        <f>'Rango en indicadores'!M48</f>
        <v>Menor A:</v>
      </c>
      <c r="U111" s="416">
        <f>'Rango en indicadores'!N48</f>
        <v>69</v>
      </c>
      <c r="V111" s="418" t="s">
        <v>911</v>
      </c>
      <c r="W111" s="439"/>
      <c r="X111" s="439"/>
    </row>
    <row r="112" spans="2:24" ht="150" customHeight="1">
      <c r="B112" s="413">
        <f>+B111+1</f>
        <v>45</v>
      </c>
      <c r="C112" s="414" t="str">
        <f>'Rango en indicadores'!E49</f>
        <v>Seguimiento presupuestal</v>
      </c>
      <c r="D112" s="415" t="str">
        <f>'Rango en indicadores'!D49</f>
        <v>06-RI-06</v>
      </c>
      <c r="E112" s="437">
        <f>'06 Prev Ctrl Func Públ POA 2020'!AQ16</f>
        <v>60</v>
      </c>
      <c r="F112" s="437">
        <f>'06 Prev Ctrl Func Públ POA 2020'!AG16</f>
        <v>20</v>
      </c>
      <c r="G112" s="437">
        <f>+'06 Prev Ctrl Func Públ POA 2020'!Q16+'06 Prev Ctrl Func Públ POA 2020'!Y16+'06 Prev Ctrl Func Públ POA 2020'!AG16</f>
        <v>40</v>
      </c>
      <c r="H112" s="437">
        <f>+'06 Prev Ctrl Func Públ POA 2020'!AH16</f>
        <v>23</v>
      </c>
      <c r="I112" s="437">
        <f>+'06 Prev Ctrl Func Públ POA 2020'!R16+'06 Prev Ctrl Func Públ POA 2020'!Z16+'06 Prev Ctrl Func Públ POA 2020'!AH16</f>
        <v>36</v>
      </c>
      <c r="J112" s="437">
        <f>'06 Prev Ctrl Func Públ POA 2020'!AR16</f>
        <v>36</v>
      </c>
      <c r="K112" s="441">
        <f t="shared" si="11"/>
        <v>1.1499999999999999</v>
      </c>
      <c r="L112" s="441">
        <f t="shared" si="12"/>
        <v>0.9</v>
      </c>
      <c r="M112" s="441">
        <f>'06 Prev Ctrl Func Públ POA 2020'!AS16</f>
        <v>0.6</v>
      </c>
      <c r="N112" s="432" t="str">
        <f>'Rango en indicadores'!G49</f>
        <v>Mayor A:</v>
      </c>
      <c r="O112" s="416">
        <f>'Rango en indicadores'!H49</f>
        <v>90</v>
      </c>
      <c r="P112" s="432" t="str">
        <f>'Rango en indicadores'!I49</f>
        <v>Desde (&gt;=):</v>
      </c>
      <c r="Q112" s="416">
        <f>'Rango en indicadores'!J49</f>
        <v>70</v>
      </c>
      <c r="R112" s="432" t="str">
        <f>'Rango en indicadores'!K49</f>
        <v>Hasta (&lt;=):</v>
      </c>
      <c r="S112" s="416">
        <f>'Rango en indicadores'!L49</f>
        <v>90</v>
      </c>
      <c r="T112" s="432" t="str">
        <f>'Rango en indicadores'!M49</f>
        <v>Menor A:</v>
      </c>
      <c r="U112" s="416">
        <f>'Rango en indicadores'!N49</f>
        <v>70</v>
      </c>
      <c r="V112" s="418" t="s">
        <v>912</v>
      </c>
      <c r="W112" s="439"/>
      <c r="X112" s="439"/>
    </row>
    <row r="113" spans="2:24" ht="108" customHeight="1">
      <c r="B113" s="413">
        <f>+B112+1</f>
        <v>46</v>
      </c>
      <c r="C113" s="414" t="str">
        <f>'Rango en indicadores'!E50</f>
        <v>Porcentaje de contratos revisados a petición de parte</v>
      </c>
      <c r="D113" s="415" t="str">
        <f>'Rango en indicadores'!D50</f>
        <v>06-RI-07</v>
      </c>
      <c r="E113" s="420">
        <f>'06 Prev Ctrl Func Públ POA 2020'!AQ17</f>
        <v>1</v>
      </c>
      <c r="F113" s="419">
        <f>'06 Prev Ctrl Func Públ POA 2020'!AG17</f>
        <v>1</v>
      </c>
      <c r="G113" s="420">
        <f>ROUNDDOWN(AVERAGE('06 Prev Ctrl Func Públ POA 2020'!Q17,'06 Prev Ctrl Func Públ POA 2020'!Y17,'06 Prev Ctrl Func Públ POA 2020'!AG17),3)</f>
        <v>1</v>
      </c>
      <c r="H113" s="419">
        <f>'06 Prev Ctrl Func Públ POA 2020'!AH17</f>
        <v>1</v>
      </c>
      <c r="I113" s="420">
        <f>ROUNDDOWN(AVERAGE('06 Prev Ctrl Func Públ POA 2020'!R17,'06 Prev Ctrl Func Públ POA 2020'!Z17,'06 Prev Ctrl Func Públ POA 2020'!AH17),3)</f>
        <v>1</v>
      </c>
      <c r="J113" s="420">
        <f>'06 Prev Ctrl Func Públ POA 2020'!AR17</f>
        <v>1</v>
      </c>
      <c r="K113" s="441">
        <f t="shared" si="11"/>
        <v>1</v>
      </c>
      <c r="L113" s="441">
        <f t="shared" si="12"/>
        <v>1</v>
      </c>
      <c r="M113" s="441">
        <f>'06 Prev Ctrl Func Públ POA 2020'!AS17</f>
        <v>1</v>
      </c>
      <c r="N113" s="432" t="str">
        <f>'Rango en indicadores'!G50</f>
        <v>Mayor A:</v>
      </c>
      <c r="O113" s="416">
        <f>'Rango en indicadores'!H50</f>
        <v>90</v>
      </c>
      <c r="P113" s="432" t="str">
        <f>'Rango en indicadores'!I50</f>
        <v>Desde (&gt;=):</v>
      </c>
      <c r="Q113" s="416">
        <f>'Rango en indicadores'!J50</f>
        <v>70</v>
      </c>
      <c r="R113" s="432" t="str">
        <f>'Rango en indicadores'!K50</f>
        <v>Hasta (&lt;=):</v>
      </c>
      <c r="S113" s="416">
        <f>'Rango en indicadores'!L50</f>
        <v>90</v>
      </c>
      <c r="T113" s="432" t="str">
        <f>'Rango en indicadores'!M50</f>
        <v>Menor A:</v>
      </c>
      <c r="U113" s="416">
        <f>'Rango en indicadores'!N50</f>
        <v>70</v>
      </c>
      <c r="V113" s="418" t="s">
        <v>793</v>
      </c>
    </row>
    <row r="114" spans="2:24" ht="169.5" customHeight="1">
      <c r="B114" s="413">
        <f>+B113+1</f>
        <v>47</v>
      </c>
      <c r="C114" s="414" t="str">
        <f>'Rango en indicadores'!E51</f>
        <v>Contratos revisados de oficio</v>
      </c>
      <c r="D114" s="415" t="str">
        <f>'Rango en indicadores'!D51</f>
        <v>06-RI-08</v>
      </c>
      <c r="E114" s="437">
        <f>'06 Prev Ctrl Func Públ POA 2020'!AQ18</f>
        <v>800</v>
      </c>
      <c r="F114" s="437">
        <f>'06 Prev Ctrl Func Públ POA 2020'!AG18</f>
        <v>225</v>
      </c>
      <c r="G114" s="437">
        <f>+'06 Prev Ctrl Func Públ POA 2020'!Q18+'06 Prev Ctrl Func Públ POA 2020'!Y18+'06 Prev Ctrl Func Públ POA 2020'!AG18</f>
        <v>620</v>
      </c>
      <c r="H114" s="437">
        <f>+'06 Prev Ctrl Func Públ POA 2020'!AH18</f>
        <v>197</v>
      </c>
      <c r="I114" s="437">
        <f>+'06 Prev Ctrl Func Públ POA 2020'!R18+'06 Prev Ctrl Func Públ POA 2020'!Z18+'06 Prev Ctrl Func Públ POA 2020'!AH18</f>
        <v>532</v>
      </c>
      <c r="J114" s="437">
        <f>'06 Prev Ctrl Func Públ POA 2020'!AR18</f>
        <v>532</v>
      </c>
      <c r="K114" s="441">
        <f t="shared" si="11"/>
        <v>0.87555555555555553</v>
      </c>
      <c r="L114" s="441">
        <f t="shared" si="12"/>
        <v>0.85806451612903223</v>
      </c>
      <c r="M114" s="441">
        <f>'06 Prev Ctrl Func Públ POA 2020'!AS18</f>
        <v>0.66500000000000004</v>
      </c>
      <c r="N114" s="432" t="str">
        <f>'Rango en indicadores'!G51</f>
        <v>Mayor A:</v>
      </c>
      <c r="O114" s="416">
        <f>'Rango en indicadores'!H51</f>
        <v>90</v>
      </c>
      <c r="P114" s="432" t="str">
        <f>'Rango en indicadores'!I51</f>
        <v>Desde (&gt;=):</v>
      </c>
      <c r="Q114" s="416">
        <f>'Rango en indicadores'!J51</f>
        <v>70</v>
      </c>
      <c r="R114" s="432" t="str">
        <f>'Rango en indicadores'!K51</f>
        <v>Hasta (&lt;=):</v>
      </c>
      <c r="S114" s="416">
        <f>'Rango en indicadores'!L51</f>
        <v>90</v>
      </c>
      <c r="T114" s="432" t="str">
        <f>'Rango en indicadores'!M51</f>
        <v>Menor A:</v>
      </c>
      <c r="U114" s="416">
        <f>'Rango en indicadores'!N51</f>
        <v>70</v>
      </c>
      <c r="V114" s="418" t="s">
        <v>848</v>
      </c>
      <c r="W114" s="439"/>
      <c r="X114" s="439"/>
    </row>
    <row r="115" spans="2:24" ht="15.75">
      <c r="C115" s="597" t="s">
        <v>615</v>
      </c>
      <c r="D115" s="597"/>
      <c r="E115" s="597"/>
      <c r="F115" s="597"/>
      <c r="G115" s="597"/>
      <c r="H115" s="597"/>
      <c r="I115" s="481"/>
      <c r="J115" s="433"/>
      <c r="K115" s="422">
        <f>IFERROR(AVERAGE(K109:K114),0)</f>
        <v>1.1153703703703703</v>
      </c>
      <c r="L115" s="422">
        <f>IFERROR(AVERAGE(L109:L114),0)</f>
        <v>0.94305284023025948</v>
      </c>
      <c r="M115" s="422">
        <f>IFERROR(AVERAGE(M109:M114),0)</f>
        <v>0.73097359464207301</v>
      </c>
      <c r="N115" s="434"/>
      <c r="O115" s="434"/>
      <c r="P115" s="434"/>
      <c r="Q115" s="434"/>
      <c r="R115" s="434"/>
      <c r="S115" s="434"/>
      <c r="T115" s="434"/>
      <c r="U115" s="434"/>
      <c r="V115" s="424"/>
    </row>
    <row r="116" spans="2:24" s="407" customFormat="1">
      <c r="D116" s="408"/>
      <c r="V116" s="409"/>
    </row>
    <row r="117" spans="2:24" s="407" customFormat="1" ht="15.75">
      <c r="C117" s="410" t="s">
        <v>635</v>
      </c>
      <c r="D117" s="429"/>
      <c r="V117" s="409"/>
    </row>
    <row r="118" spans="2:24" ht="30" customHeight="1">
      <c r="C118" s="575" t="s">
        <v>605</v>
      </c>
      <c r="D118" s="574" t="s">
        <v>606</v>
      </c>
      <c r="E118" s="576" t="s">
        <v>607</v>
      </c>
      <c r="F118" s="577"/>
      <c r="G118" s="578"/>
      <c r="H118" s="574" t="s">
        <v>608</v>
      </c>
      <c r="I118" s="586" t="str">
        <f>$I$31</f>
        <v>Ejecución Acumulada Corte
30/09/2020</v>
      </c>
      <c r="J118" s="574" t="s">
        <v>609</v>
      </c>
      <c r="K118" s="574" t="s">
        <v>581</v>
      </c>
      <c r="L118" s="574"/>
      <c r="M118" s="574"/>
      <c r="N118" s="573" t="s">
        <v>679</v>
      </c>
      <c r="O118" s="573"/>
      <c r="P118" s="573"/>
      <c r="Q118" s="573"/>
      <c r="R118" s="573"/>
      <c r="S118" s="573"/>
      <c r="T118" s="573"/>
      <c r="U118" s="573"/>
      <c r="V118" s="593" t="s">
        <v>610</v>
      </c>
    </row>
    <row r="119" spans="2:24" ht="51.75" customHeight="1">
      <c r="C119" s="575"/>
      <c r="D119" s="574"/>
      <c r="E119" s="411" t="s">
        <v>673</v>
      </c>
      <c r="F119" s="411" t="str">
        <f>$C$5</f>
        <v>Tercer Trimestre</v>
      </c>
      <c r="G119" s="484" t="str">
        <f>$G$31</f>
        <v>Acumulada Corte
30/09/2020</v>
      </c>
      <c r="H119" s="574"/>
      <c r="I119" s="586"/>
      <c r="J119" s="574"/>
      <c r="K119" s="411" t="str">
        <f>+$C$5</f>
        <v>Tercer Trimestre</v>
      </c>
      <c r="L119" s="484" t="str">
        <f>$L$31</f>
        <v>Acumulado Corte 30/09/2020</v>
      </c>
      <c r="M119" s="411" t="s">
        <v>582</v>
      </c>
      <c r="N119" s="551" t="s">
        <v>767</v>
      </c>
      <c r="O119" s="552"/>
      <c r="P119" s="548" t="s">
        <v>674</v>
      </c>
      <c r="Q119" s="549"/>
      <c r="R119" s="549"/>
      <c r="S119" s="550"/>
      <c r="T119" s="553" t="s">
        <v>768</v>
      </c>
      <c r="U119" s="554"/>
      <c r="V119" s="593"/>
    </row>
    <row r="120" spans="2:24" ht="120.75" customHeight="1">
      <c r="B120" s="413">
        <f>+B114+1</f>
        <v>48</v>
      </c>
      <c r="C120" s="414" t="str">
        <f>'Rango en indicadores'!E52</f>
        <v>Citaciones a audiencia emitidas</v>
      </c>
      <c r="D120" s="415" t="str">
        <f>'Rango en indicadores'!D52</f>
        <v>07-RI-01</v>
      </c>
      <c r="E120" s="437">
        <f>'07 Potestad Discip POA 2020'!AQ13</f>
        <v>20</v>
      </c>
      <c r="F120" s="437">
        <f>'07 Potestad Discip POA 2020'!AG13</f>
        <v>0</v>
      </c>
      <c r="G120" s="437">
        <f>+'07 Potestad Discip POA 2020'!Q13+'07 Potestad Discip POA 2020'!Y13+'07 Potestad Discip POA 2020'!AG13</f>
        <v>0</v>
      </c>
      <c r="H120" s="437">
        <f>'07 Potestad Discip POA 2020'!AH13</f>
        <v>1</v>
      </c>
      <c r="I120" s="437">
        <f>+'07 Potestad Discip POA 2020'!R13+'07 Potestad Discip POA 2020'!Z13+'07 Potestad Discip POA 2020'!AH13</f>
        <v>4</v>
      </c>
      <c r="J120" s="437">
        <f>'07 Potestad Discip POA 2020'!AR13</f>
        <v>4</v>
      </c>
      <c r="K120" s="436" t="str">
        <f>IF(AND(F120&gt;0),H120/F120,"No programado")</f>
        <v>No programado</v>
      </c>
      <c r="L120" s="436" t="str">
        <f>IF(AND(G120&gt;0),I120/G120,"No programado")</f>
        <v>No programado</v>
      </c>
      <c r="M120" s="395">
        <f>'07 Potestad Discip POA 2020'!AS13</f>
        <v>0.2</v>
      </c>
      <c r="N120" s="432" t="str">
        <f>'Rango en indicadores'!G52</f>
        <v>Mayor o igual A:</v>
      </c>
      <c r="O120" s="416">
        <f>'Rango en indicadores'!H52</f>
        <v>90</v>
      </c>
      <c r="P120" s="432" t="str">
        <f>'Rango en indicadores'!I52</f>
        <v>Desde (&gt;):</v>
      </c>
      <c r="Q120" s="416">
        <f>'Rango en indicadores'!J52</f>
        <v>69</v>
      </c>
      <c r="R120" s="432" t="str">
        <f>'Rango en indicadores'!K52</f>
        <v>Hasta (&lt;):</v>
      </c>
      <c r="S120" s="416">
        <f>'Rango en indicadores'!L52</f>
        <v>90</v>
      </c>
      <c r="T120" s="432" t="str">
        <f>'Rango en indicadores'!M52</f>
        <v>Menor o Igual A:</v>
      </c>
      <c r="U120" s="416">
        <f>'Rango en indicadores'!N52</f>
        <v>69</v>
      </c>
      <c r="V120" s="418" t="s">
        <v>849</v>
      </c>
    </row>
    <row r="121" spans="2:24" ht="80.25" customHeight="1">
      <c r="B121" s="413">
        <f>+B120+1</f>
        <v>49</v>
      </c>
      <c r="C121" s="414" t="str">
        <f>'Rango en indicadores'!E53</f>
        <v>Número de citaciones a audiencia emitidas que terminan con fallo</v>
      </c>
      <c r="D121" s="415" t="str">
        <f>'Rango en indicadores'!D53</f>
        <v>07-RI-02</v>
      </c>
      <c r="E121" s="437">
        <f>'07 Potestad Discip POA 2020'!AQ14</f>
        <v>10</v>
      </c>
      <c r="F121" s="437">
        <f>'07 Potestad Discip POA 2020'!AG14</f>
        <v>0</v>
      </c>
      <c r="G121" s="437">
        <f>+'07 Potestad Discip POA 2020'!Q14+'07 Potestad Discip POA 2020'!Y14+'07 Potestad Discip POA 2020'!AG14</f>
        <v>0</v>
      </c>
      <c r="H121" s="437">
        <f>'07 Potestad Discip POA 2020'!AH14</f>
        <v>0</v>
      </c>
      <c r="I121" s="437">
        <f>+'07 Potestad Discip POA 2020'!R14+'07 Potestad Discip POA 2020'!Z14+'07 Potestad Discip POA 2020'!AH14</f>
        <v>0</v>
      </c>
      <c r="J121" s="437">
        <f>'07 Potestad Discip POA 2020'!AR14</f>
        <v>0</v>
      </c>
      <c r="K121" s="436" t="str">
        <f>IF(AND(F121&gt;0),H121/F121,"No programado")</f>
        <v>No programado</v>
      </c>
      <c r="L121" s="436" t="str">
        <f t="shared" ref="L121:L123" si="13">IF(AND(G121&gt;0),I121/G121,"No programado")</f>
        <v>No programado</v>
      </c>
      <c r="M121" s="395">
        <f>'07 Potestad Discip POA 2020'!AS14</f>
        <v>0</v>
      </c>
      <c r="N121" s="432" t="str">
        <f>'Rango en indicadores'!G53</f>
        <v>Mayor o igual A:</v>
      </c>
      <c r="O121" s="416">
        <f>'Rango en indicadores'!H53</f>
        <v>90</v>
      </c>
      <c r="P121" s="432" t="str">
        <f>'Rango en indicadores'!I53</f>
        <v>Desde (&gt;):</v>
      </c>
      <c r="Q121" s="416">
        <f>'Rango en indicadores'!J53</f>
        <v>69</v>
      </c>
      <c r="R121" s="432" t="str">
        <f>'Rango en indicadores'!K53</f>
        <v>Hasta (&lt;):</v>
      </c>
      <c r="S121" s="416">
        <f>'Rango en indicadores'!L53</f>
        <v>90</v>
      </c>
      <c r="T121" s="432" t="str">
        <f>'Rango en indicadores'!M53</f>
        <v>Menor o Igual A:</v>
      </c>
      <c r="U121" s="416">
        <f>'Rango en indicadores'!N53</f>
        <v>69</v>
      </c>
      <c r="V121" s="418" t="s">
        <v>850</v>
      </c>
    </row>
    <row r="122" spans="2:24" ht="121.5" customHeight="1">
      <c r="B122" s="413">
        <f>+B121+1</f>
        <v>50</v>
      </c>
      <c r="C122" s="414" t="str">
        <f>'Rango en indicadores'!E54</f>
        <v>Fallos proferidos</v>
      </c>
      <c r="D122" s="415" t="str">
        <f>'Rango en indicadores'!D54</f>
        <v>07-RI-03</v>
      </c>
      <c r="E122" s="437">
        <f>'07 Potestad Discip POA 2020'!AQ15</f>
        <v>50</v>
      </c>
      <c r="F122" s="437">
        <f>'07 Potestad Discip POA 2020'!AG15</f>
        <v>0</v>
      </c>
      <c r="G122" s="437">
        <f>+'07 Potestad Discip POA 2020'!Q15+'07 Potestad Discip POA 2020'!Y15+'07 Potestad Discip POA 2020'!AG15</f>
        <v>8</v>
      </c>
      <c r="H122" s="437">
        <f>'07 Potestad Discip POA 2020'!AH15</f>
        <v>5</v>
      </c>
      <c r="I122" s="437">
        <f>+'07 Potestad Discip POA 2020'!R15+'07 Potestad Discip POA 2020'!Z15+'07 Potestad Discip POA 2020'!AH15</f>
        <v>32</v>
      </c>
      <c r="J122" s="437">
        <f>'07 Potestad Discip POA 2020'!AR15</f>
        <v>32</v>
      </c>
      <c r="K122" s="395" t="str">
        <f>IF(AND(F122&gt;0),H122/F122,"No programado")</f>
        <v>No programado</v>
      </c>
      <c r="L122" s="436">
        <f t="shared" si="13"/>
        <v>4</v>
      </c>
      <c r="M122" s="395">
        <f>'07 Potestad Discip POA 2020'!AS15</f>
        <v>0.64</v>
      </c>
      <c r="N122" s="432" t="str">
        <f>'Rango en indicadores'!G54</f>
        <v>Mayor o igual A:</v>
      </c>
      <c r="O122" s="416">
        <f>'Rango en indicadores'!H54</f>
        <v>90</v>
      </c>
      <c r="P122" s="432" t="str">
        <f>'Rango en indicadores'!I54</f>
        <v>Desde (&gt;):</v>
      </c>
      <c r="Q122" s="416">
        <f>'Rango en indicadores'!J54</f>
        <v>69</v>
      </c>
      <c r="R122" s="432" t="str">
        <f>'Rango en indicadores'!K54</f>
        <v>Hasta (&lt;):</v>
      </c>
      <c r="S122" s="416">
        <f>'Rango en indicadores'!L54</f>
        <v>90</v>
      </c>
      <c r="T122" s="432" t="str">
        <f>'Rango en indicadores'!M54</f>
        <v>Menor o Igual A:</v>
      </c>
      <c r="U122" s="416">
        <f>'Rango en indicadores'!N54</f>
        <v>69</v>
      </c>
      <c r="V122" s="418" t="s">
        <v>868</v>
      </c>
      <c r="W122" s="439"/>
      <c r="X122" s="439"/>
    </row>
    <row r="123" spans="2:24" ht="161.25" customHeight="1">
      <c r="B123" s="413">
        <f>+B122+1</f>
        <v>51</v>
      </c>
      <c r="C123" s="414" t="str">
        <f>'Rango en indicadores'!E55</f>
        <v>Decisiones de fondo</v>
      </c>
      <c r="D123" s="415" t="str">
        <f>'Rango en indicadores'!D55</f>
        <v>07-RI-04</v>
      </c>
      <c r="E123" s="437">
        <f>'07 Potestad Discip POA 2020'!AQ16</f>
        <v>900</v>
      </c>
      <c r="F123" s="437">
        <f>'07 Potestad Discip POA 2020'!AG16</f>
        <v>0</v>
      </c>
      <c r="G123" s="437">
        <f>+'07 Potestad Discip POA 2020'!Q16+'07 Potestad Discip POA 2020'!Y16+'07 Potestad Discip POA 2020'!AG16</f>
        <v>244</v>
      </c>
      <c r="H123" s="437">
        <f>'07 Potestad Discip POA 2020'!AH16</f>
        <v>230</v>
      </c>
      <c r="I123" s="437">
        <f>+'07 Potestad Discip POA 2020'!R16+'07 Potestad Discip POA 2020'!Z16+'07 Potestad Discip POA 2020'!AH16</f>
        <v>558</v>
      </c>
      <c r="J123" s="437">
        <f>'07 Potestad Discip POA 2020'!AR16</f>
        <v>558</v>
      </c>
      <c r="K123" s="395" t="str">
        <f>IF(AND(F123&gt;0),H123/F123,"No programado")</f>
        <v>No programado</v>
      </c>
      <c r="L123" s="436">
        <f t="shared" si="13"/>
        <v>2.2868852459016393</v>
      </c>
      <c r="M123" s="395">
        <f>'07 Potestad Discip POA 2020'!AS16</f>
        <v>0.62</v>
      </c>
      <c r="N123" s="432" t="str">
        <f>'Rango en indicadores'!G55</f>
        <v>Mayor o igual A:</v>
      </c>
      <c r="O123" s="416">
        <f>'Rango en indicadores'!H55</f>
        <v>90</v>
      </c>
      <c r="P123" s="432" t="str">
        <f>'Rango en indicadores'!I55</f>
        <v>Desde (&gt;):</v>
      </c>
      <c r="Q123" s="416">
        <f>'Rango en indicadores'!J55</f>
        <v>69</v>
      </c>
      <c r="R123" s="432" t="str">
        <f>'Rango en indicadores'!K55</f>
        <v>Hasta (&lt;):</v>
      </c>
      <c r="S123" s="416">
        <f>'Rango en indicadores'!L55</f>
        <v>90</v>
      </c>
      <c r="T123" s="432" t="str">
        <f>'Rango en indicadores'!M55</f>
        <v>Menor o Igual A:</v>
      </c>
      <c r="U123" s="416">
        <f>'Rango en indicadores'!N55</f>
        <v>69</v>
      </c>
      <c r="V123" s="418" t="s">
        <v>913</v>
      </c>
      <c r="W123" s="439"/>
      <c r="X123" s="439"/>
    </row>
    <row r="124" spans="2:24" ht="15.75">
      <c r="C124" s="587" t="s">
        <v>615</v>
      </c>
      <c r="D124" s="588"/>
      <c r="E124" s="588"/>
      <c r="F124" s="588"/>
      <c r="G124" s="588"/>
      <c r="H124" s="588"/>
      <c r="I124" s="588"/>
      <c r="J124" s="589"/>
      <c r="K124" s="422">
        <f>IFERROR(AVERAGE(K120:K123),0)</f>
        <v>0</v>
      </c>
      <c r="L124" s="422">
        <f>IFERROR(AVERAGE(L120:L123),0)</f>
        <v>3.1434426229508197</v>
      </c>
      <c r="M124" s="422">
        <f>IFERROR(AVERAGE(M120:M123),0)</f>
        <v>0.36499999999999999</v>
      </c>
      <c r="N124" s="421"/>
      <c r="O124" s="421"/>
      <c r="P124" s="421"/>
      <c r="Q124" s="421"/>
      <c r="R124" s="421"/>
      <c r="S124" s="421"/>
      <c r="T124" s="421"/>
      <c r="U124" s="421"/>
      <c r="V124" s="418"/>
    </row>
    <row r="125" spans="2:24" s="407" customFormat="1">
      <c r="D125" s="408"/>
      <c r="V125" s="442"/>
    </row>
    <row r="126" spans="2:24" s="407" customFormat="1" ht="15.75">
      <c r="C126" s="410" t="s">
        <v>640</v>
      </c>
      <c r="D126" s="429"/>
      <c r="V126" s="442"/>
    </row>
    <row r="127" spans="2:24" ht="33" customHeight="1">
      <c r="C127" s="575" t="s">
        <v>605</v>
      </c>
      <c r="D127" s="574" t="s">
        <v>606</v>
      </c>
      <c r="E127" s="576" t="s">
        <v>607</v>
      </c>
      <c r="F127" s="577"/>
      <c r="G127" s="578"/>
      <c r="H127" s="574" t="s">
        <v>608</v>
      </c>
      <c r="I127" s="586" t="str">
        <f>$I$31</f>
        <v>Ejecución Acumulada Corte
30/09/2020</v>
      </c>
      <c r="J127" s="574" t="s">
        <v>609</v>
      </c>
      <c r="K127" s="574" t="s">
        <v>581</v>
      </c>
      <c r="L127" s="574"/>
      <c r="M127" s="574"/>
      <c r="N127" s="573" t="s">
        <v>679</v>
      </c>
      <c r="O127" s="573"/>
      <c r="P127" s="573"/>
      <c r="Q127" s="573"/>
      <c r="R127" s="573"/>
      <c r="S127" s="573"/>
      <c r="T127" s="573"/>
      <c r="U127" s="573"/>
      <c r="V127" s="593" t="s">
        <v>610</v>
      </c>
    </row>
    <row r="128" spans="2:24" ht="42.75" customHeight="1">
      <c r="C128" s="575"/>
      <c r="D128" s="574"/>
      <c r="E128" s="411" t="s">
        <v>673</v>
      </c>
      <c r="F128" s="411" t="str">
        <f>$C$5</f>
        <v>Tercer Trimestre</v>
      </c>
      <c r="G128" s="484" t="str">
        <f>$G$31</f>
        <v>Acumulada Corte
30/09/2020</v>
      </c>
      <c r="H128" s="574"/>
      <c r="I128" s="586"/>
      <c r="J128" s="574"/>
      <c r="K128" s="411" t="str">
        <f>+$C$5</f>
        <v>Tercer Trimestre</v>
      </c>
      <c r="L128" s="484" t="str">
        <f>$L$31</f>
        <v>Acumulado Corte 30/09/2020</v>
      </c>
      <c r="M128" s="411" t="s">
        <v>582</v>
      </c>
      <c r="N128" s="551" t="s">
        <v>767</v>
      </c>
      <c r="O128" s="552"/>
      <c r="P128" s="548" t="s">
        <v>674</v>
      </c>
      <c r="Q128" s="549"/>
      <c r="R128" s="549"/>
      <c r="S128" s="550"/>
      <c r="T128" s="553" t="s">
        <v>768</v>
      </c>
      <c r="U128" s="554"/>
      <c r="V128" s="593"/>
    </row>
    <row r="129" spans="2:24" ht="96.75" customHeight="1">
      <c r="B129" s="413">
        <f>+B123+1</f>
        <v>52</v>
      </c>
      <c r="C129" s="414" t="str">
        <f>'Rango en indicadores'!E56</f>
        <v>Porcentaje de novedades y situaciones administrativas gestionadas</v>
      </c>
      <c r="D129" s="415" t="str">
        <f>'Rango en indicadores'!D56</f>
        <v>08-RI-03</v>
      </c>
      <c r="E129" s="430">
        <f>'08 Gestión Talento Hum POA 2020'!AQ13</f>
        <v>1</v>
      </c>
      <c r="F129" s="430">
        <f>'08 Gestión Talento Hum POA 2020'!AG13</f>
        <v>1</v>
      </c>
      <c r="G129" s="420">
        <f>ROUNDDOWN(AVERAGE('08 Gestión Talento Hum POA 2020'!Q13,'08 Gestión Talento Hum POA 2020'!Y13,'08 Gestión Talento Hum POA 2020'!AG13),3)</f>
        <v>1</v>
      </c>
      <c r="H129" s="430">
        <f>'08 Gestión Talento Hum POA 2020'!AH13</f>
        <v>1</v>
      </c>
      <c r="I129" s="420">
        <f>ROUNDDOWN(AVERAGE('08 Gestión Talento Hum POA 2020'!R13,'08 Gestión Talento Hum POA 2020'!Z13,'08 Gestión Talento Hum POA 2020'!AH13),3)</f>
        <v>1</v>
      </c>
      <c r="J129" s="430">
        <f>'08 Gestión Talento Hum POA 2020'!AR13</f>
        <v>1</v>
      </c>
      <c r="K129" s="395">
        <f t="shared" ref="K129:K141" si="14">IF(AND(F129&gt;0),H129/F129,"No programado")</f>
        <v>1</v>
      </c>
      <c r="L129" s="395">
        <f>IF(AND(G129&gt;0),I129/G129,"No programado")</f>
        <v>1</v>
      </c>
      <c r="M129" s="395">
        <f>'08 Gestión Talento Hum POA 2020'!AS13</f>
        <v>1</v>
      </c>
      <c r="N129" s="432" t="str">
        <f>'Rango en indicadores'!G56</f>
        <v>Mayor o igual A:</v>
      </c>
      <c r="O129" s="416">
        <f>'Rango en indicadores'!H56</f>
        <v>90</v>
      </c>
      <c r="P129" s="432" t="str">
        <f>'Rango en indicadores'!I56</f>
        <v>Desde (&gt;):</v>
      </c>
      <c r="Q129" s="416">
        <f>'Rango en indicadores'!J56</f>
        <v>70</v>
      </c>
      <c r="R129" s="432" t="str">
        <f>'Rango en indicadores'!K56</f>
        <v>Hasta (&lt;):</v>
      </c>
      <c r="S129" s="416">
        <f>'Rango en indicadores'!L56</f>
        <v>90</v>
      </c>
      <c r="T129" s="432" t="str">
        <f>'Rango en indicadores'!M56</f>
        <v>Menor o Igual A:</v>
      </c>
      <c r="U129" s="416">
        <f>'Rango en indicadores'!N56</f>
        <v>70</v>
      </c>
      <c r="V129" s="418" t="s">
        <v>793</v>
      </c>
    </row>
    <row r="130" spans="2:24" ht="200.25" customHeight="1">
      <c r="B130" s="413">
        <f t="shared" ref="B130:B141" si="15">+B129+1</f>
        <v>53</v>
      </c>
      <c r="C130" s="414" t="str">
        <f>'Rango en indicadores'!E57</f>
        <v xml:space="preserve">Porcentaje de incapacidades susceptibles de cobro gestionadas  </v>
      </c>
      <c r="D130" s="415" t="str">
        <f>'Rango en indicadores'!D57</f>
        <v>08-RI-05</v>
      </c>
      <c r="E130" s="430">
        <f>'08 Gestión Talento Hum POA 2020'!AQ14</f>
        <v>0.9</v>
      </c>
      <c r="F130" s="430">
        <f>'08 Gestión Talento Hum POA 2020'!AG14</f>
        <v>0.9</v>
      </c>
      <c r="G130" s="420">
        <f>ROUNDDOWN(AVERAGE('08 Gestión Talento Hum POA 2020'!Q14,'08 Gestión Talento Hum POA 2020'!Y14,'08 Gestión Talento Hum POA 2020'!AG14),3)</f>
        <v>0.9</v>
      </c>
      <c r="H130" s="430">
        <f>'08 Gestión Talento Hum POA 2020'!AH14</f>
        <v>0.96599999999999997</v>
      </c>
      <c r="I130" s="420">
        <f>ROUNDDOWN(AVERAGE('08 Gestión Talento Hum POA 2020'!R14,'08 Gestión Talento Hum POA 2020'!Z14,'08 Gestión Talento Hum POA 2020'!AH14),3)</f>
        <v>0.88500000000000001</v>
      </c>
      <c r="J130" s="430">
        <f>'08 Gestión Talento Hum POA 2020'!AR14</f>
        <v>0.88600000000000001</v>
      </c>
      <c r="K130" s="417">
        <f t="shared" si="14"/>
        <v>1.0733333333333333</v>
      </c>
      <c r="L130" s="395">
        <f t="shared" ref="L130:L141" si="16">IF(AND(G130&gt;0),I130/G130,"No programado")</f>
        <v>0.98333333333333328</v>
      </c>
      <c r="M130" s="395">
        <f>'08 Gestión Talento Hum POA 2020'!AS14</f>
        <v>0.98444444444444446</v>
      </c>
      <c r="N130" s="432" t="str">
        <f>'Rango en indicadores'!G57</f>
        <v>Mayor A:</v>
      </c>
      <c r="O130" s="416">
        <f>'Rango en indicadores'!H57</f>
        <v>90</v>
      </c>
      <c r="P130" s="432" t="str">
        <f>'Rango en indicadores'!I57</f>
        <v>Desde (&gt;=):</v>
      </c>
      <c r="Q130" s="416">
        <f>'Rango en indicadores'!J57</f>
        <v>80</v>
      </c>
      <c r="R130" s="432" t="str">
        <f>'Rango en indicadores'!K57</f>
        <v>Hasta (&lt;=):</v>
      </c>
      <c r="S130" s="416">
        <f>'Rango en indicadores'!L57</f>
        <v>90</v>
      </c>
      <c r="T130" s="432" t="str">
        <f>'Rango en indicadores'!M57</f>
        <v>Menor A:</v>
      </c>
      <c r="U130" s="416">
        <f>'Rango en indicadores'!N57</f>
        <v>80</v>
      </c>
      <c r="V130" s="418" t="s">
        <v>851</v>
      </c>
      <c r="W130" s="491"/>
      <c r="X130" s="491"/>
    </row>
    <row r="131" spans="2:24" ht="195.75" customHeight="1">
      <c r="B131" s="413">
        <f t="shared" si="15"/>
        <v>54</v>
      </c>
      <c r="C131" s="414" t="str">
        <f>'Rango en indicadores'!E58</f>
        <v xml:space="preserve">Documentos de las historias laborales actualizados
</v>
      </c>
      <c r="D131" s="415" t="str">
        <f>'Rango en indicadores'!D58</f>
        <v>08-RI-06</v>
      </c>
      <c r="E131" s="497">
        <f>'08 Gestión Talento Hum POA 2020'!AQ15</f>
        <v>0.82166666666666666</v>
      </c>
      <c r="F131" s="430">
        <f>'08 Gestión Talento Hum POA 2020'!AG15</f>
        <v>0.58666666666666667</v>
      </c>
      <c r="G131" s="420">
        <f>ROUNDDOWN(AVERAGE('08 Gestión Talento Hum POA 2020'!Q15,'08 Gestión Talento Hum POA 2020'!Y15,'08 Gestión Talento Hum POA 2020'!AG15),3)</f>
        <v>0.86199999999999999</v>
      </c>
      <c r="H131" s="430">
        <f>'08 Gestión Talento Hum POA 2020'!AH15</f>
        <v>0.60599999999999998</v>
      </c>
      <c r="I131" s="420">
        <f>ROUNDDOWN(AVERAGE('08 Gestión Talento Hum POA 2020'!R15,'08 Gestión Talento Hum POA 2020'!Z15,'08 Gestión Talento Hum POA 2020'!AH15),3)</f>
        <v>0.77900000000000003</v>
      </c>
      <c r="J131" s="430">
        <f>'08 Gestión Talento Hum POA 2020'!AR15</f>
        <v>0.77900000000000003</v>
      </c>
      <c r="K131" s="395">
        <f t="shared" si="14"/>
        <v>1.0329545454545455</v>
      </c>
      <c r="L131" s="395">
        <f t="shared" si="16"/>
        <v>0.90371229698375877</v>
      </c>
      <c r="M131" s="395">
        <f>'08 Gestión Talento Hum POA 2020'!AS15</f>
        <v>0.94807302231237323</v>
      </c>
      <c r="N131" s="432" t="str">
        <f>'Rango en indicadores'!G58</f>
        <v>Mayor o igual A:</v>
      </c>
      <c r="O131" s="416">
        <f>'Rango en indicadores'!H58</f>
        <v>90</v>
      </c>
      <c r="P131" s="432" t="str">
        <f>'Rango en indicadores'!I58</f>
        <v>Desde (&gt;):</v>
      </c>
      <c r="Q131" s="416">
        <f>'Rango en indicadores'!J58</f>
        <v>80</v>
      </c>
      <c r="R131" s="432" t="str">
        <f>'Rango en indicadores'!K58</f>
        <v>Hasta (&lt;):</v>
      </c>
      <c r="S131" s="416">
        <f>'Rango en indicadores'!L58</f>
        <v>90</v>
      </c>
      <c r="T131" s="432" t="str">
        <f>'Rango en indicadores'!M58</f>
        <v>Menor o Igual A:</v>
      </c>
      <c r="U131" s="416">
        <f>'Rango en indicadores'!N58</f>
        <v>80</v>
      </c>
      <c r="V131" s="418" t="s">
        <v>852</v>
      </c>
      <c r="W131" s="507"/>
      <c r="X131" s="490"/>
    </row>
    <row r="132" spans="2:24" ht="105" customHeight="1">
      <c r="B132" s="413">
        <f t="shared" si="15"/>
        <v>55</v>
      </c>
      <c r="C132" s="414" t="str">
        <f>'Rango en indicadores'!E59</f>
        <v>Historias laborales en préstamo con documentos actualizados</v>
      </c>
      <c r="D132" s="415" t="str">
        <f>'Rango en indicadores'!D59</f>
        <v>08-RI-07</v>
      </c>
      <c r="E132" s="430">
        <f>'08 Gestión Talento Hum POA 2020'!AQ16</f>
        <v>1</v>
      </c>
      <c r="F132" s="430">
        <f>'08 Gestión Talento Hum POA 2020'!AG16</f>
        <v>1</v>
      </c>
      <c r="G132" s="420">
        <f>ROUNDDOWN(AVERAGE('08 Gestión Talento Hum POA 2020'!Q16,'08 Gestión Talento Hum POA 2020'!Y16,'08 Gestión Talento Hum POA 2020'!AG16),3)</f>
        <v>1</v>
      </c>
      <c r="H132" s="430">
        <f>'08 Gestión Talento Hum POA 2020'!AH16</f>
        <v>1</v>
      </c>
      <c r="I132" s="420">
        <f>ROUNDDOWN(AVERAGE('08 Gestión Talento Hum POA 2020'!R16,'08 Gestión Talento Hum POA 2020'!Z16,'08 Gestión Talento Hum POA 2020'!AH16),3)</f>
        <v>1</v>
      </c>
      <c r="J132" s="430">
        <f>'08 Gestión Talento Hum POA 2020'!AR16</f>
        <v>1</v>
      </c>
      <c r="K132" s="395">
        <f t="shared" si="14"/>
        <v>1</v>
      </c>
      <c r="L132" s="395">
        <f t="shared" si="16"/>
        <v>1</v>
      </c>
      <c r="M132" s="395">
        <f>'08 Gestión Talento Hum POA 2020'!AS16</f>
        <v>1</v>
      </c>
      <c r="N132" s="432" t="str">
        <f>'Rango en indicadores'!G59</f>
        <v>Mayor o igual A:</v>
      </c>
      <c r="O132" s="416">
        <f>'Rango en indicadores'!H59</f>
        <v>90</v>
      </c>
      <c r="P132" s="432" t="str">
        <f>'Rango en indicadores'!I59</f>
        <v>Desde (&gt;):</v>
      </c>
      <c r="Q132" s="416">
        <f>'Rango en indicadores'!J59</f>
        <v>80</v>
      </c>
      <c r="R132" s="432" t="str">
        <f>'Rango en indicadores'!K59</f>
        <v>Hasta (&lt;):</v>
      </c>
      <c r="S132" s="416">
        <f>'Rango en indicadores'!L59</f>
        <v>90</v>
      </c>
      <c r="T132" s="432" t="str">
        <f>'Rango en indicadores'!M59</f>
        <v>Menor o Igual A:</v>
      </c>
      <c r="U132" s="416">
        <f>'Rango en indicadores'!N59</f>
        <v>80</v>
      </c>
      <c r="V132" s="508" t="s">
        <v>793</v>
      </c>
    </row>
    <row r="133" spans="2:24" ht="169.5" customHeight="1">
      <c r="B133" s="413">
        <f t="shared" si="15"/>
        <v>56</v>
      </c>
      <c r="C133" s="414" t="str">
        <f>'Rango en indicadores'!E60</f>
        <v xml:space="preserve">Solicitudes de certificaciones laborales y de bono pensional gestionadas
</v>
      </c>
      <c r="D133" s="415" t="str">
        <f>'Rango en indicadores'!D60</f>
        <v>08-RI-08</v>
      </c>
      <c r="E133" s="430">
        <f>'08 Gestión Talento Hum POA 2020'!AQ17</f>
        <v>0.84999999999999987</v>
      </c>
      <c r="F133" s="430">
        <f>'08 Gestión Talento Hum POA 2020'!AG17</f>
        <v>0.69999999999999984</v>
      </c>
      <c r="G133" s="420">
        <f>ROUNDDOWN(AVERAGE('08 Gestión Talento Hum POA 2020'!Q17,'08 Gestión Talento Hum POA 2020'!Y17,'08 Gestión Talento Hum POA 2020'!AG17),3)</f>
        <v>0.9</v>
      </c>
      <c r="H133" s="430">
        <f>'08 Gestión Talento Hum POA 2020'!AH17</f>
        <v>0.96099999999999997</v>
      </c>
      <c r="I133" s="420">
        <f>ROUNDDOWN(AVERAGE('08 Gestión Talento Hum POA 2020'!R17,'08 Gestión Talento Hum POA 2020'!Z17,'08 Gestión Talento Hum POA 2020'!AH17),3)</f>
        <v>0.91900000000000004</v>
      </c>
      <c r="J133" s="430">
        <f>'08 Gestión Talento Hum POA 2020'!AR17</f>
        <v>0.91900000000000004</v>
      </c>
      <c r="K133" s="395">
        <f t="shared" si="14"/>
        <v>1.3728571428571432</v>
      </c>
      <c r="L133" s="395">
        <f t="shared" si="16"/>
        <v>1.0211111111111111</v>
      </c>
      <c r="M133" s="395">
        <f>'08 Gestión Talento Hum POA 2020'!AS17</f>
        <v>1.0811764705882354</v>
      </c>
      <c r="N133" s="432" t="str">
        <f>'Rango en indicadores'!G60</f>
        <v>Mayor o igual A:</v>
      </c>
      <c r="O133" s="416">
        <f>'Rango en indicadores'!H60</f>
        <v>90</v>
      </c>
      <c r="P133" s="432" t="str">
        <f>'Rango en indicadores'!I60</f>
        <v>Desde (&gt;):</v>
      </c>
      <c r="Q133" s="416">
        <f>'Rango en indicadores'!J60</f>
        <v>80</v>
      </c>
      <c r="R133" s="432" t="str">
        <f>'Rango en indicadores'!K60</f>
        <v>Hasta (&lt;):</v>
      </c>
      <c r="S133" s="416">
        <f>'Rango en indicadores'!L60</f>
        <v>90</v>
      </c>
      <c r="T133" s="432" t="str">
        <f>'Rango en indicadores'!M60</f>
        <v>Menor o Igual A:</v>
      </c>
      <c r="U133" s="416">
        <f>'Rango en indicadores'!N60</f>
        <v>80</v>
      </c>
      <c r="V133" s="508" t="s">
        <v>914</v>
      </c>
      <c r="W133" s="490"/>
      <c r="X133" s="491"/>
    </row>
    <row r="134" spans="2:24" ht="147" customHeight="1">
      <c r="B134" s="413">
        <f t="shared" si="15"/>
        <v>57</v>
      </c>
      <c r="C134" s="414" t="str">
        <f>'Rango en indicadores'!E61</f>
        <v xml:space="preserve">Oportunidad en trámite de certificaciones
</v>
      </c>
      <c r="D134" s="415" t="str">
        <f>'Rango en indicadores'!D61</f>
        <v>08-RI-09</v>
      </c>
      <c r="E134" s="430">
        <f>'08 Gestión Talento Hum POA 2020'!AQ18</f>
        <v>0.77500000000000013</v>
      </c>
      <c r="F134" s="430">
        <f>'08 Gestión Talento Hum POA 2020'!AG18</f>
        <v>0.80000000000000016</v>
      </c>
      <c r="G134" s="420">
        <f>ROUNDDOWN(AVERAGE('08 Gestión Talento Hum POA 2020'!Q18,'08 Gestión Talento Hum POA 2020'!Y18,'08 Gestión Talento Hum POA 2020'!AG18),3)</f>
        <v>0.76600000000000001</v>
      </c>
      <c r="H134" s="430">
        <f>'08 Gestión Talento Hum POA 2020'!AH18</f>
        <v>0.96099999999999997</v>
      </c>
      <c r="I134" s="420">
        <f>ROUNDDOWN(AVERAGE('08 Gestión Talento Hum POA 2020'!R18,'08 Gestión Talento Hum POA 2020'!Z18,'08 Gestión Talento Hum POA 2020'!AH18),3)</f>
        <v>0.89500000000000002</v>
      </c>
      <c r="J134" s="430">
        <f>'08 Gestión Talento Hum POA 2020'!AR18</f>
        <v>0.89500000000000002</v>
      </c>
      <c r="K134" s="395">
        <f t="shared" si="14"/>
        <v>1.2012499999999997</v>
      </c>
      <c r="L134" s="395">
        <f t="shared" si="16"/>
        <v>1.1684073107049608</v>
      </c>
      <c r="M134" s="395">
        <f>'08 Gestión Talento Hum POA 2020'!AS18</f>
        <v>1.1548387096774191</v>
      </c>
      <c r="N134" s="432" t="str">
        <f>'Rango en indicadores'!G61</f>
        <v>Mayor o igual A:</v>
      </c>
      <c r="O134" s="416">
        <f>'Rango en indicadores'!H61</f>
        <v>100</v>
      </c>
      <c r="P134" s="432" t="str">
        <f>'Rango en indicadores'!I61</f>
        <v>Desde (&gt;):</v>
      </c>
      <c r="Q134" s="416">
        <f>'Rango en indicadores'!J61</f>
        <v>97</v>
      </c>
      <c r="R134" s="432" t="str">
        <f>'Rango en indicadores'!K61</f>
        <v>Hasta (&lt;):</v>
      </c>
      <c r="S134" s="416">
        <f>'Rango en indicadores'!L61</f>
        <v>100</v>
      </c>
      <c r="T134" s="432" t="str">
        <f>'Rango en indicadores'!M61</f>
        <v>Menor o Igual A:</v>
      </c>
      <c r="U134" s="416">
        <f>'Rango en indicadores'!N61</f>
        <v>97</v>
      </c>
      <c r="V134" s="418" t="s">
        <v>853</v>
      </c>
      <c r="W134" s="490"/>
      <c r="X134" s="490"/>
    </row>
    <row r="135" spans="2:24" ht="136.5" customHeight="1">
      <c r="B135" s="413">
        <f t="shared" si="15"/>
        <v>58</v>
      </c>
      <c r="C135" s="414" t="str">
        <f>'Rango en indicadores'!E62</f>
        <v>Plan Institucional de Capacitación formulado y ejecutado</v>
      </c>
      <c r="D135" s="415" t="str">
        <f>'Rango en indicadores'!D62</f>
        <v>08-RI-10</v>
      </c>
      <c r="E135" s="430">
        <f>'08 Gestión Talento Hum POA 2020'!AQ19</f>
        <v>1</v>
      </c>
      <c r="F135" s="430">
        <f>'08 Gestión Talento Hum POA 2020'!AG19</f>
        <v>0.30000000000000004</v>
      </c>
      <c r="G135" s="430">
        <f>+'08 Gestión Talento Hum POA 2020'!Q19+'08 Gestión Talento Hum POA 2020'!Y19+'08 Gestión Talento Hum POA 2020'!AG19</f>
        <v>0.70000000000000007</v>
      </c>
      <c r="H135" s="430">
        <f>'08 Gestión Talento Hum POA 2020'!AH19</f>
        <v>0.15000000000000002</v>
      </c>
      <c r="I135" s="430">
        <f>+'08 Gestión Talento Hum POA 2020'!R19+'08 Gestión Talento Hum POA 2020'!Z19+'08 Gestión Talento Hum POA 2020'!AH19</f>
        <v>0.77</v>
      </c>
      <c r="J135" s="430">
        <f>'08 Gestión Talento Hum POA 2020'!AR19</f>
        <v>0.77</v>
      </c>
      <c r="K135" s="395">
        <f t="shared" si="14"/>
        <v>0.5</v>
      </c>
      <c r="L135" s="395">
        <f t="shared" si="16"/>
        <v>1.0999999999999999</v>
      </c>
      <c r="M135" s="395">
        <f>'08 Gestión Talento Hum POA 2020'!AS19</f>
        <v>0.77</v>
      </c>
      <c r="N135" s="432" t="str">
        <f>'Rango en indicadores'!G62</f>
        <v>Mayor o igual A:</v>
      </c>
      <c r="O135" s="416">
        <f>'Rango en indicadores'!H62</f>
        <v>90</v>
      </c>
      <c r="P135" s="432" t="str">
        <f>'Rango en indicadores'!I62</f>
        <v>Desde (&gt;):</v>
      </c>
      <c r="Q135" s="416">
        <f>'Rango en indicadores'!J62</f>
        <v>69</v>
      </c>
      <c r="R135" s="432" t="str">
        <f>'Rango en indicadores'!K62</f>
        <v>Hasta (&lt;):</v>
      </c>
      <c r="S135" s="416">
        <f>'Rango en indicadores'!L62</f>
        <v>90</v>
      </c>
      <c r="T135" s="432" t="str">
        <f>'Rango en indicadores'!M62</f>
        <v>Menor o Igual A:</v>
      </c>
      <c r="U135" s="416">
        <f>'Rango en indicadores'!N62</f>
        <v>69</v>
      </c>
      <c r="V135" s="438" t="s">
        <v>854</v>
      </c>
      <c r="W135" s="490"/>
      <c r="X135" s="490"/>
    </row>
    <row r="136" spans="2:24" ht="123.75" customHeight="1">
      <c r="B136" s="413">
        <f t="shared" si="15"/>
        <v>59</v>
      </c>
      <c r="C136" s="414" t="str">
        <f>'Rango en indicadores'!E63</f>
        <v>Plan Institucional de Bienestar formulado y ejecutado</v>
      </c>
      <c r="D136" s="415" t="str">
        <f>'Rango en indicadores'!D63</f>
        <v>08-RI-11</v>
      </c>
      <c r="E136" s="430">
        <f>'08 Gestión Talento Hum POA 2020'!AQ20</f>
        <v>1</v>
      </c>
      <c r="F136" s="430">
        <f>'08 Gestión Talento Hum POA 2020'!AG20</f>
        <v>0.27</v>
      </c>
      <c r="G136" s="430">
        <f>+'08 Gestión Talento Hum POA 2020'!Q20+'08 Gestión Talento Hum POA 2020'!Y20+'08 Gestión Talento Hum POA 2020'!AG20</f>
        <v>0.67</v>
      </c>
      <c r="H136" s="430">
        <f>'08 Gestión Talento Hum POA 2020'!AH20</f>
        <v>0.16</v>
      </c>
      <c r="I136" s="430">
        <f>+'08 Gestión Talento Hum POA 2020'!R20+'08 Gestión Talento Hum POA 2020'!Z20+'08 Gestión Talento Hum POA 2020'!AH20</f>
        <v>0.73</v>
      </c>
      <c r="J136" s="430">
        <f>'08 Gestión Talento Hum POA 2020'!AR20</f>
        <v>0.73</v>
      </c>
      <c r="K136" s="395">
        <f t="shared" si="14"/>
        <v>0.59259259259259256</v>
      </c>
      <c r="L136" s="395">
        <f t="shared" si="16"/>
        <v>1.08955223880597</v>
      </c>
      <c r="M136" s="395">
        <f>'08 Gestión Talento Hum POA 2020'!AS20</f>
        <v>0.73</v>
      </c>
      <c r="N136" s="432" t="str">
        <f>'Rango en indicadores'!G63</f>
        <v>Mayor o igual A:</v>
      </c>
      <c r="O136" s="416">
        <f>'Rango en indicadores'!H63</f>
        <v>90</v>
      </c>
      <c r="P136" s="432" t="str">
        <f>'Rango en indicadores'!I63</f>
        <v>Desde (&gt;):</v>
      </c>
      <c r="Q136" s="416">
        <f>'Rango en indicadores'!J63</f>
        <v>69</v>
      </c>
      <c r="R136" s="432" t="str">
        <f>'Rango en indicadores'!K63</f>
        <v>Hasta (&lt;):</v>
      </c>
      <c r="S136" s="416">
        <f>'Rango en indicadores'!L63</f>
        <v>90</v>
      </c>
      <c r="T136" s="432" t="str">
        <f>'Rango en indicadores'!M63</f>
        <v>Menor o Igual A:</v>
      </c>
      <c r="U136" s="416">
        <f>'Rango en indicadores'!N63</f>
        <v>69</v>
      </c>
      <c r="V136" s="418" t="s">
        <v>855</v>
      </c>
      <c r="W136" s="490"/>
      <c r="X136" s="490"/>
    </row>
    <row r="137" spans="2:24" ht="153" customHeight="1">
      <c r="B137" s="413">
        <f t="shared" si="15"/>
        <v>60</v>
      </c>
      <c r="C137" s="414" t="str">
        <f>'Rango en indicadores'!E64</f>
        <v>Plan Institucional de Incentivos formulado y ejecutado</v>
      </c>
      <c r="D137" s="415" t="str">
        <f>'Rango en indicadores'!D64</f>
        <v>08-RI-12</v>
      </c>
      <c r="E137" s="430">
        <f>'08 Gestión Talento Hum POA 2020'!AQ21</f>
        <v>1</v>
      </c>
      <c r="F137" s="430">
        <f>'08 Gestión Talento Hum POA 2020'!AG21</f>
        <v>0.24000000000000002</v>
      </c>
      <c r="G137" s="430">
        <f>+'08 Gestión Talento Hum POA 2020'!Q21+'08 Gestión Talento Hum POA 2020'!Y21+'08 Gestión Talento Hum POA 2020'!AG21</f>
        <v>0.64</v>
      </c>
      <c r="H137" s="430">
        <f>'08 Gestión Talento Hum POA 2020'!AH21</f>
        <v>0.08</v>
      </c>
      <c r="I137" s="430">
        <f>+'08 Gestión Talento Hum POA 2020'!R21+'08 Gestión Talento Hum POA 2020'!Z21+'08 Gestión Talento Hum POA 2020'!AH21</f>
        <v>0.70000000000000007</v>
      </c>
      <c r="J137" s="430">
        <f>'08 Gestión Talento Hum POA 2020'!AR21</f>
        <v>0.70000000000000007</v>
      </c>
      <c r="K137" s="395">
        <f t="shared" si="14"/>
        <v>0.33333333333333331</v>
      </c>
      <c r="L137" s="395">
        <f t="shared" si="16"/>
        <v>1.09375</v>
      </c>
      <c r="M137" s="395">
        <f>'08 Gestión Talento Hum POA 2020'!AS21</f>
        <v>0.70000000000000007</v>
      </c>
      <c r="N137" s="432" t="str">
        <f>'Rango en indicadores'!G64</f>
        <v>Mayor o igual A:</v>
      </c>
      <c r="O137" s="416">
        <f>'Rango en indicadores'!H64</f>
        <v>90</v>
      </c>
      <c r="P137" s="432" t="str">
        <f>'Rango en indicadores'!I64</f>
        <v>Desde (&gt;):</v>
      </c>
      <c r="Q137" s="416">
        <f>'Rango en indicadores'!J64</f>
        <v>69</v>
      </c>
      <c r="R137" s="432" t="str">
        <f>'Rango en indicadores'!K64</f>
        <v>Hasta (&lt;):</v>
      </c>
      <c r="S137" s="416">
        <f>'Rango en indicadores'!L64</f>
        <v>90</v>
      </c>
      <c r="T137" s="432" t="str">
        <f>'Rango en indicadores'!M64</f>
        <v>Menor o Igual A:</v>
      </c>
      <c r="U137" s="416">
        <f>'Rango en indicadores'!N64</f>
        <v>69</v>
      </c>
      <c r="V137" s="418" t="s">
        <v>856</v>
      </c>
      <c r="W137" s="490"/>
      <c r="X137" s="490"/>
    </row>
    <row r="138" spans="2:24" ht="147.75" customHeight="1">
      <c r="B138" s="413">
        <f t="shared" si="15"/>
        <v>61</v>
      </c>
      <c r="C138" s="414" t="str">
        <f>'Rango en indicadores'!E65</f>
        <v>Plan Anual de Trabajo del Sistema de Gestión de Seguridad y Salud en el Trabajo SG-SST formulado y ejecutado</v>
      </c>
      <c r="D138" s="415" t="str">
        <f>'Rango en indicadores'!D65</f>
        <v>08-RI-13</v>
      </c>
      <c r="E138" s="430">
        <f>'08 Gestión Talento Hum POA 2020'!AQ22</f>
        <v>1</v>
      </c>
      <c r="F138" s="430">
        <f>'08 Gestión Talento Hum POA 2020'!AG22</f>
        <v>0.27999999999999997</v>
      </c>
      <c r="G138" s="430">
        <f>+'08 Gestión Talento Hum POA 2020'!Q22+'08 Gestión Talento Hum POA 2020'!Y22+'08 Gestión Talento Hum POA 2020'!AG22</f>
        <v>0.67999999999999994</v>
      </c>
      <c r="H138" s="430">
        <f>'08 Gestión Talento Hum POA 2020'!AH22</f>
        <v>0.08</v>
      </c>
      <c r="I138" s="430">
        <f>+'08 Gestión Talento Hum POA 2020'!R22+'08 Gestión Talento Hum POA 2020'!Z22+'08 Gestión Talento Hum POA 2020'!AH22</f>
        <v>0.67</v>
      </c>
      <c r="J138" s="430">
        <f>'08 Gestión Talento Hum POA 2020'!AR22</f>
        <v>0.67</v>
      </c>
      <c r="K138" s="395">
        <f t="shared" si="14"/>
        <v>0.28571428571428575</v>
      </c>
      <c r="L138" s="395">
        <f t="shared" si="16"/>
        <v>0.98529411764705899</v>
      </c>
      <c r="M138" s="395">
        <f>'08 Gestión Talento Hum POA 2020'!AS22</f>
        <v>0.67</v>
      </c>
      <c r="N138" s="432" t="str">
        <f>'Rango en indicadores'!G65</f>
        <v>Mayor o igual A:</v>
      </c>
      <c r="O138" s="416">
        <f>'Rango en indicadores'!H65</f>
        <v>90</v>
      </c>
      <c r="P138" s="432" t="str">
        <f>'Rango en indicadores'!I65</f>
        <v>Desde (&gt;):</v>
      </c>
      <c r="Q138" s="416">
        <f>'Rango en indicadores'!J65</f>
        <v>69</v>
      </c>
      <c r="R138" s="432" t="str">
        <f>'Rango en indicadores'!K65</f>
        <v>Hasta (&lt;):</v>
      </c>
      <c r="S138" s="416">
        <f>'Rango en indicadores'!L65</f>
        <v>90</v>
      </c>
      <c r="T138" s="432" t="str">
        <f>'Rango en indicadores'!M65</f>
        <v>Menor o Igual A:</v>
      </c>
      <c r="U138" s="416">
        <f>'Rango en indicadores'!N65</f>
        <v>69</v>
      </c>
      <c r="V138" s="418" t="s">
        <v>857</v>
      </c>
      <c r="W138" s="490"/>
      <c r="X138" s="490"/>
    </row>
    <row r="139" spans="2:24" ht="162.75" customHeight="1">
      <c r="B139" s="413">
        <f t="shared" si="15"/>
        <v>62</v>
      </c>
      <c r="C139" s="414" t="str">
        <f>'Rango en indicadores'!E66</f>
        <v xml:space="preserve">Dependencias con seguimiento y/o capacitación a los  sistemas de gestión y Evaluación del Desempeño Laboral de la Personería de Bogotá, D.C. </v>
      </c>
      <c r="D139" s="415" t="str">
        <f>'Rango en indicadores'!D66</f>
        <v>08-RI-14</v>
      </c>
      <c r="E139" s="437">
        <f>'08 Gestión Talento Hum POA 2020'!AQ23</f>
        <v>32</v>
      </c>
      <c r="F139" s="437">
        <f>'08 Gestión Talento Hum POA 2020'!AG23</f>
        <v>10</v>
      </c>
      <c r="G139" s="437">
        <f>+'08 Gestión Talento Hum POA 2020'!Q23+'08 Gestión Talento Hum POA 2020'!Y23+'08 Gestión Talento Hum POA 2020'!AG23</f>
        <v>29</v>
      </c>
      <c r="H139" s="437">
        <f>'08 Gestión Talento Hum POA 2020'!AH23</f>
        <v>17</v>
      </c>
      <c r="I139" s="437">
        <f>+'08 Gestión Talento Hum POA 2020'!R23+'08 Gestión Talento Hum POA 2020'!Z23+'08 Gestión Talento Hum POA 2020'!AH23</f>
        <v>29</v>
      </c>
      <c r="J139" s="437">
        <f>'08 Gestión Talento Hum POA 2020'!AR23</f>
        <v>29</v>
      </c>
      <c r="K139" s="417">
        <f t="shared" si="14"/>
        <v>1.7</v>
      </c>
      <c r="L139" s="395">
        <f t="shared" si="16"/>
        <v>1</v>
      </c>
      <c r="M139" s="417">
        <f>'08 Gestión Talento Hum POA 2020'!AS23</f>
        <v>0.90625</v>
      </c>
      <c r="N139" s="432" t="str">
        <f>'Rango en indicadores'!G66</f>
        <v>Mayor o igual A:</v>
      </c>
      <c r="O139" s="416">
        <f>'Rango en indicadores'!H66</f>
        <v>90</v>
      </c>
      <c r="P139" s="432" t="str">
        <f>'Rango en indicadores'!I66</f>
        <v>Desde (&gt;):</v>
      </c>
      <c r="Q139" s="416">
        <f>'Rango en indicadores'!J66</f>
        <v>70</v>
      </c>
      <c r="R139" s="432" t="str">
        <f>'Rango en indicadores'!K66</f>
        <v>Hasta (&lt;):</v>
      </c>
      <c r="S139" s="416">
        <f>'Rango en indicadores'!L66</f>
        <v>90</v>
      </c>
      <c r="T139" s="432" t="str">
        <f>'Rango en indicadores'!M66</f>
        <v>Menor o Igual A:</v>
      </c>
      <c r="U139" s="416">
        <f>'Rango en indicadores'!N66</f>
        <v>70</v>
      </c>
      <c r="V139" s="418" t="s">
        <v>858</v>
      </c>
      <c r="W139" s="492"/>
      <c r="X139" s="492"/>
    </row>
    <row r="140" spans="2:24" ht="184.5" customHeight="1">
      <c r="B140" s="413">
        <f t="shared" si="15"/>
        <v>63</v>
      </c>
      <c r="C140" s="414" t="str">
        <f>'Rango en indicadores'!E67</f>
        <v xml:space="preserve">Novedades incluidas en nómina liquidada y pagada oportunamente </v>
      </c>
      <c r="D140" s="415" t="str">
        <f>'Rango en indicadores'!D67</f>
        <v>08-RI-16</v>
      </c>
      <c r="E140" s="430">
        <f>'08 Gestión Talento Hum POA 2020'!AQ24</f>
        <v>0.9</v>
      </c>
      <c r="F140" s="430">
        <f>'08 Gestión Talento Hum POA 2020'!AG24</f>
        <v>0.9</v>
      </c>
      <c r="G140" s="420">
        <f>ROUNDDOWN(AVERAGE('08 Gestión Talento Hum POA 2020'!Q24,'08 Gestión Talento Hum POA 2020'!Y24,'08 Gestión Talento Hum POA 2020'!AG24),3)</f>
        <v>0.9</v>
      </c>
      <c r="H140" s="430">
        <f>'08 Gestión Talento Hum POA 2020'!AH24</f>
        <v>0.92200000000000004</v>
      </c>
      <c r="I140" s="420">
        <f>ROUNDDOWN(AVERAGE('08 Gestión Talento Hum POA 2020'!R24,'08 Gestión Talento Hum POA 2020'!Z24,'08 Gestión Talento Hum POA 2020'!AH24),3)</f>
        <v>0.97699999999999998</v>
      </c>
      <c r="J140" s="430">
        <f>'08 Gestión Talento Hum POA 2020'!AR24</f>
        <v>0.97699999999999998</v>
      </c>
      <c r="K140" s="395">
        <f t="shared" si="14"/>
        <v>1.0244444444444445</v>
      </c>
      <c r="L140" s="395">
        <f t="shared" si="16"/>
        <v>1.0855555555555556</v>
      </c>
      <c r="M140" s="395">
        <f>'08 Gestión Talento Hum POA 2020'!AS24</f>
        <v>1.0855555555555556</v>
      </c>
      <c r="N140" s="432" t="str">
        <f>'Rango en indicadores'!G67</f>
        <v>Mayor o igual A:</v>
      </c>
      <c r="O140" s="416">
        <f>'Rango en indicadores'!H67</f>
        <v>90</v>
      </c>
      <c r="P140" s="432" t="str">
        <f>'Rango en indicadores'!I67</f>
        <v>Desde (&gt;):</v>
      </c>
      <c r="Q140" s="416">
        <f>'Rango en indicadores'!J67</f>
        <v>80</v>
      </c>
      <c r="R140" s="432" t="str">
        <f>'Rango en indicadores'!K67</f>
        <v>Hasta (&lt;):</v>
      </c>
      <c r="S140" s="416">
        <f>'Rango en indicadores'!L67</f>
        <v>90</v>
      </c>
      <c r="T140" s="432" t="str">
        <f>'Rango en indicadores'!M67</f>
        <v>Menor o Igual A:</v>
      </c>
      <c r="U140" s="416">
        <f>'Rango en indicadores'!N67</f>
        <v>80</v>
      </c>
      <c r="V140" s="438" t="s">
        <v>859</v>
      </c>
      <c r="W140" s="490"/>
      <c r="X140" s="490"/>
    </row>
    <row r="141" spans="2:24" ht="201" customHeight="1">
      <c r="B141" s="413">
        <f t="shared" si="15"/>
        <v>64</v>
      </c>
      <c r="C141" s="414" t="str">
        <f>'Rango en indicadores'!E68</f>
        <v>Porcentaje de incapacidades superiores a 360 días de radicadas, que no han sido pagadas por las EPS, radicadas y gestionadas ante la instancia correspondiente.</v>
      </c>
      <c r="D141" s="415" t="str">
        <f>'Rango en indicadores'!D68</f>
        <v>08-RI-17</v>
      </c>
      <c r="E141" s="430">
        <f>'08 Gestión Talento Hum POA 2020'!AQ25</f>
        <v>1</v>
      </c>
      <c r="F141" s="430">
        <f>'08 Gestión Talento Hum POA 2020'!AG25</f>
        <v>1</v>
      </c>
      <c r="G141" s="420">
        <f>ROUNDDOWN(AVERAGE('08 Gestión Talento Hum POA 2020'!Q25,'08 Gestión Talento Hum POA 2020'!Y25,'08 Gestión Talento Hum POA 2020'!AG25),3)</f>
        <v>1</v>
      </c>
      <c r="H141" s="430">
        <f>'08 Gestión Talento Hum POA 2020'!AH25</f>
        <v>0.95299999999999996</v>
      </c>
      <c r="I141" s="420">
        <f>ROUNDDOWN(AVERAGE('08 Gestión Talento Hum POA 2020'!R25,'08 Gestión Talento Hum POA 2020'!Z25,'08 Gestión Talento Hum POA 2020'!AH25),3)</f>
        <v>0.84899999999999998</v>
      </c>
      <c r="J141" s="430">
        <f>'08 Gestión Talento Hum POA 2020'!AR25</f>
        <v>0.84899999999999998</v>
      </c>
      <c r="K141" s="395">
        <f t="shared" si="14"/>
        <v>0.95299999999999996</v>
      </c>
      <c r="L141" s="395">
        <f t="shared" si="16"/>
        <v>0.84899999999999998</v>
      </c>
      <c r="M141" s="395">
        <f>'08 Gestión Talento Hum POA 2020'!AS25</f>
        <v>0.84899999999999998</v>
      </c>
      <c r="N141" s="432" t="str">
        <f>'Rango en indicadores'!G68</f>
        <v>Mayor o igual A:</v>
      </c>
      <c r="O141" s="416">
        <f>'Rango en indicadores'!H68</f>
        <v>90</v>
      </c>
      <c r="P141" s="432" t="str">
        <f>'Rango en indicadores'!I68</f>
        <v>Desde (&gt;):</v>
      </c>
      <c r="Q141" s="416">
        <f>'Rango en indicadores'!J68</f>
        <v>80</v>
      </c>
      <c r="R141" s="432" t="str">
        <f>'Rango en indicadores'!K68</f>
        <v>Hasta (&lt;):</v>
      </c>
      <c r="S141" s="416">
        <f>'Rango en indicadores'!L68</f>
        <v>90</v>
      </c>
      <c r="T141" s="432" t="str">
        <f>'Rango en indicadores'!M68</f>
        <v>Menor o Igual A:</v>
      </c>
      <c r="U141" s="416">
        <f>'Rango en indicadores'!N68</f>
        <v>80</v>
      </c>
      <c r="V141" s="418" t="s">
        <v>915</v>
      </c>
      <c r="W141" s="490"/>
      <c r="X141" s="490"/>
    </row>
    <row r="142" spans="2:24" ht="15.75">
      <c r="C142" s="587" t="s">
        <v>615</v>
      </c>
      <c r="D142" s="588"/>
      <c r="E142" s="588"/>
      <c r="F142" s="588"/>
      <c r="G142" s="588"/>
      <c r="H142" s="588"/>
      <c r="I142" s="588"/>
      <c r="J142" s="589"/>
      <c r="K142" s="422">
        <f>IFERROR(AVERAGE(K129:K141),0)</f>
        <v>0.92842151367151371</v>
      </c>
      <c r="L142" s="422">
        <f>IFERROR(AVERAGE(L129:L141),0)</f>
        <v>1.0215166126262885</v>
      </c>
      <c r="M142" s="422">
        <f>IFERROR(AVERAGE(M129:M141),0)</f>
        <v>0.91379524635215581</v>
      </c>
      <c r="N142" s="421"/>
      <c r="O142" s="421"/>
      <c r="P142" s="421"/>
      <c r="Q142" s="421"/>
      <c r="R142" s="421"/>
      <c r="S142" s="421"/>
      <c r="T142" s="421"/>
      <c r="U142" s="421"/>
      <c r="V142" s="443"/>
    </row>
    <row r="143" spans="2:24" s="407" customFormat="1">
      <c r="D143" s="408"/>
      <c r="V143" s="409"/>
    </row>
    <row r="144" spans="2:24" s="407" customFormat="1" ht="15.75">
      <c r="C144" s="410" t="s">
        <v>651</v>
      </c>
      <c r="D144" s="429"/>
      <c r="V144" s="409"/>
    </row>
    <row r="145" spans="2:24" ht="32.25" customHeight="1">
      <c r="C145" s="575" t="s">
        <v>605</v>
      </c>
      <c r="D145" s="574" t="s">
        <v>606</v>
      </c>
      <c r="E145" s="576" t="s">
        <v>607</v>
      </c>
      <c r="F145" s="577"/>
      <c r="G145" s="578"/>
      <c r="H145" s="574" t="s">
        <v>608</v>
      </c>
      <c r="I145" s="586" t="str">
        <f>$I$31</f>
        <v>Ejecución Acumulada Corte
30/09/2020</v>
      </c>
      <c r="J145" s="574" t="s">
        <v>609</v>
      </c>
      <c r="K145" s="574" t="s">
        <v>581</v>
      </c>
      <c r="L145" s="574"/>
      <c r="M145" s="574"/>
      <c r="N145" s="573" t="s">
        <v>679</v>
      </c>
      <c r="O145" s="573"/>
      <c r="P145" s="573"/>
      <c r="Q145" s="573"/>
      <c r="R145" s="573"/>
      <c r="S145" s="573"/>
      <c r="T145" s="573"/>
      <c r="U145" s="573"/>
      <c r="V145" s="593" t="s">
        <v>610</v>
      </c>
    </row>
    <row r="146" spans="2:24" ht="41.25" customHeight="1">
      <c r="C146" s="575"/>
      <c r="D146" s="574"/>
      <c r="E146" s="411" t="s">
        <v>673</v>
      </c>
      <c r="F146" s="411" t="str">
        <f>$C$5</f>
        <v>Tercer Trimestre</v>
      </c>
      <c r="G146" s="484" t="str">
        <f>$G$31</f>
        <v>Acumulada Corte
30/09/2020</v>
      </c>
      <c r="H146" s="574"/>
      <c r="I146" s="586"/>
      <c r="J146" s="574"/>
      <c r="K146" s="411" t="str">
        <f>+$C$5</f>
        <v>Tercer Trimestre</v>
      </c>
      <c r="L146" s="484" t="str">
        <f>$L$31</f>
        <v>Acumulado Corte 30/09/2020</v>
      </c>
      <c r="M146" s="411" t="s">
        <v>582</v>
      </c>
      <c r="N146" s="551" t="s">
        <v>767</v>
      </c>
      <c r="O146" s="552"/>
      <c r="P146" s="548" t="s">
        <v>674</v>
      </c>
      <c r="Q146" s="549"/>
      <c r="R146" s="549"/>
      <c r="S146" s="550"/>
      <c r="T146" s="553" t="s">
        <v>768</v>
      </c>
      <c r="U146" s="554"/>
      <c r="V146" s="593"/>
    </row>
    <row r="147" spans="2:24" ht="163.5" customHeight="1">
      <c r="B147" s="413">
        <f>+B141+1</f>
        <v>65</v>
      </c>
      <c r="C147" s="414" t="str">
        <f>'Rango en indicadores'!E69</f>
        <v>Servicios de mantenimiento de bienes e instalaciones atendidos satisfactoriamente</v>
      </c>
      <c r="D147" s="415" t="str">
        <f>'Rango en indicadores'!D69</f>
        <v>09-RI-01</v>
      </c>
      <c r="E147" s="430">
        <f>'09 Gestión Admin POA 2020'!AQ13</f>
        <v>0.90999999999999992</v>
      </c>
      <c r="F147" s="430">
        <f>'09 Gestión Admin POA 2020'!AG13</f>
        <v>0.94999999999999984</v>
      </c>
      <c r="G147" s="430">
        <f>ROUNDDOWN(AVERAGE('09 Gestión Admin POA 2020'!Q13,'09 Gestión Admin POA 2020'!Y13,'09 Gestión Admin POA 2020'!AG13),3)</f>
        <v>0.89600000000000002</v>
      </c>
      <c r="H147" s="430">
        <f>'09 Gestión Admin POA 2020'!AH13</f>
        <v>1</v>
      </c>
      <c r="I147" s="430">
        <f>ROUNDDOWN(AVERAGE('09 Gestión Admin POA 2020'!R13,'09 Gestión Admin POA 2020'!Z13,'09 Gestión Admin POA 2020'!AH13),3)</f>
        <v>0.96899999999999997</v>
      </c>
      <c r="J147" s="430">
        <f>'09 Gestión Admin POA 2020'!AR13</f>
        <v>0.96899999999999997</v>
      </c>
      <c r="K147" s="395">
        <f t="shared" ref="K147:K152" si="17">IF(AND(F147&gt;0),H147/F147,"No programado")</f>
        <v>1.0526315789473686</v>
      </c>
      <c r="L147" s="395">
        <f>IF(AND(G147&gt;0),I147/G147,"No programado")</f>
        <v>1.0814732142857142</v>
      </c>
      <c r="M147" s="395">
        <f>'09 Gestión Admin POA 2020'!AS13</f>
        <v>1.0648351648351648</v>
      </c>
      <c r="N147" s="432" t="str">
        <f>'Rango en indicadores'!G69</f>
        <v>Mayor o igual A:</v>
      </c>
      <c r="O147" s="416">
        <f>'Rango en indicadores'!H69</f>
        <v>90</v>
      </c>
      <c r="P147" s="432" t="str">
        <f>'Rango en indicadores'!I69</f>
        <v>Desde (&gt;):</v>
      </c>
      <c r="Q147" s="416">
        <f>'Rango en indicadores'!J69</f>
        <v>70</v>
      </c>
      <c r="R147" s="432" t="str">
        <f>'Rango en indicadores'!K69</f>
        <v>Hasta (&lt;):</v>
      </c>
      <c r="S147" s="416">
        <f>'Rango en indicadores'!L69</f>
        <v>90</v>
      </c>
      <c r="T147" s="432" t="str">
        <f>'Rango en indicadores'!M69</f>
        <v>Menor o Igual A:</v>
      </c>
      <c r="U147" s="416">
        <f>'Rango en indicadores'!N69</f>
        <v>70</v>
      </c>
      <c r="V147" s="418" t="s">
        <v>860</v>
      </c>
      <c r="W147" s="490"/>
      <c r="X147" s="490"/>
    </row>
    <row r="148" spans="2:24" ht="205.5" customHeight="1">
      <c r="B148" s="413">
        <f>+B147+1</f>
        <v>66</v>
      </c>
      <c r="C148" s="414" t="str">
        <f>'Rango en indicadores'!E70</f>
        <v>Pedidos de almacén atendidos satisfactoriamente</v>
      </c>
      <c r="D148" s="415" t="str">
        <f>'Rango en indicadores'!D70</f>
        <v>09-RI-02</v>
      </c>
      <c r="E148" s="430">
        <f>'09 Gestión Admin POA 2020'!AQ14</f>
        <v>0.94999999999999984</v>
      </c>
      <c r="F148" s="430">
        <f>'09 Gestión Admin POA 2020'!AG14</f>
        <v>0.94999999999999984</v>
      </c>
      <c r="G148" s="430">
        <f>ROUNDDOWN(AVERAGE('09 Gestión Admin POA 2020'!Q14,'09 Gestión Admin POA 2020'!Y14,'09 Gestión Admin POA 2020'!AG14),3)</f>
        <v>0.95</v>
      </c>
      <c r="H148" s="430">
        <f>'09 Gestión Admin POA 2020'!AH14</f>
        <v>1</v>
      </c>
      <c r="I148" s="430">
        <f>ROUNDDOWN(AVERAGE('09 Gestión Admin POA 2020'!R14,'09 Gestión Admin POA 2020'!Z14,'09 Gestión Admin POA 2020'!AH14),3)</f>
        <v>1</v>
      </c>
      <c r="J148" s="430">
        <f>'09 Gestión Admin POA 2020'!AR14</f>
        <v>1</v>
      </c>
      <c r="K148" s="395">
        <f t="shared" si="17"/>
        <v>1.0526315789473686</v>
      </c>
      <c r="L148" s="395">
        <f t="shared" ref="L148:L152" si="18">IF(AND(G148&gt;0),I148/G148,"No programado")</f>
        <v>1.0526315789473684</v>
      </c>
      <c r="M148" s="395">
        <f>'09 Gestión Admin POA 2020'!AS14</f>
        <v>1.0526315789473686</v>
      </c>
      <c r="N148" s="432" t="str">
        <f>'Rango en indicadores'!G70</f>
        <v>Mayor o igual A:</v>
      </c>
      <c r="O148" s="416">
        <f>'Rango en indicadores'!H70</f>
        <v>90</v>
      </c>
      <c r="P148" s="432" t="str">
        <f>'Rango en indicadores'!I70</f>
        <v>Desde (&gt;):</v>
      </c>
      <c r="Q148" s="416">
        <f>'Rango en indicadores'!J70</f>
        <v>70</v>
      </c>
      <c r="R148" s="432" t="str">
        <f>'Rango en indicadores'!K70</f>
        <v>Hasta (&lt;):</v>
      </c>
      <c r="S148" s="416">
        <f>'Rango en indicadores'!L70</f>
        <v>90</v>
      </c>
      <c r="T148" s="432" t="str">
        <f>'Rango en indicadores'!M70</f>
        <v>Menor o Igual A:</v>
      </c>
      <c r="U148" s="416">
        <f>'Rango en indicadores'!N70</f>
        <v>70</v>
      </c>
      <c r="V148" s="418" t="s">
        <v>800</v>
      </c>
      <c r="W148" s="490"/>
      <c r="X148" s="490"/>
    </row>
    <row r="149" spans="2:24" ht="199.5" customHeight="1">
      <c r="B149" s="413">
        <f>+B148+1</f>
        <v>67</v>
      </c>
      <c r="C149" s="414" t="str">
        <f>'Rango en indicadores'!E71</f>
        <v>Servicios de transporte atendidos satisfactoriamente</v>
      </c>
      <c r="D149" s="415" t="str">
        <f>'Rango en indicadores'!D71</f>
        <v>09-RI-03</v>
      </c>
      <c r="E149" s="430">
        <f>'09 Gestión Admin POA 2020'!AQ15</f>
        <v>0.94999999999999984</v>
      </c>
      <c r="F149" s="430">
        <f>'09 Gestión Admin POA 2020'!AG15</f>
        <v>0.94999999999999984</v>
      </c>
      <c r="G149" s="430">
        <f>ROUNDDOWN(AVERAGE('09 Gestión Admin POA 2020'!Q15,'09 Gestión Admin POA 2020'!Y15,'09 Gestión Admin POA 2020'!AG15),3)</f>
        <v>0.95</v>
      </c>
      <c r="H149" s="430">
        <f>'09 Gestión Admin POA 2020'!AH15</f>
        <v>0.998</v>
      </c>
      <c r="I149" s="430">
        <f>ROUNDDOWN(AVERAGE('09 Gestión Admin POA 2020'!R15,'09 Gestión Admin POA 2020'!Z15,'09 Gestión Admin POA 2020'!AH15),3)</f>
        <v>0.996</v>
      </c>
      <c r="J149" s="430">
        <f>'09 Gestión Admin POA 2020'!AR15</f>
        <v>0.997</v>
      </c>
      <c r="K149" s="395">
        <f t="shared" si="17"/>
        <v>1.0505263157894738</v>
      </c>
      <c r="L149" s="395">
        <f t="shared" si="18"/>
        <v>1.0484210526315789</v>
      </c>
      <c r="M149" s="395">
        <f>'09 Gestión Admin POA 2020'!AS15</f>
        <v>1.0494736842105266</v>
      </c>
      <c r="N149" s="432" t="str">
        <f>'Rango en indicadores'!G71</f>
        <v>Mayor o igual A:</v>
      </c>
      <c r="O149" s="416">
        <f>'Rango en indicadores'!H71</f>
        <v>90</v>
      </c>
      <c r="P149" s="432" t="str">
        <f>'Rango en indicadores'!I71</f>
        <v>Desde (&gt;):</v>
      </c>
      <c r="Q149" s="416">
        <f>'Rango en indicadores'!J71</f>
        <v>70</v>
      </c>
      <c r="R149" s="432" t="str">
        <f>'Rango en indicadores'!K71</f>
        <v>Hasta (&lt;):</v>
      </c>
      <c r="S149" s="416">
        <f>'Rango en indicadores'!L71</f>
        <v>90</v>
      </c>
      <c r="T149" s="432" t="str">
        <f>'Rango en indicadores'!M71</f>
        <v>Menor o Igual A:</v>
      </c>
      <c r="U149" s="416">
        <f>'Rango en indicadores'!N71</f>
        <v>70</v>
      </c>
      <c r="V149" s="418" t="s">
        <v>801</v>
      </c>
      <c r="W149" s="490"/>
      <c r="X149" s="490"/>
    </row>
    <row r="150" spans="2:24" ht="168" customHeight="1">
      <c r="B150" s="413">
        <f>+B149+1</f>
        <v>68</v>
      </c>
      <c r="C150" s="414" t="str">
        <f>'Rango en indicadores'!E72</f>
        <v>Servicios de aseo y cafetería ejecutados satisfactoriamente</v>
      </c>
      <c r="D150" s="415" t="str">
        <f>'Rango en indicadores'!D72</f>
        <v>09-RI-04</v>
      </c>
      <c r="E150" s="430">
        <f>'09 Gestión Admin POA 2020'!AQ16</f>
        <v>0.94999999999999984</v>
      </c>
      <c r="F150" s="430">
        <f>'09 Gestión Admin POA 2020'!AG16</f>
        <v>0.94999999999999984</v>
      </c>
      <c r="G150" s="430">
        <f>ROUNDDOWN(AVERAGE('09 Gestión Admin POA 2020'!Q16,'09 Gestión Admin POA 2020'!Y16,'09 Gestión Admin POA 2020'!AG16),3)</f>
        <v>0.95</v>
      </c>
      <c r="H150" s="430">
        <f>'09 Gestión Admin POA 2020'!AH16</f>
        <v>1</v>
      </c>
      <c r="I150" s="430">
        <f>ROUNDDOWN(AVERAGE('09 Gestión Admin POA 2020'!R16,'09 Gestión Admin POA 2020'!Z16,'09 Gestión Admin POA 2020'!AH16),3)</f>
        <v>1</v>
      </c>
      <c r="J150" s="430">
        <f>'09 Gestión Admin POA 2020'!AR16</f>
        <v>1</v>
      </c>
      <c r="K150" s="395">
        <f t="shared" si="17"/>
        <v>1.0526315789473686</v>
      </c>
      <c r="L150" s="395">
        <f t="shared" si="18"/>
        <v>1.0526315789473684</v>
      </c>
      <c r="M150" s="395">
        <f>'09 Gestión Admin POA 2020'!AS16</f>
        <v>1.0526315789473686</v>
      </c>
      <c r="N150" s="432" t="str">
        <f>'Rango en indicadores'!G72</f>
        <v>Mayor o igual A:</v>
      </c>
      <c r="O150" s="416">
        <f>'Rango en indicadores'!H72</f>
        <v>90</v>
      </c>
      <c r="P150" s="432" t="str">
        <f>'Rango en indicadores'!I72</f>
        <v>Desde (&gt;):</v>
      </c>
      <c r="Q150" s="416">
        <f>'Rango en indicadores'!J72</f>
        <v>70</v>
      </c>
      <c r="R150" s="432" t="str">
        <f>'Rango en indicadores'!K72</f>
        <v>Hasta (&lt;):</v>
      </c>
      <c r="S150" s="416">
        <f>'Rango en indicadores'!L72</f>
        <v>90</v>
      </c>
      <c r="T150" s="432" t="str">
        <f>'Rango en indicadores'!M72</f>
        <v>Menor o Igual A:</v>
      </c>
      <c r="U150" s="416">
        <f>'Rango en indicadores'!N72</f>
        <v>70</v>
      </c>
      <c r="V150" s="418" t="s">
        <v>861</v>
      </c>
      <c r="W150" s="490"/>
      <c r="X150" s="490"/>
    </row>
    <row r="151" spans="2:24" ht="188.25" customHeight="1">
      <c r="B151" s="413">
        <f>+B150+1</f>
        <v>69</v>
      </c>
      <c r="C151" s="414" t="str">
        <f>'Rango en indicadores'!E73</f>
        <v>Cumplimiento del plan de acción PESV</v>
      </c>
      <c r="D151" s="415" t="str">
        <f>'Rango en indicadores'!D73</f>
        <v>09-RI-05</v>
      </c>
      <c r="E151" s="430">
        <f>'09 Gestión Admin POA 2020'!AQ17</f>
        <v>0.89999999999999991</v>
      </c>
      <c r="F151" s="430">
        <f>'09 Gestión Admin POA 2020'!AG17</f>
        <v>0.85</v>
      </c>
      <c r="G151" s="430">
        <f>ROUNDDOWN(AVERAGE('09 Gestión Admin POA 2020'!Q17,'09 Gestión Admin POA 2020'!Y17,'09 Gestión Admin POA 2020'!AG17),3)</f>
        <v>0.91600000000000004</v>
      </c>
      <c r="H151" s="430">
        <f>'09 Gestión Admin POA 2020'!AH17</f>
        <v>1.6659999999999999</v>
      </c>
      <c r="I151" s="430">
        <f>ROUNDDOWN(AVERAGE('09 Gestión Admin POA 2020'!R17,'09 Gestión Admin POA 2020'!Z17,'09 Gestión Admin POA 2020'!AH17),3)</f>
        <v>1.028</v>
      </c>
      <c r="J151" s="430">
        <f>'09 Gestión Admin POA 2020'!AR17</f>
        <v>1.028</v>
      </c>
      <c r="K151" s="395">
        <f t="shared" si="17"/>
        <v>1.96</v>
      </c>
      <c r="L151" s="395">
        <f t="shared" si="18"/>
        <v>1.1222707423580787</v>
      </c>
      <c r="M151" s="395">
        <f>'09 Gestión Admin POA 2020'!AS17</f>
        <v>1.1422222222222225</v>
      </c>
      <c r="N151" s="432" t="str">
        <f>'Rango en indicadores'!G73</f>
        <v>Mayor o igual A:</v>
      </c>
      <c r="O151" s="416">
        <f>'Rango en indicadores'!H73</f>
        <v>90</v>
      </c>
      <c r="P151" s="432" t="str">
        <f>'Rango en indicadores'!I73</f>
        <v>Desde (&gt;):</v>
      </c>
      <c r="Q151" s="416">
        <f>'Rango en indicadores'!J73</f>
        <v>70</v>
      </c>
      <c r="R151" s="432" t="str">
        <f>'Rango en indicadores'!K73</f>
        <v>Hasta (&lt;):</v>
      </c>
      <c r="S151" s="416">
        <f>'Rango en indicadores'!L73</f>
        <v>90</v>
      </c>
      <c r="T151" s="432" t="str">
        <f>'Rango en indicadores'!M73</f>
        <v>Menor o Igual A:</v>
      </c>
      <c r="U151" s="416">
        <f>'Rango en indicadores'!N73</f>
        <v>70</v>
      </c>
      <c r="V151" s="418" t="s">
        <v>862</v>
      </c>
      <c r="W151" s="490"/>
      <c r="X151" s="490"/>
    </row>
    <row r="152" spans="2:24" ht="171.75" customHeight="1">
      <c r="B152" s="413">
        <f>+B151+1</f>
        <v>70</v>
      </c>
      <c r="C152" s="414" t="str">
        <f>'Rango en indicadores'!E74</f>
        <v xml:space="preserve">Cumplimiento de las actividades relacionadas con la ejecución de contratos de bienes y servicios </v>
      </c>
      <c r="D152" s="415" t="str">
        <f>'Rango en indicadores'!D74</f>
        <v>09-RI-06</v>
      </c>
      <c r="E152" s="430">
        <f>'09 Gestión Admin POA 2020'!AQ18</f>
        <v>0.94999999999999984</v>
      </c>
      <c r="F152" s="430">
        <f>'09 Gestión Admin POA 2020'!AG18</f>
        <v>0.94999999999999984</v>
      </c>
      <c r="G152" s="430">
        <f>ROUNDDOWN(AVERAGE('09 Gestión Admin POA 2020'!Q18,'09 Gestión Admin POA 2020'!Y18,'09 Gestión Admin POA 2020'!AG18),3)</f>
        <v>0.95</v>
      </c>
      <c r="H152" s="430">
        <f>'09 Gestión Admin POA 2020'!AH18</f>
        <v>1.722</v>
      </c>
      <c r="I152" s="430">
        <f>ROUNDDOWN(AVERAGE('09 Gestión Admin POA 2020'!R18,'09 Gestión Admin POA 2020'!Z18,'09 Gestión Admin POA 2020'!AH18),3)</f>
        <v>1.1779999999999999</v>
      </c>
      <c r="J152" s="430">
        <f>'09 Gestión Admin POA 2020'!AR18</f>
        <v>1.1779999999999999</v>
      </c>
      <c r="K152" s="395">
        <f t="shared" si="17"/>
        <v>1.8126315789473686</v>
      </c>
      <c r="L152" s="395">
        <f t="shared" si="18"/>
        <v>1.24</v>
      </c>
      <c r="M152" s="395">
        <f>'09 Gestión Admin POA 2020'!AS18</f>
        <v>1.2400000000000002</v>
      </c>
      <c r="N152" s="432" t="str">
        <f>'Rango en indicadores'!G74</f>
        <v>Mayor o igual A:</v>
      </c>
      <c r="O152" s="416">
        <f>'Rango en indicadores'!H74</f>
        <v>100</v>
      </c>
      <c r="P152" s="432" t="str">
        <f>'Rango en indicadores'!I74</f>
        <v>Desde (&gt;):</v>
      </c>
      <c r="Q152" s="416">
        <f>'Rango en indicadores'!J74</f>
        <v>70</v>
      </c>
      <c r="R152" s="432" t="str">
        <f>'Rango en indicadores'!K74</f>
        <v>Hasta (&lt;):</v>
      </c>
      <c r="S152" s="416">
        <f>'Rango en indicadores'!L74</f>
        <v>100</v>
      </c>
      <c r="T152" s="432" t="str">
        <f>'Rango en indicadores'!M74</f>
        <v>Menor o Igual A:</v>
      </c>
      <c r="U152" s="416">
        <f>'Rango en indicadores'!N74</f>
        <v>70</v>
      </c>
      <c r="V152" s="418" t="s">
        <v>863</v>
      </c>
      <c r="W152" s="490"/>
      <c r="X152" s="490"/>
    </row>
    <row r="153" spans="2:24" ht="15.75">
      <c r="C153" s="587" t="s">
        <v>615</v>
      </c>
      <c r="D153" s="588"/>
      <c r="E153" s="588"/>
      <c r="F153" s="588"/>
      <c r="G153" s="588"/>
      <c r="H153" s="588"/>
      <c r="I153" s="588"/>
      <c r="J153" s="589"/>
      <c r="K153" s="422">
        <f>AVERAGE(K147:K152)</f>
        <v>1.3301754385964915</v>
      </c>
      <c r="L153" s="422">
        <f>AVERAGE(L147:L152)</f>
        <v>1.0995713611950182</v>
      </c>
      <c r="M153" s="422">
        <f>AVERAGE(M147:M152)</f>
        <v>1.1002990381937752</v>
      </c>
      <c r="N153" s="434"/>
      <c r="O153" s="434"/>
      <c r="P153" s="434"/>
      <c r="Q153" s="434"/>
      <c r="R153" s="434"/>
      <c r="S153" s="434"/>
      <c r="T153" s="434"/>
      <c r="U153" s="434"/>
      <c r="V153" s="424"/>
    </row>
    <row r="154" spans="2:24" s="407" customFormat="1">
      <c r="D154" s="408"/>
      <c r="V154" s="409"/>
    </row>
    <row r="155" spans="2:24" s="407" customFormat="1" ht="15.75">
      <c r="C155" s="410" t="s">
        <v>653</v>
      </c>
      <c r="D155" s="429"/>
      <c r="V155" s="409"/>
    </row>
    <row r="156" spans="2:24" ht="35.25" customHeight="1">
      <c r="C156" s="575" t="s">
        <v>605</v>
      </c>
      <c r="D156" s="574" t="s">
        <v>606</v>
      </c>
      <c r="E156" s="576" t="s">
        <v>607</v>
      </c>
      <c r="F156" s="577"/>
      <c r="G156" s="578"/>
      <c r="H156" s="574" t="s">
        <v>608</v>
      </c>
      <c r="I156" s="586" t="str">
        <f>$I$31</f>
        <v>Ejecución Acumulada Corte
30/09/2020</v>
      </c>
      <c r="J156" s="574" t="s">
        <v>609</v>
      </c>
      <c r="K156" s="574" t="s">
        <v>581</v>
      </c>
      <c r="L156" s="574"/>
      <c r="M156" s="574"/>
      <c r="N156" s="573" t="s">
        <v>679</v>
      </c>
      <c r="O156" s="573"/>
      <c r="P156" s="573"/>
      <c r="Q156" s="573"/>
      <c r="R156" s="573"/>
      <c r="S156" s="573"/>
      <c r="T156" s="573"/>
      <c r="U156" s="573"/>
      <c r="V156" s="593" t="s">
        <v>610</v>
      </c>
    </row>
    <row r="157" spans="2:24" ht="41.25" customHeight="1">
      <c r="C157" s="575"/>
      <c r="D157" s="574"/>
      <c r="E157" s="411" t="s">
        <v>673</v>
      </c>
      <c r="F157" s="411" t="str">
        <f>$C$5</f>
        <v>Tercer Trimestre</v>
      </c>
      <c r="G157" s="484" t="str">
        <f>$G$31</f>
        <v>Acumulada Corte
30/09/2020</v>
      </c>
      <c r="H157" s="574"/>
      <c r="I157" s="586"/>
      <c r="J157" s="574"/>
      <c r="K157" s="411" t="str">
        <f>+$C$5</f>
        <v>Tercer Trimestre</v>
      </c>
      <c r="L157" s="484" t="str">
        <f>$L$31</f>
        <v>Acumulado Corte 30/09/2020</v>
      </c>
      <c r="M157" s="411" t="s">
        <v>582</v>
      </c>
      <c r="N157" s="551" t="s">
        <v>767</v>
      </c>
      <c r="O157" s="552"/>
      <c r="P157" s="548" t="s">
        <v>674</v>
      </c>
      <c r="Q157" s="549"/>
      <c r="R157" s="549"/>
      <c r="S157" s="550"/>
      <c r="T157" s="553" t="s">
        <v>768</v>
      </c>
      <c r="U157" s="554"/>
      <c r="V157" s="593"/>
    </row>
    <row r="158" spans="2:24" ht="189" customHeight="1">
      <c r="B158" s="413">
        <f>1+B152</f>
        <v>71</v>
      </c>
      <c r="C158" s="414" t="str">
        <f>'Rango en indicadores'!E75</f>
        <v>Porcentaje de pagos realizados en el mes</v>
      </c>
      <c r="D158" s="415" t="str">
        <f>'Rango en indicadores'!D75</f>
        <v>10-RI-01</v>
      </c>
      <c r="E158" s="430">
        <f>'10 Gestión Financiera POA 2020'!AQ13</f>
        <v>1</v>
      </c>
      <c r="F158" s="420">
        <f>'10 Gestión Financiera POA 2020'!AG13</f>
        <v>1</v>
      </c>
      <c r="G158" s="430">
        <f>ROUNDDOWN(AVERAGE('10 Gestión Financiera POA 2020'!Q13,'10 Gestión Financiera POA 2020'!Y13,'10 Gestión Financiera POA 2020'!AG13),3)</f>
        <v>1</v>
      </c>
      <c r="H158" s="420">
        <f>'10 Gestión Financiera POA 2020'!AH13</f>
        <v>0.98699999999999999</v>
      </c>
      <c r="I158" s="430">
        <f>ROUNDDOWN(AVERAGE('10 Gestión Financiera POA 2020'!R13,'10 Gestión Financiera POA 2020'!Z13,'10 Gestión Financiera POA 2020'!AH13),3)</f>
        <v>0.99</v>
      </c>
      <c r="J158" s="420">
        <f>'10 Gestión Financiera POA 2020'!AR13</f>
        <v>0.99</v>
      </c>
      <c r="K158" s="444">
        <f>IF(AND(F158&gt;0),H158/F158,"No programado")</f>
        <v>0.98699999999999999</v>
      </c>
      <c r="L158" s="444">
        <f>IF(AND(G158&gt;0),I158/G158,"No programado")</f>
        <v>0.99</v>
      </c>
      <c r="M158" s="444">
        <f>'10 Gestión Financiera POA 2020'!AS13</f>
        <v>0.99</v>
      </c>
      <c r="N158" s="432" t="str">
        <f>'Rango en indicadores'!G75</f>
        <v>Mayor o igual A:</v>
      </c>
      <c r="O158" s="416">
        <f>'Rango en indicadores'!H75</f>
        <v>99</v>
      </c>
      <c r="P158" s="432" t="str">
        <f>'Rango en indicadores'!I75</f>
        <v>Desde (&gt;):</v>
      </c>
      <c r="Q158" s="416">
        <f>'Rango en indicadores'!J75</f>
        <v>95</v>
      </c>
      <c r="R158" s="432" t="str">
        <f>'Rango en indicadores'!K75</f>
        <v>Hasta (&lt;):</v>
      </c>
      <c r="S158" s="416">
        <f>'Rango en indicadores'!L75</f>
        <v>99</v>
      </c>
      <c r="T158" s="432" t="str">
        <f>'Rango en indicadores'!M75</f>
        <v>Menor o Igual A:</v>
      </c>
      <c r="U158" s="416">
        <f>'Rango en indicadores'!N75</f>
        <v>95</v>
      </c>
      <c r="V158" s="418" t="s">
        <v>864</v>
      </c>
      <c r="W158" s="491"/>
      <c r="X158" s="491"/>
    </row>
    <row r="159" spans="2:24" ht="15.75">
      <c r="C159" s="587" t="s">
        <v>615</v>
      </c>
      <c r="D159" s="588"/>
      <c r="E159" s="588"/>
      <c r="F159" s="588"/>
      <c r="G159" s="588"/>
      <c r="H159" s="588"/>
      <c r="I159" s="588"/>
      <c r="J159" s="589"/>
      <c r="K159" s="445">
        <f>IFERROR(AVERAGE(K158:K158),0)</f>
        <v>0.98699999999999999</v>
      </c>
      <c r="L159" s="445">
        <f>IFERROR(AVERAGE(L158:L158),0)</f>
        <v>0.99</v>
      </c>
      <c r="M159" s="445">
        <f>IFERROR(AVERAGE(M158:M158),0)</f>
        <v>0.99</v>
      </c>
      <c r="N159" s="434"/>
      <c r="O159" s="434"/>
      <c r="P159" s="434"/>
      <c r="Q159" s="434"/>
      <c r="R159" s="434"/>
      <c r="S159" s="434"/>
      <c r="T159" s="434"/>
      <c r="U159" s="434"/>
      <c r="V159" s="424"/>
    </row>
    <row r="160" spans="2:24" s="407" customFormat="1">
      <c r="D160" s="408"/>
      <c r="V160" s="409"/>
    </row>
    <row r="161" spans="2:24" s="407" customFormat="1" ht="15.75">
      <c r="C161" s="410" t="s">
        <v>655</v>
      </c>
      <c r="D161" s="429"/>
      <c r="V161" s="409"/>
    </row>
    <row r="162" spans="2:24" ht="36.75" customHeight="1">
      <c r="C162" s="575" t="s">
        <v>605</v>
      </c>
      <c r="D162" s="574" t="s">
        <v>606</v>
      </c>
      <c r="E162" s="576" t="s">
        <v>607</v>
      </c>
      <c r="F162" s="577"/>
      <c r="G162" s="578"/>
      <c r="H162" s="574" t="s">
        <v>608</v>
      </c>
      <c r="I162" s="586" t="str">
        <f>$I$31</f>
        <v>Ejecución Acumulada Corte
30/09/2020</v>
      </c>
      <c r="J162" s="574" t="s">
        <v>609</v>
      </c>
      <c r="K162" s="574" t="s">
        <v>581</v>
      </c>
      <c r="L162" s="574"/>
      <c r="M162" s="574"/>
      <c r="N162" s="573" t="s">
        <v>679</v>
      </c>
      <c r="O162" s="573"/>
      <c r="P162" s="573"/>
      <c r="Q162" s="573"/>
      <c r="R162" s="573"/>
      <c r="S162" s="573"/>
      <c r="T162" s="573"/>
      <c r="U162" s="573"/>
      <c r="V162" s="593" t="s">
        <v>610</v>
      </c>
    </row>
    <row r="163" spans="2:24" ht="40.5" customHeight="1">
      <c r="C163" s="575"/>
      <c r="D163" s="574"/>
      <c r="E163" s="411" t="s">
        <v>673</v>
      </c>
      <c r="F163" s="411" t="str">
        <f>$C$5</f>
        <v>Tercer Trimestre</v>
      </c>
      <c r="G163" s="484" t="str">
        <f>$G$31</f>
        <v>Acumulada Corte
30/09/2020</v>
      </c>
      <c r="H163" s="574"/>
      <c r="I163" s="586"/>
      <c r="J163" s="574"/>
      <c r="K163" s="411" t="str">
        <f>+$C$5</f>
        <v>Tercer Trimestre</v>
      </c>
      <c r="L163" s="484" t="str">
        <f>$L$31</f>
        <v>Acumulado Corte 30/09/2020</v>
      </c>
      <c r="M163" s="411" t="s">
        <v>582</v>
      </c>
      <c r="N163" s="551" t="s">
        <v>767</v>
      </c>
      <c r="O163" s="552"/>
      <c r="P163" s="548" t="s">
        <v>674</v>
      </c>
      <c r="Q163" s="549"/>
      <c r="R163" s="549"/>
      <c r="S163" s="550"/>
      <c r="T163" s="553" t="s">
        <v>768</v>
      </c>
      <c r="U163" s="554"/>
      <c r="V163" s="593"/>
    </row>
    <row r="164" spans="2:24" ht="132.75" customHeight="1">
      <c r="B164" s="413">
        <f>B158+1</f>
        <v>72</v>
      </c>
      <c r="C164" s="446" t="str">
        <f>'Rango en indicadores'!E76</f>
        <v>Porcentaje de ejecución del PAA correspondiente a gastos generales</v>
      </c>
      <c r="D164" s="432" t="str">
        <f>'Rango en indicadores'!D76</f>
        <v>11-RI-01</v>
      </c>
      <c r="E164" s="395">
        <f>'11 Gestión Contractual POA 2020'!AQ13</f>
        <v>0.95</v>
      </c>
      <c r="F164" s="395">
        <f>'11 Gestión Contractual POA 2020'!AG13</f>
        <v>0.85</v>
      </c>
      <c r="G164" s="430">
        <f>+'11 Gestión Contractual POA 2020'!AG13</f>
        <v>0.85</v>
      </c>
      <c r="H164" s="395">
        <f>'11 Gestión Contractual POA 2020'!AH13</f>
        <v>0.84899999999999998</v>
      </c>
      <c r="I164" s="395">
        <f>+'11 Gestión Contractual POA 2020'!AH13</f>
        <v>0.84899999999999998</v>
      </c>
      <c r="J164" s="395">
        <f>'11 Gestión Contractual POA 2020'!AR13</f>
        <v>0.84899999999999998</v>
      </c>
      <c r="K164" s="395">
        <f>IF(AND(F164&gt;0),H164/F164,"No programado")</f>
        <v>0.99882352941176467</v>
      </c>
      <c r="L164" s="395">
        <f>IF(AND(G164&gt;0),I164/G164,"No programado")</f>
        <v>0.99882352941176467</v>
      </c>
      <c r="M164" s="395">
        <f>'11 Gestión Contractual POA 2020'!AS13</f>
        <v>0.89368421052631586</v>
      </c>
      <c r="N164" s="432" t="str">
        <f>'Rango en indicadores'!G76</f>
        <v>Mayor o igual A:</v>
      </c>
      <c r="O164" s="416">
        <f>'Rango en indicadores'!H76</f>
        <v>95</v>
      </c>
      <c r="P164" s="432" t="str">
        <f>'Rango en indicadores'!I76</f>
        <v>Desde (&gt;):</v>
      </c>
      <c r="Q164" s="416">
        <f>'Rango en indicadores'!J76</f>
        <v>90</v>
      </c>
      <c r="R164" s="432" t="str">
        <f>'Rango en indicadores'!K76</f>
        <v>Hasta (&lt;):</v>
      </c>
      <c r="S164" s="416">
        <f>'Rango en indicadores'!L76</f>
        <v>95</v>
      </c>
      <c r="T164" s="432" t="str">
        <f>'Rango en indicadores'!M76</f>
        <v>Menor o Igual A:</v>
      </c>
      <c r="U164" s="416">
        <f>'Rango en indicadores'!N76</f>
        <v>90</v>
      </c>
      <c r="V164" s="418" t="s">
        <v>865</v>
      </c>
    </row>
    <row r="165" spans="2:24" ht="15.75">
      <c r="C165" s="587" t="s">
        <v>615</v>
      </c>
      <c r="D165" s="588"/>
      <c r="E165" s="588"/>
      <c r="F165" s="588"/>
      <c r="G165" s="588"/>
      <c r="H165" s="588"/>
      <c r="I165" s="588"/>
      <c r="J165" s="589"/>
      <c r="K165" s="422">
        <f>IFERROR(AVERAGE(K164:K164),0)</f>
        <v>0.99882352941176467</v>
      </c>
      <c r="L165" s="422">
        <f>IFERROR(AVERAGE(L164:L164),0)</f>
        <v>0.99882352941176467</v>
      </c>
      <c r="M165" s="422">
        <f>AVERAGE(M164:M164)</f>
        <v>0.89368421052631586</v>
      </c>
      <c r="N165" s="434"/>
      <c r="O165" s="434"/>
      <c r="P165" s="434"/>
      <c r="Q165" s="434"/>
      <c r="R165" s="434"/>
      <c r="S165" s="434"/>
      <c r="T165" s="434"/>
      <c r="U165" s="434"/>
      <c r="V165" s="424"/>
      <c r="W165" s="491"/>
      <c r="X165" s="491"/>
    </row>
    <row r="166" spans="2:24" s="407" customFormat="1">
      <c r="D166" s="408"/>
      <c r="V166" s="409"/>
    </row>
    <row r="167" spans="2:24" s="407" customFormat="1" ht="15.75">
      <c r="C167" s="410" t="s">
        <v>656</v>
      </c>
      <c r="D167" s="429"/>
      <c r="V167" s="409"/>
    </row>
    <row r="168" spans="2:24" ht="33" customHeight="1">
      <c r="C168" s="575" t="s">
        <v>605</v>
      </c>
      <c r="D168" s="574" t="s">
        <v>606</v>
      </c>
      <c r="E168" s="576" t="s">
        <v>607</v>
      </c>
      <c r="F168" s="577"/>
      <c r="G168" s="578"/>
      <c r="H168" s="574" t="s">
        <v>608</v>
      </c>
      <c r="I168" s="586" t="str">
        <f>$I$31</f>
        <v>Ejecución Acumulada Corte
30/09/2020</v>
      </c>
      <c r="J168" s="574" t="s">
        <v>609</v>
      </c>
      <c r="K168" s="574" t="s">
        <v>581</v>
      </c>
      <c r="L168" s="574"/>
      <c r="M168" s="574"/>
      <c r="N168" s="573" t="s">
        <v>679</v>
      </c>
      <c r="O168" s="573"/>
      <c r="P168" s="573"/>
      <c r="Q168" s="573"/>
      <c r="R168" s="573"/>
      <c r="S168" s="573"/>
      <c r="T168" s="573"/>
      <c r="U168" s="573"/>
      <c r="V168" s="598" t="s">
        <v>610</v>
      </c>
    </row>
    <row r="169" spans="2:24" ht="35.25" customHeight="1">
      <c r="C169" s="575"/>
      <c r="D169" s="574"/>
      <c r="E169" s="411" t="s">
        <v>673</v>
      </c>
      <c r="F169" s="411" t="str">
        <f>$C$5</f>
        <v>Tercer Trimestre</v>
      </c>
      <c r="G169" s="484" t="str">
        <f>$G$31</f>
        <v>Acumulada Corte
30/09/2020</v>
      </c>
      <c r="H169" s="574"/>
      <c r="I169" s="586"/>
      <c r="J169" s="574"/>
      <c r="K169" s="411" t="str">
        <f>+$C$5</f>
        <v>Tercer Trimestre</v>
      </c>
      <c r="L169" s="484" t="str">
        <f>$L$31</f>
        <v>Acumulado Corte 30/09/2020</v>
      </c>
      <c r="M169" s="411" t="s">
        <v>582</v>
      </c>
      <c r="N169" s="551" t="s">
        <v>767</v>
      </c>
      <c r="O169" s="552"/>
      <c r="P169" s="548" t="s">
        <v>674</v>
      </c>
      <c r="Q169" s="549"/>
      <c r="R169" s="549"/>
      <c r="S169" s="550"/>
      <c r="T169" s="553" t="s">
        <v>768</v>
      </c>
      <c r="U169" s="554"/>
      <c r="V169" s="598"/>
    </row>
    <row r="170" spans="2:24" ht="222.75" customHeight="1">
      <c r="B170" s="413">
        <f>+B164+1</f>
        <v>73</v>
      </c>
      <c r="C170" s="414" t="str">
        <f>'Rango en indicadores'!E77</f>
        <v>Porcentaje de metros lineales de documentación recibida en el archivo central durante la vigencia, en atención al cronograma de transferencias y las solicitudes de las dependencia</v>
      </c>
      <c r="D170" s="415" t="str">
        <f>'Rango en indicadores'!D77</f>
        <v>12-RI-01</v>
      </c>
      <c r="E170" s="430">
        <f>'12 Gestión Documental POA 2020'!AQ13</f>
        <v>0.34999999999999992</v>
      </c>
      <c r="F170" s="430">
        <f>'12 Gestión Documental POA 2020'!AG13</f>
        <v>0</v>
      </c>
      <c r="G170" s="430">
        <f>ROUNDDOWN(AVERAGE('12 Gestión Documental POA 2020'!Y13,'12 Gestión Documental POA 2020'!Q13,'12 Gestión Documental POA 2020'!AG13),3)</f>
        <v>0.46600000000000003</v>
      </c>
      <c r="H170" s="430">
        <f>'12 Gestión Documental POA 2020'!AH13</f>
        <v>1.6E-2</v>
      </c>
      <c r="I170" s="430">
        <f>ROUNDDOWN(AVERAGE('12 Gestión Documental POA 2020'!R13,'12 Gestión Documental POA 2020'!Z13,'12 Gestión Documental POA 2020'!AH13),3)</f>
        <v>0.33800000000000002</v>
      </c>
      <c r="J170" s="430">
        <f>'12 Gestión Documental POA 2020'!AR13</f>
        <v>0.33800000000000002</v>
      </c>
      <c r="K170" s="395" t="str">
        <f>IF(AND(F170&gt;0),H170/F170,"No programado")</f>
        <v>No programado</v>
      </c>
      <c r="L170" s="395">
        <f>IF(AND(G170&gt;0),I170/G170,"No programado")</f>
        <v>0.72532188841201717</v>
      </c>
      <c r="M170" s="395">
        <f>'12 Gestión Documental POA 2020'!AS13</f>
        <v>0.96571428571428597</v>
      </c>
      <c r="N170" s="432" t="str">
        <f>'Rango en indicadores'!G77</f>
        <v>Mayor o igual A:</v>
      </c>
      <c r="O170" s="416">
        <f>'Rango en indicadores'!H77</f>
        <v>100</v>
      </c>
      <c r="P170" s="432" t="str">
        <f>'Rango en indicadores'!I77</f>
        <v>Desde (&gt;):</v>
      </c>
      <c r="Q170" s="416">
        <f>'Rango en indicadores'!J77</f>
        <v>95</v>
      </c>
      <c r="R170" s="432" t="str">
        <f>'Rango en indicadores'!K77</f>
        <v>Hasta (&lt;):</v>
      </c>
      <c r="S170" s="416">
        <f>'Rango en indicadores'!L77</f>
        <v>100</v>
      </c>
      <c r="T170" s="432" t="str">
        <f>'Rango en indicadores'!M77</f>
        <v>Menor o Igual A:</v>
      </c>
      <c r="U170" s="416">
        <f>'Rango en indicadores'!N77</f>
        <v>95</v>
      </c>
      <c r="V170" s="418" t="s">
        <v>866</v>
      </c>
    </row>
    <row r="171" spans="2:24" ht="85.5" customHeight="1">
      <c r="B171" s="413">
        <f>B170+1</f>
        <v>74</v>
      </c>
      <c r="C171" s="414" t="str">
        <f>'Rango en indicadores'!E78</f>
        <v>Actividades de diseño o ajuste de instrumentos archivísticos establecidos por ley, desarrolladas en el periodo.</v>
      </c>
      <c r="D171" s="415" t="str">
        <f>'Rango en indicadores'!D78</f>
        <v>12-RI-02</v>
      </c>
      <c r="E171" s="437">
        <f>'12 Gestión Documental POA 2020'!AQ14</f>
        <v>30</v>
      </c>
      <c r="F171" s="437">
        <f>'12 Gestión Documental POA 2020'!AG14</f>
        <v>9</v>
      </c>
      <c r="G171" s="437">
        <f>+'12 Gestión Documental POA 2020'!Y14+'12 Gestión Documental POA 2020'!Q14+'12 Gestión Documental POA 2020'!AG14</f>
        <v>23</v>
      </c>
      <c r="H171" s="437">
        <f>'12 Gestión Documental POA 2020'!AH14</f>
        <v>13</v>
      </c>
      <c r="I171" s="437">
        <f>+'12 Gestión Documental POA 2020'!R14+'12 Gestión Documental POA 2020'!Z14+'12 Gestión Documental POA 2020'!AH14</f>
        <v>27</v>
      </c>
      <c r="J171" s="437">
        <f>'12 Gestión Documental POA 2020'!AR14</f>
        <v>27</v>
      </c>
      <c r="K171" s="395">
        <f>IF(AND(F171&gt;0),H171/F171,"No programado")</f>
        <v>1.4444444444444444</v>
      </c>
      <c r="L171" s="395">
        <f>IF(AND(G171&gt;0),I171/G171,"No programado")</f>
        <v>1.173913043478261</v>
      </c>
      <c r="M171" s="395">
        <f>'12 Gestión Documental POA 2020'!AS14</f>
        <v>0.9</v>
      </c>
      <c r="N171" s="432" t="str">
        <f>'Rango en indicadores'!G78</f>
        <v>Mayor o igual A:</v>
      </c>
      <c r="O171" s="416">
        <f>'Rango en indicadores'!H78</f>
        <v>90</v>
      </c>
      <c r="P171" s="432" t="str">
        <f>'Rango en indicadores'!I78</f>
        <v>Desde (&gt;):</v>
      </c>
      <c r="Q171" s="416">
        <f>'Rango en indicadores'!J78</f>
        <v>79</v>
      </c>
      <c r="R171" s="432" t="str">
        <f>'Rango en indicadores'!K78</f>
        <v>Hasta (&lt;):</v>
      </c>
      <c r="S171" s="416">
        <f>'Rango en indicadores'!L78</f>
        <v>90</v>
      </c>
      <c r="T171" s="432" t="str">
        <f>'Rango en indicadores'!M78</f>
        <v>Menor o Igual A:</v>
      </c>
      <c r="U171" s="416">
        <f>'Rango en indicadores'!N78</f>
        <v>79</v>
      </c>
      <c r="V171" s="418" t="s">
        <v>796</v>
      </c>
    </row>
    <row r="172" spans="2:24" ht="155.25" customHeight="1">
      <c r="B172" s="413">
        <f>B171+1</f>
        <v>75</v>
      </c>
      <c r="C172" s="414" t="str">
        <f>'Rango en indicadores'!E79</f>
        <v>Actividades de implementación de instrumentos archivísticos establecidos por ley, desarrolladas en el periodo.</v>
      </c>
      <c r="D172" s="415" t="str">
        <f>'Rango en indicadores'!D79</f>
        <v>12-RI-03</v>
      </c>
      <c r="E172" s="437">
        <f>'12 Gestión Documental POA 2020'!AQ15</f>
        <v>25</v>
      </c>
      <c r="F172" s="437">
        <f>'12 Gestión Documental POA 2020'!AG15</f>
        <v>8</v>
      </c>
      <c r="G172" s="437">
        <f>+'12 Gestión Documental POA 2020'!Y15+'12 Gestión Documental POA 2020'!Q15+'12 Gestión Documental POA 2020'!AG15</f>
        <v>22</v>
      </c>
      <c r="H172" s="437">
        <f>'12 Gestión Documental POA 2020'!AH15</f>
        <v>8</v>
      </c>
      <c r="I172" s="437">
        <f>+'12 Gestión Documental POA 2020'!R15+'12 Gestión Documental POA 2020'!Z15+'12 Gestión Documental POA 2020'!AH15</f>
        <v>18</v>
      </c>
      <c r="J172" s="437">
        <f>'12 Gestión Documental POA 2020'!AR15</f>
        <v>18</v>
      </c>
      <c r="K172" s="395">
        <f>IF(AND(F172&gt;0),H172/F172,"No programado")</f>
        <v>1</v>
      </c>
      <c r="L172" s="395">
        <f t="shared" ref="L172" si="19">IF(AND(G172&gt;0),I172/G172,"No programado")</f>
        <v>0.81818181818181823</v>
      </c>
      <c r="M172" s="395">
        <f>'12 Gestión Documental POA 2020'!AS15</f>
        <v>0.72</v>
      </c>
      <c r="N172" s="432" t="str">
        <f>'Rango en indicadores'!G79</f>
        <v>Mayor o igual A:</v>
      </c>
      <c r="O172" s="416">
        <f>'Rango en indicadores'!H79</f>
        <v>90</v>
      </c>
      <c r="P172" s="432" t="str">
        <f>'Rango en indicadores'!I79</f>
        <v>Desde (&gt;):</v>
      </c>
      <c r="Q172" s="416">
        <f>'Rango en indicadores'!J79</f>
        <v>79</v>
      </c>
      <c r="R172" s="432" t="str">
        <f>'Rango en indicadores'!K79</f>
        <v>Hasta (&lt;):</v>
      </c>
      <c r="S172" s="416">
        <f>'Rango en indicadores'!L79</f>
        <v>90</v>
      </c>
      <c r="T172" s="432" t="str">
        <f>'Rango en indicadores'!M79</f>
        <v>Menor o Igual A:</v>
      </c>
      <c r="U172" s="416">
        <f>'Rango en indicadores'!N79</f>
        <v>79</v>
      </c>
      <c r="V172" s="438" t="s">
        <v>867</v>
      </c>
      <c r="W172" s="492"/>
      <c r="X172" s="492"/>
    </row>
    <row r="173" spans="2:24" ht="15.75">
      <c r="C173" s="587" t="s">
        <v>615</v>
      </c>
      <c r="D173" s="588"/>
      <c r="E173" s="588"/>
      <c r="F173" s="588"/>
      <c r="G173" s="588"/>
      <c r="H173" s="588"/>
      <c r="I173" s="588"/>
      <c r="J173" s="589"/>
      <c r="K173" s="422">
        <f>IFERROR(AVERAGE(K170:K172),0)</f>
        <v>1.2222222222222223</v>
      </c>
      <c r="L173" s="422">
        <f>IFERROR(AVERAGE(L170:L172),0)</f>
        <v>0.9058055833573655</v>
      </c>
      <c r="M173" s="422">
        <f>IFERROR(AVERAGE(M170:M172),0)</f>
        <v>0.86190476190476206</v>
      </c>
      <c r="N173" s="434"/>
      <c r="O173" s="434"/>
      <c r="P173" s="434"/>
      <c r="Q173" s="434"/>
      <c r="R173" s="434"/>
      <c r="S173" s="434"/>
      <c r="T173" s="434"/>
      <c r="U173" s="434"/>
      <c r="V173" s="424"/>
    </row>
    <row r="174" spans="2:24" s="407" customFormat="1">
      <c r="D174" s="408"/>
      <c r="V174" s="409"/>
    </row>
    <row r="175" spans="2:24" s="407" customFormat="1" ht="15.75">
      <c r="C175" s="410" t="s">
        <v>658</v>
      </c>
      <c r="D175" s="429"/>
      <c r="V175" s="409"/>
    </row>
    <row r="176" spans="2:24" ht="30.75" customHeight="1">
      <c r="C176" s="575" t="s">
        <v>605</v>
      </c>
      <c r="D176" s="574" t="s">
        <v>606</v>
      </c>
      <c r="E176" s="576" t="s">
        <v>607</v>
      </c>
      <c r="F176" s="577"/>
      <c r="G176" s="578"/>
      <c r="H176" s="574" t="s">
        <v>608</v>
      </c>
      <c r="I176" s="586" t="str">
        <f>$I$31</f>
        <v>Ejecución Acumulada Corte
30/09/2020</v>
      </c>
      <c r="J176" s="574" t="s">
        <v>609</v>
      </c>
      <c r="K176" s="574" t="s">
        <v>581</v>
      </c>
      <c r="L176" s="574"/>
      <c r="M176" s="574"/>
      <c r="N176" s="573" t="s">
        <v>679</v>
      </c>
      <c r="O176" s="573"/>
      <c r="P176" s="573"/>
      <c r="Q176" s="573"/>
      <c r="R176" s="573"/>
      <c r="S176" s="573"/>
      <c r="T176" s="573"/>
      <c r="U176" s="573"/>
      <c r="V176" s="598" t="s">
        <v>610</v>
      </c>
    </row>
    <row r="177" spans="2:22" ht="34.5" customHeight="1">
      <c r="C177" s="575"/>
      <c r="D177" s="574"/>
      <c r="E177" s="411" t="s">
        <v>611</v>
      </c>
      <c r="F177" s="411" t="str">
        <f>$C$5</f>
        <v>Tercer Trimestre</v>
      </c>
      <c r="G177" s="484" t="str">
        <f>$G$31</f>
        <v>Acumulada Corte
30/09/2020</v>
      </c>
      <c r="H177" s="574"/>
      <c r="I177" s="586"/>
      <c r="J177" s="574"/>
      <c r="K177" s="411" t="str">
        <f>+$C$5</f>
        <v>Tercer Trimestre</v>
      </c>
      <c r="L177" s="484" t="str">
        <f>$L$31</f>
        <v>Acumulado Corte 30/09/2020</v>
      </c>
      <c r="M177" s="411" t="s">
        <v>582</v>
      </c>
      <c r="N177" s="551" t="s">
        <v>767</v>
      </c>
      <c r="O177" s="552"/>
      <c r="P177" s="548" t="s">
        <v>674</v>
      </c>
      <c r="Q177" s="549"/>
      <c r="R177" s="549"/>
      <c r="S177" s="550"/>
      <c r="T177" s="553" t="s">
        <v>768</v>
      </c>
      <c r="U177" s="554"/>
      <c r="V177" s="598"/>
    </row>
    <row r="178" spans="2:22" ht="93.75" customHeight="1">
      <c r="B178" s="413">
        <f>1+B172</f>
        <v>76</v>
      </c>
      <c r="C178" s="414" t="str">
        <f>'Rango en indicadores'!E80</f>
        <v>Porcentaje de intervención oportuna en defensa judicial de la Entidad (Vinculada)</v>
      </c>
      <c r="D178" s="415" t="str">
        <f>'Rango en indicadores'!D80</f>
        <v>13-R1-01</v>
      </c>
      <c r="E178" s="430">
        <f>'13 Gestión Jurídica POA 2020 '!AQ13</f>
        <v>1</v>
      </c>
      <c r="F178" s="430">
        <f>'13 Gestión Jurídica POA 2020 '!AG13</f>
        <v>1</v>
      </c>
      <c r="G178" s="430">
        <f>ROUNDDOWN(AVERAGE('13 Gestión Jurídica POA 2020 '!Q13,'13 Gestión Jurídica POA 2020 '!Y13,'13 Gestión Jurídica POA 2020 '!AG13),3)</f>
        <v>1</v>
      </c>
      <c r="H178" s="430">
        <f>'13 Gestión Jurídica POA 2020 '!AH13</f>
        <v>1</v>
      </c>
      <c r="I178" s="430">
        <f>ROUNDDOWN(AVERAGE('13 Gestión Jurídica POA 2020 '!R13,'13 Gestión Jurídica POA 2020 '!Z13,'13 Gestión Jurídica POA 2020 '!AH13),3)</f>
        <v>1</v>
      </c>
      <c r="J178" s="430">
        <f>'13 Gestión Jurídica POA 2020 '!AR13</f>
        <v>1</v>
      </c>
      <c r="K178" s="395">
        <f>IF(AND(F178&gt;0),H178/F178,"No programado")</f>
        <v>1</v>
      </c>
      <c r="L178" s="395">
        <f>IF(AND(G178&gt;0),I178/G178,"No programado")</f>
        <v>1</v>
      </c>
      <c r="M178" s="395">
        <f>'13 Gestión Jurídica POA 2020 '!AS13</f>
        <v>1</v>
      </c>
      <c r="N178" s="432" t="str">
        <f>'Rango en indicadores'!G80</f>
        <v>Mayor o igual A:</v>
      </c>
      <c r="O178" s="416">
        <f>'Rango en indicadores'!H80</f>
        <v>100</v>
      </c>
      <c r="P178" s="432" t="str">
        <f>'Rango en indicadores'!I80</f>
        <v>Desde (&gt;):</v>
      </c>
      <c r="Q178" s="416">
        <f>'Rango en indicadores'!J80</f>
        <v>90</v>
      </c>
      <c r="R178" s="432" t="str">
        <f>'Rango en indicadores'!K80</f>
        <v>Hasta (&lt;):</v>
      </c>
      <c r="S178" s="416">
        <f>'Rango en indicadores'!L80</f>
        <v>100</v>
      </c>
      <c r="T178" s="432" t="str">
        <f>'Rango en indicadores'!M80</f>
        <v>Menor o Igual A:</v>
      </c>
      <c r="U178" s="416">
        <f>'Rango en indicadores'!N80</f>
        <v>90</v>
      </c>
      <c r="V178" s="418" t="s">
        <v>793</v>
      </c>
    </row>
    <row r="179" spans="2:22" ht="100.5" customHeight="1">
      <c r="B179" s="413">
        <f>B178+1</f>
        <v>77</v>
      </c>
      <c r="C179" s="414" t="str">
        <f>'Rango en indicadores'!E81</f>
        <v>Porcentaje de intervención oportuna en defensa judicial de la Entidad por acciones de tutela</v>
      </c>
      <c r="D179" s="415" t="str">
        <f>'Rango en indicadores'!D81</f>
        <v>13-R1-02</v>
      </c>
      <c r="E179" s="430">
        <f>'13 Gestión Jurídica POA 2020 '!AQ14</f>
        <v>1</v>
      </c>
      <c r="F179" s="430">
        <f>'13 Gestión Jurídica POA 2020 '!AG14</f>
        <v>1</v>
      </c>
      <c r="G179" s="430">
        <f>ROUNDDOWN(AVERAGE('13 Gestión Jurídica POA 2020 '!Q14,'13 Gestión Jurídica POA 2020 '!Y14,'13 Gestión Jurídica POA 2020 '!AG14),3)</f>
        <v>1</v>
      </c>
      <c r="H179" s="430">
        <f>'13 Gestión Jurídica POA 2020 '!AH14</f>
        <v>1</v>
      </c>
      <c r="I179" s="430">
        <f>ROUNDDOWN(AVERAGE('13 Gestión Jurídica POA 2020 '!R14,'13 Gestión Jurídica POA 2020 '!Z14,'13 Gestión Jurídica POA 2020 '!AH14),3)</f>
        <v>1</v>
      </c>
      <c r="J179" s="430">
        <f>'13 Gestión Jurídica POA 2020 '!AR14</f>
        <v>1</v>
      </c>
      <c r="K179" s="395">
        <f>IF(AND(F179&gt;0),H179/F179,"No programado")</f>
        <v>1</v>
      </c>
      <c r="L179" s="395">
        <f t="shared" ref="L179:L182" si="20">IF(AND(G179&gt;0),I179/G179,"No programado")</f>
        <v>1</v>
      </c>
      <c r="M179" s="395">
        <f>'13 Gestión Jurídica POA 2020 '!AS14</f>
        <v>1</v>
      </c>
      <c r="N179" s="432" t="str">
        <f>'Rango en indicadores'!G81</f>
        <v>Mayor o igual A:</v>
      </c>
      <c r="O179" s="416">
        <f>'Rango en indicadores'!H81</f>
        <v>100</v>
      </c>
      <c r="P179" s="432" t="str">
        <f>'Rango en indicadores'!I81</f>
        <v>Desde (&gt;):</v>
      </c>
      <c r="Q179" s="416">
        <f>'Rango en indicadores'!J81</f>
        <v>90</v>
      </c>
      <c r="R179" s="432" t="str">
        <f>'Rango en indicadores'!K81</f>
        <v>Hasta (&lt;):</v>
      </c>
      <c r="S179" s="416">
        <f>'Rango en indicadores'!L81</f>
        <v>100</v>
      </c>
      <c r="T179" s="432" t="str">
        <f>'Rango en indicadores'!M81</f>
        <v>Menor o Igual A:</v>
      </c>
      <c r="U179" s="416">
        <f>'Rango en indicadores'!N81</f>
        <v>90</v>
      </c>
      <c r="V179" s="418" t="s">
        <v>793</v>
      </c>
    </row>
    <row r="180" spans="2:22" ht="99" customHeight="1">
      <c r="B180" s="413">
        <f t="shared" ref="B180:B182" si="21">B179+1</f>
        <v>78</v>
      </c>
      <c r="C180" s="414" t="str">
        <f>'Rango en indicadores'!E82</f>
        <v>Porcentaje de actualización de la base de datos de acciones en las que se inician y/o intervine</v>
      </c>
      <c r="D180" s="415" t="str">
        <f>'Rango en indicadores'!D82</f>
        <v>13-R1-03</v>
      </c>
      <c r="E180" s="430">
        <f>'13 Gestión Jurídica POA 2020 '!AQ15</f>
        <v>1</v>
      </c>
      <c r="F180" s="430">
        <f>'13 Gestión Jurídica POA 2020 '!AG15</f>
        <v>1</v>
      </c>
      <c r="G180" s="430">
        <f>ROUNDDOWN(AVERAGE('13 Gestión Jurídica POA 2020 '!Q15,'13 Gestión Jurídica POA 2020 '!Y15,'13 Gestión Jurídica POA 2020 '!AG15),3)</f>
        <v>1</v>
      </c>
      <c r="H180" s="430">
        <f>'13 Gestión Jurídica POA 2020 '!AH15</f>
        <v>1</v>
      </c>
      <c r="I180" s="430">
        <f>ROUNDDOWN(AVERAGE('13 Gestión Jurídica POA 2020 '!R15,'13 Gestión Jurídica POA 2020 '!Z15,'13 Gestión Jurídica POA 2020 '!AH15),3)</f>
        <v>1</v>
      </c>
      <c r="J180" s="430">
        <f>'13 Gestión Jurídica POA 2020 '!AR15</f>
        <v>1</v>
      </c>
      <c r="K180" s="395">
        <f>IF(AND(F180&gt;0),H180/F180,"No programado")</f>
        <v>1</v>
      </c>
      <c r="L180" s="395">
        <f t="shared" si="20"/>
        <v>1</v>
      </c>
      <c r="M180" s="395">
        <f>'13 Gestión Jurídica POA 2020 '!AS15</f>
        <v>1</v>
      </c>
      <c r="N180" s="432" t="str">
        <f>'Rango en indicadores'!G82</f>
        <v>Mayor o igual A:</v>
      </c>
      <c r="O180" s="416">
        <f>'Rango en indicadores'!H82</f>
        <v>100</v>
      </c>
      <c r="P180" s="432" t="str">
        <f>'Rango en indicadores'!I82</f>
        <v>Desde (&gt;):</v>
      </c>
      <c r="Q180" s="416">
        <f>'Rango en indicadores'!J82</f>
        <v>90</v>
      </c>
      <c r="R180" s="432" t="str">
        <f>'Rango en indicadores'!K82</f>
        <v>Hasta (&lt;):</v>
      </c>
      <c r="S180" s="416">
        <f>'Rango en indicadores'!L82</f>
        <v>100</v>
      </c>
      <c r="T180" s="432" t="str">
        <f>'Rango en indicadores'!M82</f>
        <v>Menor o Igual A:</v>
      </c>
      <c r="U180" s="416">
        <f>'Rango en indicadores'!N82</f>
        <v>90</v>
      </c>
      <c r="V180" s="418" t="s">
        <v>793</v>
      </c>
    </row>
    <row r="181" spans="2:22" ht="106.5" customHeight="1">
      <c r="B181" s="413">
        <f t="shared" si="21"/>
        <v>79</v>
      </c>
      <c r="C181" s="414" t="str">
        <f>'Rango en indicadores'!E83</f>
        <v>Porcentaje de actualización de base de datos de sanciones disciplinarias</v>
      </c>
      <c r="D181" s="415" t="str">
        <f>'Rango en indicadores'!D83</f>
        <v>13-R1-04</v>
      </c>
      <c r="E181" s="430">
        <f>'13 Gestión Jurídica POA 2020 '!AQ16</f>
        <v>1</v>
      </c>
      <c r="F181" s="430">
        <f>'13 Gestión Jurídica POA 2020 '!AG16</f>
        <v>1</v>
      </c>
      <c r="G181" s="430">
        <f>ROUNDDOWN(AVERAGE('13 Gestión Jurídica POA 2020 '!Q16,'13 Gestión Jurídica POA 2020 '!Y16,'13 Gestión Jurídica POA 2020 '!AG16),3)</f>
        <v>1</v>
      </c>
      <c r="H181" s="430">
        <f>'13 Gestión Jurídica POA 2020 '!AH16</f>
        <v>1</v>
      </c>
      <c r="I181" s="430">
        <f>ROUNDDOWN(AVERAGE('13 Gestión Jurídica POA 2020 '!R16,'13 Gestión Jurídica POA 2020 '!Z16,'13 Gestión Jurídica POA 2020 '!AH16),3)</f>
        <v>1</v>
      </c>
      <c r="J181" s="430">
        <f>'13 Gestión Jurídica POA 2020 '!AR16</f>
        <v>1</v>
      </c>
      <c r="K181" s="395">
        <f>IF(AND(F181&gt;0),H181/F181,"No programado")</f>
        <v>1</v>
      </c>
      <c r="L181" s="395">
        <f t="shared" si="20"/>
        <v>1</v>
      </c>
      <c r="M181" s="395">
        <f>'13 Gestión Jurídica POA 2020 '!AS16</f>
        <v>1</v>
      </c>
      <c r="N181" s="432" t="str">
        <f>'Rango en indicadores'!G83</f>
        <v>Mayor o igual A:</v>
      </c>
      <c r="O181" s="416">
        <f>'Rango en indicadores'!H83</f>
        <v>100</v>
      </c>
      <c r="P181" s="432" t="str">
        <f>'Rango en indicadores'!I83</f>
        <v>Desde (&gt;):</v>
      </c>
      <c r="Q181" s="416">
        <f>'Rango en indicadores'!J83</f>
        <v>90</v>
      </c>
      <c r="R181" s="432" t="str">
        <f>'Rango en indicadores'!K83</f>
        <v>Hasta (&lt;):</v>
      </c>
      <c r="S181" s="416">
        <f>'Rango en indicadores'!L83</f>
        <v>100</v>
      </c>
      <c r="T181" s="432" t="str">
        <f>'Rango en indicadores'!M83</f>
        <v>Menor o Igual A:</v>
      </c>
      <c r="U181" s="416">
        <f>'Rango en indicadores'!N83</f>
        <v>90</v>
      </c>
      <c r="V181" s="418" t="s">
        <v>793</v>
      </c>
    </row>
    <row r="182" spans="2:22" ht="101.25" customHeight="1">
      <c r="B182" s="413">
        <f t="shared" si="21"/>
        <v>80</v>
      </c>
      <c r="C182" s="414" t="str">
        <f>'Rango en indicadores'!E84</f>
        <v xml:space="preserve">Porcentaje de emisión oportuna de conceptos jurídicos </v>
      </c>
      <c r="D182" s="415" t="str">
        <f>'Rango en indicadores'!D84</f>
        <v>13-R1-05</v>
      </c>
      <c r="E182" s="430">
        <f>'13 Gestión Jurídica POA 2020 '!AQ17</f>
        <v>1</v>
      </c>
      <c r="F182" s="430">
        <f>'13 Gestión Jurídica POA 2020 '!AG17</f>
        <v>1</v>
      </c>
      <c r="G182" s="430">
        <f>ROUNDDOWN(AVERAGE('13 Gestión Jurídica POA 2020 '!Q17,'13 Gestión Jurídica POA 2020 '!Y17,'13 Gestión Jurídica POA 2020 '!AG17),3)</f>
        <v>1</v>
      </c>
      <c r="H182" s="430">
        <f>'13 Gestión Jurídica POA 2020 '!AH17</f>
        <v>1</v>
      </c>
      <c r="I182" s="430">
        <f>ROUNDDOWN(AVERAGE('13 Gestión Jurídica POA 2020 '!R17,'13 Gestión Jurídica POA 2020 '!Z17,'13 Gestión Jurídica POA 2020 '!AH17),3)</f>
        <v>1</v>
      </c>
      <c r="J182" s="430">
        <f>'13 Gestión Jurídica POA 2020 '!AR17</f>
        <v>1</v>
      </c>
      <c r="K182" s="395">
        <f>IF(AND(F182&gt;0),H182/F182,"No programado")</f>
        <v>1</v>
      </c>
      <c r="L182" s="395">
        <f t="shared" si="20"/>
        <v>1</v>
      </c>
      <c r="M182" s="395">
        <f>'13 Gestión Jurídica POA 2020 '!AS17</f>
        <v>1</v>
      </c>
      <c r="N182" s="432" t="str">
        <f>'Rango en indicadores'!G84</f>
        <v>Mayor o igual A:</v>
      </c>
      <c r="O182" s="416">
        <f>'Rango en indicadores'!H84</f>
        <v>100</v>
      </c>
      <c r="P182" s="432" t="str">
        <f>'Rango en indicadores'!I84</f>
        <v>Desde (&gt;):</v>
      </c>
      <c r="Q182" s="416">
        <f>'Rango en indicadores'!J84</f>
        <v>90</v>
      </c>
      <c r="R182" s="432" t="str">
        <f>'Rango en indicadores'!K84</f>
        <v>Hasta (&lt;):</v>
      </c>
      <c r="S182" s="416">
        <f>'Rango en indicadores'!L84</f>
        <v>100</v>
      </c>
      <c r="T182" s="432" t="str">
        <f>'Rango en indicadores'!M84</f>
        <v>Menor o Igual A:</v>
      </c>
      <c r="U182" s="416">
        <f>'Rango en indicadores'!N84</f>
        <v>90</v>
      </c>
      <c r="V182" s="418" t="s">
        <v>793</v>
      </c>
    </row>
    <row r="183" spans="2:22" ht="15.75">
      <c r="C183" s="587" t="s">
        <v>615</v>
      </c>
      <c r="D183" s="588"/>
      <c r="E183" s="588"/>
      <c r="F183" s="588"/>
      <c r="G183" s="588"/>
      <c r="H183" s="588"/>
      <c r="I183" s="588"/>
      <c r="J183" s="589"/>
      <c r="K183" s="422">
        <f>IFERROR(AVERAGE(K178:K182),0)</f>
        <v>1</v>
      </c>
      <c r="L183" s="422">
        <f>IFERROR(AVERAGE(L178:L182),0)</f>
        <v>1</v>
      </c>
      <c r="M183" s="422">
        <f>IFERROR(AVERAGE(M178:M182),0)</f>
        <v>1</v>
      </c>
      <c r="N183" s="434"/>
      <c r="O183" s="434"/>
      <c r="P183" s="434"/>
      <c r="Q183" s="434"/>
      <c r="R183" s="434"/>
      <c r="S183" s="434"/>
      <c r="T183" s="434"/>
      <c r="U183" s="434"/>
      <c r="V183" s="424"/>
    </row>
    <row r="184" spans="2:22" ht="15.75">
      <c r="C184" s="447"/>
      <c r="D184" s="447"/>
      <c r="E184" s="447"/>
      <c r="F184" s="447"/>
      <c r="G184" s="447"/>
      <c r="H184" s="447"/>
      <c r="I184" s="447"/>
      <c r="J184" s="447"/>
      <c r="K184" s="423"/>
      <c r="L184" s="423"/>
      <c r="M184" s="434"/>
      <c r="N184" s="434"/>
      <c r="O184" s="434"/>
      <c r="P184" s="434"/>
      <c r="Q184" s="434"/>
      <c r="R184" s="434"/>
      <c r="S184" s="434"/>
      <c r="T184" s="434"/>
      <c r="U184" s="434"/>
      <c r="V184" s="424"/>
    </row>
    <row r="185" spans="2:22" s="407" customFormat="1" ht="15.75">
      <c r="C185" s="410" t="s">
        <v>659</v>
      </c>
      <c r="D185" s="429"/>
      <c r="V185" s="409"/>
    </row>
    <row r="186" spans="2:22" ht="34.5" customHeight="1">
      <c r="C186" s="575" t="s">
        <v>605</v>
      </c>
      <c r="D186" s="574" t="s">
        <v>606</v>
      </c>
      <c r="E186" s="576" t="s">
        <v>607</v>
      </c>
      <c r="F186" s="577"/>
      <c r="G186" s="578"/>
      <c r="H186" s="574" t="s">
        <v>608</v>
      </c>
      <c r="I186" s="586" t="str">
        <f>$I$31</f>
        <v>Ejecución Acumulada Corte
30/09/2020</v>
      </c>
      <c r="J186" s="574" t="s">
        <v>609</v>
      </c>
      <c r="K186" s="574" t="s">
        <v>581</v>
      </c>
      <c r="L186" s="574"/>
      <c r="M186" s="574"/>
      <c r="N186" s="573" t="s">
        <v>679</v>
      </c>
      <c r="O186" s="573"/>
      <c r="P186" s="573"/>
      <c r="Q186" s="573"/>
      <c r="R186" s="573"/>
      <c r="S186" s="573"/>
      <c r="T186" s="573"/>
      <c r="U186" s="573"/>
      <c r="V186" s="598" t="s">
        <v>610</v>
      </c>
    </row>
    <row r="187" spans="2:22" ht="33" customHeight="1">
      <c r="C187" s="575"/>
      <c r="D187" s="574"/>
      <c r="E187" s="411" t="s">
        <v>673</v>
      </c>
      <c r="F187" s="411" t="str">
        <f>$C$5</f>
        <v>Tercer Trimestre</v>
      </c>
      <c r="G187" s="484" t="str">
        <f>$G$31</f>
        <v>Acumulada Corte
30/09/2020</v>
      </c>
      <c r="H187" s="574"/>
      <c r="I187" s="586"/>
      <c r="J187" s="574"/>
      <c r="K187" s="411" t="str">
        <f>+$C$5</f>
        <v>Tercer Trimestre</v>
      </c>
      <c r="L187" s="484" t="str">
        <f>$L$31</f>
        <v>Acumulado Corte 30/09/2020</v>
      </c>
      <c r="M187" s="411" t="s">
        <v>582</v>
      </c>
      <c r="N187" s="551" t="s">
        <v>767</v>
      </c>
      <c r="O187" s="552"/>
      <c r="P187" s="548" t="s">
        <v>674</v>
      </c>
      <c r="Q187" s="549"/>
      <c r="R187" s="549"/>
      <c r="S187" s="550"/>
      <c r="T187" s="553" t="s">
        <v>768</v>
      </c>
      <c r="U187" s="554"/>
      <c r="V187" s="598"/>
    </row>
    <row r="188" spans="2:22" ht="34.5" customHeight="1">
      <c r="B188" s="413">
        <f>1+B182</f>
        <v>81</v>
      </c>
      <c r="C188" s="414" t="str">
        <f>'Rango en indicadores'!E88</f>
        <v>Citaciones a audiencia emitidas</v>
      </c>
      <c r="D188" s="415" t="str">
        <f>'Rango en indicadores'!D88</f>
        <v>15-RI-01</v>
      </c>
      <c r="E188" s="448">
        <f>'15 Ctr Disc Interno POA 2020'!AQ13</f>
        <v>4</v>
      </c>
      <c r="F188" s="448">
        <f>'15 Ctr Disc Interno POA 2020'!AG13</f>
        <v>0</v>
      </c>
      <c r="G188" s="448">
        <f>+'15 Ctr Disc Interno POA 2020'!Q13+'15 Ctr Disc Interno POA 2020'!Y13+'15 Ctr Disc Interno POA 2020'!AG13</f>
        <v>0</v>
      </c>
      <c r="H188" s="448">
        <f>'15 Ctr Disc Interno POA 2020'!AH13</f>
        <v>0</v>
      </c>
      <c r="I188" s="448">
        <f>+'15 Ctr Disc Interno POA 2020'!R13+'15 Ctr Disc Interno POA 2020'!Z13+'15 Ctr Disc Interno POA 2020'!AH13</f>
        <v>0</v>
      </c>
      <c r="J188" s="448">
        <f>'15 Ctr Disc Interno POA 2020'!AR13</f>
        <v>0</v>
      </c>
      <c r="K188" s="436" t="str">
        <f>IF(AND(F188&gt;0),H188/F188,"No programado")</f>
        <v>No programado</v>
      </c>
      <c r="L188" s="436" t="str">
        <f>IF(AND(G188&gt;0),I188/G188,"No programado")</f>
        <v>No programado</v>
      </c>
      <c r="M188" s="395">
        <f>'15 Ctr Disc Interno POA 2020'!AS13</f>
        <v>0</v>
      </c>
      <c r="N188" s="432" t="str">
        <f>'Rango en indicadores'!G88</f>
        <v>Mayor o igual A:</v>
      </c>
      <c r="O188" s="416">
        <f>'Rango en indicadores'!H88</f>
        <v>90</v>
      </c>
      <c r="P188" s="432" t="str">
        <f>'Rango en indicadores'!I88</f>
        <v>Desde (&gt;):</v>
      </c>
      <c r="Q188" s="416">
        <f>'Rango en indicadores'!J88</f>
        <v>69</v>
      </c>
      <c r="R188" s="432" t="str">
        <f>'Rango en indicadores'!K88</f>
        <v>Hasta (&lt;):</v>
      </c>
      <c r="S188" s="416">
        <f>'Rango en indicadores'!L88</f>
        <v>90</v>
      </c>
      <c r="T188" s="432" t="str">
        <f>'Rango en indicadores'!M88</f>
        <v>Menor o Igual A:</v>
      </c>
      <c r="U188" s="416">
        <f>'Rango en indicadores'!N88</f>
        <v>69</v>
      </c>
      <c r="V188" s="418" t="s">
        <v>797</v>
      </c>
    </row>
    <row r="189" spans="2:22" ht="33.75" customHeight="1">
      <c r="B189" s="413">
        <f>B188+1</f>
        <v>82</v>
      </c>
      <c r="C189" s="414" t="str">
        <f>'Rango en indicadores'!E89</f>
        <v>Citaciones a audiencia emitidas que terminan con fallo</v>
      </c>
      <c r="D189" s="415" t="str">
        <f>'Rango en indicadores'!D89</f>
        <v>15-RI-02</v>
      </c>
      <c r="E189" s="448">
        <f>'15 Ctr Disc Interno POA 2020'!AQ14</f>
        <v>2</v>
      </c>
      <c r="F189" s="448">
        <f>'15 Ctr Disc Interno POA 2020'!AG14</f>
        <v>0</v>
      </c>
      <c r="G189" s="448">
        <f>+'15 Ctr Disc Interno POA 2020'!Q14+'15 Ctr Disc Interno POA 2020'!Y14+'15 Ctr Disc Interno POA 2020'!AG14</f>
        <v>0</v>
      </c>
      <c r="H189" s="448">
        <f>'15 Ctr Disc Interno POA 2020'!AH14</f>
        <v>0</v>
      </c>
      <c r="I189" s="448">
        <f>+'15 Ctr Disc Interno POA 2020'!R14+'15 Ctr Disc Interno POA 2020'!Z14+'15 Ctr Disc Interno POA 2020'!AH14</f>
        <v>0</v>
      </c>
      <c r="J189" s="448">
        <f>'15 Ctr Disc Interno POA 2020'!AR14</f>
        <v>0</v>
      </c>
      <c r="K189" s="436" t="str">
        <f>IF(AND(F189&gt;0),H189/F189,"No programado")</f>
        <v>No programado</v>
      </c>
      <c r="L189" s="436" t="str">
        <f t="shared" ref="L189:L191" si="22">IF(AND(G189&gt;0),I189/G189,"No programado")</f>
        <v>No programado</v>
      </c>
      <c r="M189" s="395">
        <f>'15 Ctr Disc Interno POA 2020'!AS14</f>
        <v>0</v>
      </c>
      <c r="N189" s="432" t="str">
        <f>'Rango en indicadores'!G89</f>
        <v>Mayor o igual A:</v>
      </c>
      <c r="O189" s="416">
        <f>'Rango en indicadores'!H89</f>
        <v>90</v>
      </c>
      <c r="P189" s="432" t="str">
        <f>'Rango en indicadores'!I89</f>
        <v>Desde (&gt;):</v>
      </c>
      <c r="Q189" s="416">
        <f>'Rango en indicadores'!J89</f>
        <v>69</v>
      </c>
      <c r="R189" s="432" t="str">
        <f>'Rango en indicadores'!K89</f>
        <v>Hasta (&lt;):</v>
      </c>
      <c r="S189" s="416">
        <f>'Rango en indicadores'!L89</f>
        <v>90</v>
      </c>
      <c r="T189" s="432" t="str">
        <f>'Rango en indicadores'!M89</f>
        <v>Menor o Igual A:</v>
      </c>
      <c r="U189" s="416">
        <f>'Rango en indicadores'!N89</f>
        <v>69</v>
      </c>
      <c r="V189" s="418" t="s">
        <v>797</v>
      </c>
    </row>
    <row r="190" spans="2:22" ht="37.5" customHeight="1">
      <c r="B190" s="413">
        <f t="shared" ref="B190:B191" si="23">B189+1</f>
        <v>83</v>
      </c>
      <c r="C190" s="414" t="str">
        <f>'Rango en indicadores'!E90</f>
        <v>Fallos proferidos</v>
      </c>
      <c r="D190" s="415" t="str">
        <f>'Rango en indicadores'!D90</f>
        <v>15-RI-03</v>
      </c>
      <c r="E190" s="448">
        <f>'15 Ctr Disc Interno POA 2020'!AQ15</f>
        <v>4</v>
      </c>
      <c r="F190" s="448">
        <f>'15 Ctr Disc Interno POA 2020'!AG15</f>
        <v>0</v>
      </c>
      <c r="G190" s="448">
        <f>+'15 Ctr Disc Interno POA 2020'!Q15+'15 Ctr Disc Interno POA 2020'!Y15+'15 Ctr Disc Interno POA 2020'!AG15</f>
        <v>0</v>
      </c>
      <c r="H190" s="448">
        <f>'15 Ctr Disc Interno POA 2020'!AH15</f>
        <v>0</v>
      </c>
      <c r="I190" s="448">
        <f>+'15 Ctr Disc Interno POA 2020'!R15+'15 Ctr Disc Interno POA 2020'!Z15+'15 Ctr Disc Interno POA 2020'!AH15</f>
        <v>0</v>
      </c>
      <c r="J190" s="448">
        <f>'15 Ctr Disc Interno POA 2020'!AR15</f>
        <v>0</v>
      </c>
      <c r="K190" s="436" t="str">
        <f>IF(AND(F190&gt;0),H190/F190,"No programado")</f>
        <v>No programado</v>
      </c>
      <c r="L190" s="436" t="str">
        <f t="shared" si="22"/>
        <v>No programado</v>
      </c>
      <c r="M190" s="395">
        <f>'15 Ctr Disc Interno POA 2020'!AS15</f>
        <v>0</v>
      </c>
      <c r="N190" s="432" t="str">
        <f>'Rango en indicadores'!G90</f>
        <v>Mayor o igual A:</v>
      </c>
      <c r="O190" s="416">
        <f>'Rango en indicadores'!H90</f>
        <v>90</v>
      </c>
      <c r="P190" s="432" t="str">
        <f>'Rango en indicadores'!I90</f>
        <v>Desde (&gt;):</v>
      </c>
      <c r="Q190" s="416">
        <f>'Rango en indicadores'!J90</f>
        <v>69</v>
      </c>
      <c r="R190" s="432" t="str">
        <f>'Rango en indicadores'!K90</f>
        <v>Hasta (&lt;):</v>
      </c>
      <c r="S190" s="416">
        <f>'Rango en indicadores'!L90</f>
        <v>90</v>
      </c>
      <c r="T190" s="432" t="str">
        <f>'Rango en indicadores'!M90</f>
        <v>Menor o Igual A:</v>
      </c>
      <c r="U190" s="416">
        <f>'Rango en indicadores'!N90</f>
        <v>69</v>
      </c>
      <c r="V190" s="418" t="s">
        <v>797</v>
      </c>
    </row>
    <row r="191" spans="2:22" ht="131.25" customHeight="1">
      <c r="B191" s="413">
        <f t="shared" si="23"/>
        <v>84</v>
      </c>
      <c r="C191" s="414" t="str">
        <f>'Rango en indicadores'!E91</f>
        <v>Decisiones de fondo</v>
      </c>
      <c r="D191" s="415" t="str">
        <f>'Rango en indicadores'!D91</f>
        <v>15-RI-04</v>
      </c>
      <c r="E191" s="448">
        <f>'15 Ctr Disc Interno POA 2020'!AQ16</f>
        <v>115</v>
      </c>
      <c r="F191" s="448">
        <f>'15 Ctr Disc Interno POA 2020'!AG16</f>
        <v>0</v>
      </c>
      <c r="G191" s="448">
        <f>+'15 Ctr Disc Interno POA 2020'!Q16+'15 Ctr Disc Interno POA 2020'!Y16+'15 Ctr Disc Interno POA 2020'!AG16</f>
        <v>27</v>
      </c>
      <c r="H191" s="448">
        <f>'15 Ctr Disc Interno POA 2020'!AH16</f>
        <v>0</v>
      </c>
      <c r="I191" s="448">
        <f>+'15 Ctr Disc Interno POA 2020'!R16+'15 Ctr Disc Interno POA 2020'!Z16+'15 Ctr Disc Interno POA 2020'!AH16</f>
        <v>27</v>
      </c>
      <c r="J191" s="448">
        <f>'15 Ctr Disc Interno POA 2020'!AR16</f>
        <v>27</v>
      </c>
      <c r="K191" s="436" t="str">
        <f>IF(AND(F191&gt;0),H191/F191,"No programado")</f>
        <v>No programado</v>
      </c>
      <c r="L191" s="436">
        <f t="shared" si="22"/>
        <v>1</v>
      </c>
      <c r="M191" s="395">
        <f>'15 Ctr Disc Interno POA 2020'!AS16</f>
        <v>0.23478260869565218</v>
      </c>
      <c r="N191" s="432" t="str">
        <f>'Rango en indicadores'!G91</f>
        <v>Mayor o igual A:</v>
      </c>
      <c r="O191" s="416">
        <f>'Rango en indicadores'!H91</f>
        <v>90</v>
      </c>
      <c r="P191" s="432" t="str">
        <f>'Rango en indicadores'!I91</f>
        <v>Desde (&gt;):</v>
      </c>
      <c r="Q191" s="416">
        <f>'Rango en indicadores'!J91</f>
        <v>69</v>
      </c>
      <c r="R191" s="432" t="str">
        <f>'Rango en indicadores'!K91</f>
        <v>Hasta (&lt;):</v>
      </c>
      <c r="S191" s="416">
        <f>'Rango en indicadores'!L91</f>
        <v>90</v>
      </c>
      <c r="T191" s="432" t="str">
        <f>'Rango en indicadores'!M91</f>
        <v>Menor o Igual A:</v>
      </c>
      <c r="U191" s="416">
        <f>'Rango en indicadores'!N91</f>
        <v>69</v>
      </c>
      <c r="V191" s="418" t="s">
        <v>869</v>
      </c>
    </row>
    <row r="192" spans="2:22" ht="15.75">
      <c r="C192" s="587" t="s">
        <v>615</v>
      </c>
      <c r="D192" s="588"/>
      <c r="E192" s="588"/>
      <c r="F192" s="588"/>
      <c r="G192" s="588"/>
      <c r="H192" s="588"/>
      <c r="I192" s="588"/>
      <c r="J192" s="589"/>
      <c r="K192" s="422">
        <f>IFERROR(AVERAGE(K188:K191),0)</f>
        <v>0</v>
      </c>
      <c r="L192" s="422">
        <f>IFERROR(AVERAGE(L188:L191),0)</f>
        <v>1</v>
      </c>
      <c r="M192" s="422">
        <f>IFERROR(AVERAGE(M188:M191),0)</f>
        <v>5.8695652173913045E-2</v>
      </c>
      <c r="N192" s="434"/>
      <c r="O192" s="434"/>
      <c r="P192" s="434"/>
      <c r="Q192" s="434"/>
      <c r="R192" s="434"/>
      <c r="S192" s="434"/>
      <c r="T192" s="434"/>
      <c r="U192" s="434"/>
      <c r="V192" s="424"/>
    </row>
    <row r="193" spans="2:22" s="407" customFormat="1">
      <c r="D193" s="408"/>
      <c r="V193" s="409"/>
    </row>
    <row r="194" spans="2:22" s="407" customFormat="1" ht="15.75">
      <c r="C194" s="410" t="s">
        <v>664</v>
      </c>
      <c r="D194" s="429"/>
      <c r="V194" s="409"/>
    </row>
    <row r="195" spans="2:22" ht="34.5" customHeight="1">
      <c r="C195" s="575" t="s">
        <v>605</v>
      </c>
      <c r="D195" s="574" t="s">
        <v>606</v>
      </c>
      <c r="E195" s="576" t="s">
        <v>607</v>
      </c>
      <c r="F195" s="577"/>
      <c r="G195" s="578"/>
      <c r="H195" s="574" t="s">
        <v>608</v>
      </c>
      <c r="I195" s="586" t="str">
        <f>$I$31</f>
        <v>Ejecución Acumulada Corte
30/09/2020</v>
      </c>
      <c r="J195" s="574" t="s">
        <v>609</v>
      </c>
      <c r="K195" s="574" t="s">
        <v>581</v>
      </c>
      <c r="L195" s="574"/>
      <c r="M195" s="574"/>
      <c r="N195" s="573" t="s">
        <v>679</v>
      </c>
      <c r="O195" s="573"/>
      <c r="P195" s="573"/>
      <c r="Q195" s="573"/>
      <c r="R195" s="573"/>
      <c r="S195" s="573"/>
      <c r="T195" s="573"/>
      <c r="U195" s="573"/>
      <c r="V195" s="598" t="s">
        <v>610</v>
      </c>
    </row>
    <row r="196" spans="2:22" ht="42" customHeight="1">
      <c r="C196" s="575"/>
      <c r="D196" s="574"/>
      <c r="E196" s="411" t="s">
        <v>673</v>
      </c>
      <c r="F196" s="411" t="str">
        <f>$C$5</f>
        <v>Tercer Trimestre</v>
      </c>
      <c r="G196" s="484" t="str">
        <f>$G$31</f>
        <v>Acumulada Corte
30/09/2020</v>
      </c>
      <c r="H196" s="574"/>
      <c r="I196" s="586"/>
      <c r="J196" s="574"/>
      <c r="K196" s="411" t="str">
        <f>+$C$5</f>
        <v>Tercer Trimestre</v>
      </c>
      <c r="L196" s="484" t="str">
        <f>$L$31</f>
        <v>Acumulado Corte 30/09/2020</v>
      </c>
      <c r="M196" s="411" t="s">
        <v>582</v>
      </c>
      <c r="N196" s="551" t="s">
        <v>767</v>
      </c>
      <c r="O196" s="552"/>
      <c r="P196" s="548" t="s">
        <v>674</v>
      </c>
      <c r="Q196" s="549"/>
      <c r="R196" s="549"/>
      <c r="S196" s="550"/>
      <c r="T196" s="553" t="s">
        <v>768</v>
      </c>
      <c r="U196" s="554"/>
      <c r="V196" s="598"/>
    </row>
    <row r="197" spans="2:22" ht="57" customHeight="1">
      <c r="B197" s="413">
        <f>1+B191</f>
        <v>85</v>
      </c>
      <c r="C197" s="414" t="str">
        <f>'Rango en indicadores'!E92</f>
        <v xml:space="preserve">Auditorias realizadas a los procesos de la Entidad </v>
      </c>
      <c r="D197" s="415" t="str">
        <f>'Rango en indicadores'!D92</f>
        <v>16-RI-01</v>
      </c>
      <c r="E197" s="448">
        <f>'16 Evaluacion y Segto POA 2020'!AQ13</f>
        <v>3</v>
      </c>
      <c r="F197" s="448">
        <f>'16 Evaluacion y Segto POA 2020'!AG13</f>
        <v>1</v>
      </c>
      <c r="G197" s="448">
        <f>+'16 Evaluacion y Segto POA 2020'!Q13+'16 Evaluacion y Segto POA 2020'!Y13+'16 Evaluacion y Segto POA 2020'!AG13</f>
        <v>3</v>
      </c>
      <c r="H197" s="448">
        <f>'16 Evaluacion y Segto POA 2020'!AH13</f>
        <v>1</v>
      </c>
      <c r="I197" s="448">
        <f>+'16 Evaluacion y Segto POA 2020'!R13+'16 Evaluacion y Segto POA 2020'!Z13+'16 Evaluacion y Segto POA 2020'!AH13</f>
        <v>3</v>
      </c>
      <c r="J197" s="448">
        <f>'16 Evaluacion y Segto POA 2020'!AR13</f>
        <v>3</v>
      </c>
      <c r="K197" s="432">
        <f t="shared" ref="K197:K204" si="24">IF(AND(F197&gt;0),H197/F197,"No programado")</f>
        <v>1</v>
      </c>
      <c r="L197" s="432">
        <f>IF(AND(G197&gt;0),I197/G197,"No programado")</f>
        <v>1</v>
      </c>
      <c r="M197" s="432">
        <f>'16 Evaluacion y Segto POA 2020'!AS13</f>
        <v>1</v>
      </c>
      <c r="N197" s="432" t="str">
        <f>'Rango en indicadores'!G92</f>
        <v>Mayor o igual A:</v>
      </c>
      <c r="O197" s="416">
        <f>'Rango en indicadores'!H92</f>
        <v>90</v>
      </c>
      <c r="P197" s="432" t="str">
        <f>'Rango en indicadores'!I92</f>
        <v>Desde (&gt;):</v>
      </c>
      <c r="Q197" s="416">
        <f>'Rango en indicadores'!J92</f>
        <v>69</v>
      </c>
      <c r="R197" s="432" t="str">
        <f>'Rango en indicadores'!K92</f>
        <v>Hasta (&lt;):</v>
      </c>
      <c r="S197" s="416">
        <f>'Rango en indicadores'!L92</f>
        <v>90</v>
      </c>
      <c r="T197" s="432" t="str">
        <f>'Rango en indicadores'!M92</f>
        <v>Menor o Igual A:</v>
      </c>
      <c r="U197" s="416">
        <f>'Rango en indicadores'!N92</f>
        <v>69</v>
      </c>
      <c r="V197" s="418" t="s">
        <v>778</v>
      </c>
    </row>
    <row r="198" spans="2:22" ht="57" customHeight="1">
      <c r="B198" s="413">
        <f>B197+1</f>
        <v>86</v>
      </c>
      <c r="C198" s="414" t="str">
        <f>'Rango en indicadores'!E93</f>
        <v>Auditorias Especiales realizadas</v>
      </c>
      <c r="D198" s="415" t="str">
        <f>'Rango en indicadores'!D93</f>
        <v>16-RI-02</v>
      </c>
      <c r="E198" s="448">
        <f>'16 Evaluacion y Segto POA 2020'!AQ14</f>
        <v>2</v>
      </c>
      <c r="F198" s="448">
        <f>'16 Evaluacion y Segto POA 2020'!AG14</f>
        <v>0</v>
      </c>
      <c r="G198" s="448">
        <f>+'16 Evaluacion y Segto POA 2020'!Q14+'16 Evaluacion y Segto POA 2020'!Y14+'16 Evaluacion y Segto POA 2020'!AG14</f>
        <v>2</v>
      </c>
      <c r="H198" s="448">
        <f>'16 Evaluacion y Segto POA 2020'!AH14</f>
        <v>0</v>
      </c>
      <c r="I198" s="448">
        <f>+'16 Evaluacion y Segto POA 2020'!R14+'16 Evaluacion y Segto POA 2020'!Z14+'16 Evaluacion y Segto POA 2020'!AH14</f>
        <v>2</v>
      </c>
      <c r="J198" s="448">
        <f>'16 Evaluacion y Segto POA 2020'!AR14</f>
        <v>2</v>
      </c>
      <c r="K198" s="432" t="str">
        <f t="shared" si="24"/>
        <v>No programado</v>
      </c>
      <c r="L198" s="432">
        <f t="shared" ref="L198:L204" si="25">IF(AND(G198&gt;0),I198/G198,"No programado")</f>
        <v>1</v>
      </c>
      <c r="M198" s="432">
        <f>'16 Evaluacion y Segto POA 2020'!AS14</f>
        <v>1</v>
      </c>
      <c r="N198" s="432" t="str">
        <f>'Rango en indicadores'!G93</f>
        <v>Mayor o igual A:</v>
      </c>
      <c r="O198" s="416">
        <f>'Rango en indicadores'!H93</f>
        <v>90</v>
      </c>
      <c r="P198" s="432" t="str">
        <f>'Rango en indicadores'!I93</f>
        <v>Desde (&gt;):</v>
      </c>
      <c r="Q198" s="416">
        <f>'Rango en indicadores'!J93</f>
        <v>69</v>
      </c>
      <c r="R198" s="432" t="str">
        <f>'Rango en indicadores'!K93</f>
        <v>Hasta (&lt;):</v>
      </c>
      <c r="S198" s="416">
        <f>'Rango en indicadores'!L93</f>
        <v>90</v>
      </c>
      <c r="T198" s="432" t="str">
        <f>'Rango en indicadores'!M93</f>
        <v>Menor o Igual A:</v>
      </c>
      <c r="U198" s="416">
        <f>'Rango en indicadores'!N93</f>
        <v>69</v>
      </c>
      <c r="V198" s="418" t="s">
        <v>778</v>
      </c>
    </row>
    <row r="199" spans="2:22" ht="45" customHeight="1">
      <c r="B199" s="413">
        <f t="shared" ref="B199:B204" si="26">B198+1</f>
        <v>87</v>
      </c>
      <c r="C199" s="414" t="str">
        <f>'Rango en indicadores'!E94</f>
        <v>Dependencias de la Entidad evaluadas en su gestión</v>
      </c>
      <c r="D199" s="415" t="str">
        <f>'Rango en indicadores'!D94</f>
        <v>16-RI-03</v>
      </c>
      <c r="E199" s="448">
        <f>'16 Evaluacion y Segto POA 2020'!AQ15</f>
        <v>65</v>
      </c>
      <c r="F199" s="448">
        <f>'16 Evaluacion y Segto POA 2020'!AG15</f>
        <v>0</v>
      </c>
      <c r="G199" s="448">
        <f>+'16 Evaluacion y Segto POA 2020'!Q15+'16 Evaluacion y Segto POA 2020'!Y15+'16 Evaluacion y Segto POA 2020'!AG15</f>
        <v>65</v>
      </c>
      <c r="H199" s="448">
        <f>'16 Evaluacion y Segto POA 2020'!AH15</f>
        <v>0</v>
      </c>
      <c r="I199" s="448">
        <f>+'16 Evaluacion y Segto POA 2020'!R15+'16 Evaluacion y Segto POA 2020'!Z15+'16 Evaluacion y Segto POA 2020'!AH15</f>
        <v>65</v>
      </c>
      <c r="J199" s="448">
        <f>'16 Evaluacion y Segto POA 2020'!AR15</f>
        <v>65</v>
      </c>
      <c r="K199" s="432" t="str">
        <f t="shared" si="24"/>
        <v>No programado</v>
      </c>
      <c r="L199" s="432">
        <f t="shared" si="25"/>
        <v>1</v>
      </c>
      <c r="M199" s="432">
        <f>'16 Evaluacion y Segto POA 2020'!AS15</f>
        <v>1</v>
      </c>
      <c r="N199" s="432" t="str">
        <f>'Rango en indicadores'!G94</f>
        <v>Mayor o igual A:</v>
      </c>
      <c r="O199" s="416">
        <f>'Rango en indicadores'!H94</f>
        <v>90</v>
      </c>
      <c r="P199" s="432" t="str">
        <f>'Rango en indicadores'!I94</f>
        <v>Desde (&gt;):</v>
      </c>
      <c r="Q199" s="416">
        <f>'Rango en indicadores'!J94</f>
        <v>69</v>
      </c>
      <c r="R199" s="432" t="str">
        <f>'Rango en indicadores'!K94</f>
        <v>Hasta (&lt;):</v>
      </c>
      <c r="S199" s="416">
        <f>'Rango en indicadores'!L94</f>
        <v>90</v>
      </c>
      <c r="T199" s="432" t="str">
        <f>'Rango en indicadores'!M94</f>
        <v>Menor o Igual A:</v>
      </c>
      <c r="U199" s="416">
        <f>'Rango en indicadores'!N94</f>
        <v>69</v>
      </c>
      <c r="V199" s="418" t="s">
        <v>778</v>
      </c>
    </row>
    <row r="200" spans="2:22" ht="51" customHeight="1">
      <c r="B200" s="413">
        <f t="shared" si="26"/>
        <v>88</v>
      </c>
      <c r="C200" s="414" t="str">
        <f>'Rango en indicadores'!E95</f>
        <v>Evaluaciones  realizadas sobre la efectividad del manejo de los Riesgos  Institucionales</v>
      </c>
      <c r="D200" s="415" t="str">
        <f>'Rango en indicadores'!D95</f>
        <v>16-RI-04</v>
      </c>
      <c r="E200" s="448">
        <f>'16 Evaluacion y Segto POA 2020'!AQ16</f>
        <v>3</v>
      </c>
      <c r="F200" s="448">
        <f>'16 Evaluacion y Segto POA 2020'!AG16</f>
        <v>1</v>
      </c>
      <c r="G200" s="448">
        <f>+'16 Evaluacion y Segto POA 2020'!Q16+'16 Evaluacion y Segto POA 2020'!Y16+'16 Evaluacion y Segto POA 2020'!AG16</f>
        <v>3</v>
      </c>
      <c r="H200" s="448">
        <f>'16 Evaluacion y Segto POA 2020'!AH16</f>
        <v>1</v>
      </c>
      <c r="I200" s="448">
        <f>+'16 Evaluacion y Segto POA 2020'!R16+'16 Evaluacion y Segto POA 2020'!Z16+'16 Evaluacion y Segto POA 2020'!AH16</f>
        <v>3</v>
      </c>
      <c r="J200" s="448">
        <f>'16 Evaluacion y Segto POA 2020'!AR16</f>
        <v>3</v>
      </c>
      <c r="K200" s="432">
        <f t="shared" si="24"/>
        <v>1</v>
      </c>
      <c r="L200" s="432">
        <f t="shared" si="25"/>
        <v>1</v>
      </c>
      <c r="M200" s="432">
        <f>'16 Evaluacion y Segto POA 2020'!AS16</f>
        <v>1</v>
      </c>
      <c r="N200" s="432" t="str">
        <f>'Rango en indicadores'!G95</f>
        <v>Mayor o igual A:</v>
      </c>
      <c r="O200" s="416">
        <f>'Rango en indicadores'!H95</f>
        <v>90</v>
      </c>
      <c r="P200" s="432" t="str">
        <f>'Rango en indicadores'!I95</f>
        <v>Desde (&gt;):</v>
      </c>
      <c r="Q200" s="416">
        <f>'Rango en indicadores'!J95</f>
        <v>69</v>
      </c>
      <c r="R200" s="432" t="str">
        <f>'Rango en indicadores'!K95</f>
        <v>Hasta (&lt;):</v>
      </c>
      <c r="S200" s="416">
        <f>'Rango en indicadores'!L95</f>
        <v>90</v>
      </c>
      <c r="T200" s="432" t="str">
        <f>'Rango en indicadores'!M95</f>
        <v>Menor o Igual A:</v>
      </c>
      <c r="U200" s="416">
        <f>'Rango en indicadores'!N95</f>
        <v>69</v>
      </c>
      <c r="V200" s="418" t="s">
        <v>778</v>
      </c>
    </row>
    <row r="201" spans="2:22" ht="57" customHeight="1">
      <c r="B201" s="413">
        <f t="shared" si="26"/>
        <v>89</v>
      </c>
      <c r="C201" s="414" t="str">
        <f>'Rango en indicadores'!E96</f>
        <v>Seguimientos semestrales  realizados  al Plan de Mejoramiento suscrito con la Contraloría de Bogotá D.C.</v>
      </c>
      <c r="D201" s="415" t="str">
        <f>'Rango en indicadores'!D96</f>
        <v>16-RI-05</v>
      </c>
      <c r="E201" s="448">
        <f>'16 Evaluacion y Segto POA 2020'!AQ17</f>
        <v>2</v>
      </c>
      <c r="F201" s="448">
        <f>'16 Evaluacion y Segto POA 2020'!AG17</f>
        <v>1</v>
      </c>
      <c r="G201" s="448">
        <f>+'16 Evaluacion y Segto POA 2020'!Q17+'16 Evaluacion y Segto POA 2020'!Y17+'16 Evaluacion y Segto POA 2020'!AG17</f>
        <v>2</v>
      </c>
      <c r="H201" s="448">
        <f>'16 Evaluacion y Segto POA 2020'!AH17</f>
        <v>1</v>
      </c>
      <c r="I201" s="448">
        <f>+'16 Evaluacion y Segto POA 2020'!R17+'16 Evaluacion y Segto POA 2020'!Z17+'16 Evaluacion y Segto POA 2020'!AH17</f>
        <v>2</v>
      </c>
      <c r="J201" s="448">
        <f>'16 Evaluacion y Segto POA 2020'!AR17</f>
        <v>2</v>
      </c>
      <c r="K201" s="432">
        <f t="shared" si="24"/>
        <v>1</v>
      </c>
      <c r="L201" s="432">
        <f t="shared" si="25"/>
        <v>1</v>
      </c>
      <c r="M201" s="432">
        <f>'16 Evaluacion y Segto POA 2020'!AS17</f>
        <v>1</v>
      </c>
      <c r="N201" s="432" t="str">
        <f>'Rango en indicadores'!G96</f>
        <v>Mayor o igual A:</v>
      </c>
      <c r="O201" s="416">
        <f>'Rango en indicadores'!H96</f>
        <v>90</v>
      </c>
      <c r="P201" s="432" t="str">
        <f>'Rango en indicadores'!I96</f>
        <v>Desde (&gt;):</v>
      </c>
      <c r="Q201" s="416">
        <f>'Rango en indicadores'!J96</f>
        <v>69</v>
      </c>
      <c r="R201" s="432" t="str">
        <f>'Rango en indicadores'!K96</f>
        <v>Hasta (&lt;):</v>
      </c>
      <c r="S201" s="416">
        <f>'Rango en indicadores'!L96</f>
        <v>90</v>
      </c>
      <c r="T201" s="432" t="str">
        <f>'Rango en indicadores'!M96</f>
        <v>Menor o Igual A:</v>
      </c>
      <c r="U201" s="416">
        <f>'Rango en indicadores'!N96</f>
        <v>69</v>
      </c>
      <c r="V201" s="418" t="s">
        <v>778</v>
      </c>
    </row>
    <row r="202" spans="2:22" ht="56.25" customHeight="1">
      <c r="B202" s="413">
        <f t="shared" si="26"/>
        <v>90</v>
      </c>
      <c r="C202" s="414" t="str">
        <f>'Rango en indicadores'!E97</f>
        <v xml:space="preserve">Informes presentados a entes externos y los requeridos por Ley </v>
      </c>
      <c r="D202" s="415" t="str">
        <f>'Rango en indicadores'!D97</f>
        <v>16-RI-06</v>
      </c>
      <c r="E202" s="448">
        <f>'16 Evaluacion y Segto POA 2020'!AQ18</f>
        <v>10</v>
      </c>
      <c r="F202" s="448">
        <f>'16 Evaluacion y Segto POA 2020'!AG18</f>
        <v>3</v>
      </c>
      <c r="G202" s="448">
        <f>+'16 Evaluacion y Segto POA 2020'!Q18+'16 Evaluacion y Segto POA 2020'!Y18+'16 Evaluacion y Segto POA 2020'!AG18</f>
        <v>10</v>
      </c>
      <c r="H202" s="448">
        <f>'16 Evaluacion y Segto POA 2020'!AH18</f>
        <v>3</v>
      </c>
      <c r="I202" s="448">
        <f>+'16 Evaluacion y Segto POA 2020'!R18+'16 Evaluacion y Segto POA 2020'!Z18+'16 Evaluacion y Segto POA 2020'!AH18</f>
        <v>10</v>
      </c>
      <c r="J202" s="448">
        <f>'16 Evaluacion y Segto POA 2020'!AR18</f>
        <v>10</v>
      </c>
      <c r="K202" s="432">
        <f t="shared" si="24"/>
        <v>1</v>
      </c>
      <c r="L202" s="432">
        <f t="shared" si="25"/>
        <v>1</v>
      </c>
      <c r="M202" s="432">
        <f>'16 Evaluacion y Segto POA 2020'!AS18</f>
        <v>1</v>
      </c>
      <c r="N202" s="432" t="str">
        <f>'Rango en indicadores'!G97</f>
        <v>Mayor o igual A:</v>
      </c>
      <c r="O202" s="416">
        <f>'Rango en indicadores'!H97</f>
        <v>90</v>
      </c>
      <c r="P202" s="432" t="str">
        <f>'Rango en indicadores'!I97</f>
        <v>Desde (&gt;):</v>
      </c>
      <c r="Q202" s="416">
        <f>'Rango en indicadores'!J97</f>
        <v>69</v>
      </c>
      <c r="R202" s="432" t="str">
        <f>'Rango en indicadores'!K97</f>
        <v>Hasta (&lt;):</v>
      </c>
      <c r="S202" s="416">
        <f>'Rango en indicadores'!L97</f>
        <v>90</v>
      </c>
      <c r="T202" s="432" t="str">
        <f>'Rango en indicadores'!M97</f>
        <v>Menor o Igual A:</v>
      </c>
      <c r="U202" s="416">
        <f>'Rango en indicadores'!N97</f>
        <v>69</v>
      </c>
      <c r="V202" s="418" t="s">
        <v>778</v>
      </c>
    </row>
    <row r="203" spans="2:22" ht="30">
      <c r="B203" s="413">
        <f t="shared" si="26"/>
        <v>91</v>
      </c>
      <c r="C203" s="414" t="str">
        <f>'Rango en indicadores'!E98</f>
        <v>Sensibilización  a Directivos y referentes de proceso sobre la séptima dimensión del MIPG</v>
      </c>
      <c r="D203" s="415" t="str">
        <f>'Rango en indicadores'!D98</f>
        <v>16-RI-07</v>
      </c>
      <c r="E203" s="448">
        <f>'16 Evaluacion y Segto POA 2020'!AQ19</f>
        <v>0</v>
      </c>
      <c r="F203" s="448">
        <f>'16 Evaluacion y Segto POA 2020'!AG19</f>
        <v>0</v>
      </c>
      <c r="G203" s="448">
        <f>+'16 Evaluacion y Segto POA 2020'!Q19+'16 Evaluacion y Segto POA 2020'!Y19+'16 Evaluacion y Segto POA 2020'!AG19</f>
        <v>0</v>
      </c>
      <c r="H203" s="448">
        <f>'16 Evaluacion y Segto POA 2020'!AH19</f>
        <v>0</v>
      </c>
      <c r="I203" s="448">
        <f>+'16 Evaluacion y Segto POA 2020'!R19+'16 Evaluacion y Segto POA 2020'!Z19+'16 Evaluacion y Segto POA 2020'!AH19</f>
        <v>0</v>
      </c>
      <c r="J203" s="448">
        <f>'16 Evaluacion y Segto POA 2020'!AR19</f>
        <v>0</v>
      </c>
      <c r="K203" s="426" t="str">
        <f t="shared" si="24"/>
        <v>No programado</v>
      </c>
      <c r="L203" s="432" t="str">
        <f t="shared" si="25"/>
        <v>No programado</v>
      </c>
      <c r="M203" s="432">
        <f>'16 Evaluacion y Segto POA 2020'!AS19</f>
        <v>0</v>
      </c>
      <c r="N203" s="432" t="str">
        <f>'Rango en indicadores'!G98</f>
        <v>Mayor o igual A:</v>
      </c>
      <c r="O203" s="416">
        <f>'Rango en indicadores'!H98</f>
        <v>90</v>
      </c>
      <c r="P203" s="432" t="str">
        <f>'Rango en indicadores'!I98</f>
        <v>Desde (&gt;):</v>
      </c>
      <c r="Q203" s="416">
        <f>'Rango en indicadores'!J98</f>
        <v>69</v>
      </c>
      <c r="R203" s="432" t="str">
        <f>'Rango en indicadores'!K98</f>
        <v>Hasta (&lt;):</v>
      </c>
      <c r="S203" s="416">
        <f>'Rango en indicadores'!L98</f>
        <v>90</v>
      </c>
      <c r="T203" s="432" t="str">
        <f>'Rango en indicadores'!M98</f>
        <v>Menor o Igual A:</v>
      </c>
      <c r="U203" s="416">
        <f>'Rango en indicadores'!N98</f>
        <v>69</v>
      </c>
      <c r="V203" s="418" t="s">
        <v>798</v>
      </c>
    </row>
    <row r="204" spans="2:22" ht="33" customHeight="1">
      <c r="B204" s="413">
        <f t="shared" si="26"/>
        <v>92</v>
      </c>
      <c r="C204" s="414" t="str">
        <f>'Rango en indicadores'!E99</f>
        <v>Estrategia de sensibilización  acerca de la cultura del control</v>
      </c>
      <c r="D204" s="415" t="str">
        <f>'Rango en indicadores'!D99</f>
        <v>16-RI-08</v>
      </c>
      <c r="E204" s="448">
        <f>'16 Evaluacion y Segto POA 2020'!AQ20</f>
        <v>1</v>
      </c>
      <c r="F204" s="448">
        <f>'16 Evaluacion y Segto POA 2020'!AG20</f>
        <v>0</v>
      </c>
      <c r="G204" s="448">
        <f>+'16 Evaluacion y Segto POA 2020'!Q20+'16 Evaluacion y Segto POA 2020'!Y20+'16 Evaluacion y Segto POA 2020'!AG20</f>
        <v>0</v>
      </c>
      <c r="H204" s="448">
        <f>'16 Evaluacion y Segto POA 2020'!AH20</f>
        <v>0</v>
      </c>
      <c r="I204" s="448">
        <f>+'16 Evaluacion y Segto POA 2020'!R20+'16 Evaluacion y Segto POA 2020'!Z20+'16 Evaluacion y Segto POA 2020'!AH20</f>
        <v>0</v>
      </c>
      <c r="J204" s="448">
        <f>'16 Evaluacion y Segto POA 2020'!AR20</f>
        <v>0</v>
      </c>
      <c r="K204" s="426" t="str">
        <f t="shared" si="24"/>
        <v>No programado</v>
      </c>
      <c r="L204" s="432" t="str">
        <f t="shared" si="25"/>
        <v>No programado</v>
      </c>
      <c r="M204" s="432">
        <f>'16 Evaluacion y Segto POA 2020'!AS20</f>
        <v>0</v>
      </c>
      <c r="N204" s="432" t="str">
        <f>'Rango en indicadores'!G99</f>
        <v>Mayor o igual A:</v>
      </c>
      <c r="O204" s="416">
        <f>'Rango en indicadores'!H99</f>
        <v>90</v>
      </c>
      <c r="P204" s="432" t="str">
        <f>'Rango en indicadores'!I99</f>
        <v>Desde (&gt;):</v>
      </c>
      <c r="Q204" s="416">
        <f>'Rango en indicadores'!J99</f>
        <v>69</v>
      </c>
      <c r="R204" s="432" t="str">
        <f>'Rango en indicadores'!K99</f>
        <v>Hasta (&lt;):</v>
      </c>
      <c r="S204" s="416">
        <f>'Rango en indicadores'!L99</f>
        <v>90</v>
      </c>
      <c r="T204" s="432" t="str">
        <f>'Rango en indicadores'!M99</f>
        <v>Menor o Igual A:</v>
      </c>
      <c r="U204" s="416">
        <f>'Rango en indicadores'!N99</f>
        <v>69</v>
      </c>
      <c r="V204" s="418" t="s">
        <v>799</v>
      </c>
    </row>
    <row r="205" spans="2:22" ht="15.75">
      <c r="C205" s="587" t="s">
        <v>615</v>
      </c>
      <c r="D205" s="588"/>
      <c r="E205" s="588"/>
      <c r="F205" s="588"/>
      <c r="G205" s="588"/>
      <c r="H205" s="588"/>
      <c r="I205" s="588"/>
      <c r="J205" s="589"/>
      <c r="K205" s="422">
        <f>IFERROR(AVERAGE(K197:K204),0)</f>
        <v>1</v>
      </c>
      <c r="L205" s="422">
        <f>IFERROR(AVERAGE(L197:L204),0)</f>
        <v>1</v>
      </c>
      <c r="M205" s="422">
        <f>IFERROR(AVERAGE(M197:M204),0)</f>
        <v>0.75</v>
      </c>
      <c r="N205" s="434"/>
      <c r="O205" s="434"/>
      <c r="P205" s="434"/>
      <c r="Q205" s="434"/>
      <c r="R205" s="434"/>
      <c r="S205" s="434"/>
      <c r="T205" s="434"/>
      <c r="U205" s="434"/>
      <c r="V205" s="424"/>
    </row>
    <row r="206" spans="2:22" s="407" customFormat="1">
      <c r="D206" s="408"/>
      <c r="V206" s="409"/>
    </row>
    <row r="207" spans="2:22">
      <c r="E207" s="379"/>
    </row>
    <row r="208" spans="2:22"/>
    <row r="209" spans="5:5">
      <c r="E209" s="379"/>
    </row>
    <row r="210" spans="5:5">
      <c r="E210" s="379"/>
    </row>
    <row r="211" spans="5:5">
      <c r="E211" s="379"/>
    </row>
    <row r="212" spans="5:5">
      <c r="E212" s="379"/>
    </row>
    <row r="213" spans="5:5">
      <c r="E213" s="379"/>
    </row>
    <row r="214" spans="5:5">
      <c r="E214" s="379"/>
    </row>
    <row r="215" spans="5:5">
      <c r="E215" s="379"/>
    </row>
    <row r="216" spans="5:5"/>
    <row r="217" spans="5:5"/>
    <row r="218" spans="5:5"/>
    <row r="219" spans="5:5"/>
    <row r="220" spans="5:5"/>
    <row r="221" spans="5:5"/>
    <row r="222" spans="5:5"/>
    <row r="223" spans="5:5"/>
    <row r="224" spans="5:5"/>
    <row r="225"/>
    <row r="226"/>
    <row r="227"/>
    <row r="228"/>
    <row r="229"/>
    <row r="230"/>
    <row r="231"/>
    <row r="232"/>
    <row r="233"/>
    <row r="234"/>
    <row r="235"/>
    <row r="236"/>
    <row r="237"/>
    <row r="238"/>
    <row r="239"/>
    <row r="240"/>
    <row r="241"/>
    <row r="242"/>
    <row r="243"/>
    <row r="244"/>
    <row r="245"/>
    <row r="246"/>
    <row r="247"/>
    <row r="248"/>
    <row r="249"/>
    <row r="250"/>
    <row r="251"/>
    <row r="252"/>
  </sheetData>
  <sheetProtection algorithmName="SHA-512" hashValue="jceKBFrC4ZKcv+wyazyPbSlg1X2eeDpO+TiaGOlF7JYjpV4sHO1Cgpfyy9MuuQYjJaXQ9EH1ryWur6faBTWjrg==" saltValue="XIDUreNN1Eis6BrSA4/KZg==" spinCount="100000" sheet="1" objects="1" scenarios="1"/>
  <mergeCells count="219">
    <mergeCell ref="H127:H128"/>
    <mergeCell ref="J127:J128"/>
    <mergeCell ref="E186:G186"/>
    <mergeCell ref="E195:G195"/>
    <mergeCell ref="C205:J205"/>
    <mergeCell ref="C192:J192"/>
    <mergeCell ref="C183:J183"/>
    <mergeCell ref="I145:I146"/>
    <mergeCell ref="E127:G127"/>
    <mergeCell ref="C142:J142"/>
    <mergeCell ref="I156:I157"/>
    <mergeCell ref="I162:I163"/>
    <mergeCell ref="I168:I169"/>
    <mergeCell ref="I176:I177"/>
    <mergeCell ref="I186:I187"/>
    <mergeCell ref="I195:I196"/>
    <mergeCell ref="E145:G145"/>
    <mergeCell ref="I127:I128"/>
    <mergeCell ref="C153:J153"/>
    <mergeCell ref="J168:J169"/>
    <mergeCell ref="C70:J70"/>
    <mergeCell ref="E73:G73"/>
    <mergeCell ref="C78:J78"/>
    <mergeCell ref="E81:G81"/>
    <mergeCell ref="C104:J104"/>
    <mergeCell ref="E107:G107"/>
    <mergeCell ref="E118:G118"/>
    <mergeCell ref="C124:J124"/>
    <mergeCell ref="I63:I64"/>
    <mergeCell ref="I73:I74"/>
    <mergeCell ref="I81:I82"/>
    <mergeCell ref="I107:I108"/>
    <mergeCell ref="I118:I119"/>
    <mergeCell ref="K195:M195"/>
    <mergeCell ref="V195:V196"/>
    <mergeCell ref="C2:M2"/>
    <mergeCell ref="C195:C196"/>
    <mergeCell ref="D195:D196"/>
    <mergeCell ref="H195:H196"/>
    <mergeCell ref="J195:J196"/>
    <mergeCell ref="K176:M176"/>
    <mergeCell ref="V176:V177"/>
    <mergeCell ref="C186:C187"/>
    <mergeCell ref="D186:D187"/>
    <mergeCell ref="H186:H187"/>
    <mergeCell ref="J186:J187"/>
    <mergeCell ref="K186:M186"/>
    <mergeCell ref="V186:V187"/>
    <mergeCell ref="C176:C177"/>
    <mergeCell ref="D176:D177"/>
    <mergeCell ref="H176:H177"/>
    <mergeCell ref="J176:J177"/>
    <mergeCell ref="K162:M162"/>
    <mergeCell ref="V162:V163"/>
    <mergeCell ref="C168:C169"/>
    <mergeCell ref="D168:D169"/>
    <mergeCell ref="H168:H169"/>
    <mergeCell ref="V168:V169"/>
    <mergeCell ref="C173:J173"/>
    <mergeCell ref="E176:G176"/>
    <mergeCell ref="C162:C163"/>
    <mergeCell ref="D162:D163"/>
    <mergeCell ref="H162:H163"/>
    <mergeCell ref="J162:J163"/>
    <mergeCell ref="K145:M145"/>
    <mergeCell ref="V145:V146"/>
    <mergeCell ref="C156:C157"/>
    <mergeCell ref="D156:D157"/>
    <mergeCell ref="H156:H157"/>
    <mergeCell ref="J156:J157"/>
    <mergeCell ref="K156:M156"/>
    <mergeCell ref="V156:V157"/>
    <mergeCell ref="C145:C146"/>
    <mergeCell ref="D145:D146"/>
    <mergeCell ref="H145:H146"/>
    <mergeCell ref="J145:J146"/>
    <mergeCell ref="N156:U156"/>
    <mergeCell ref="N157:O157"/>
    <mergeCell ref="P157:S157"/>
    <mergeCell ref="C159:J159"/>
    <mergeCell ref="C165:J165"/>
    <mergeCell ref="V127:V128"/>
    <mergeCell ref="N118:U118"/>
    <mergeCell ref="N119:O119"/>
    <mergeCell ref="P119:S119"/>
    <mergeCell ref="T119:U119"/>
    <mergeCell ref="N127:U127"/>
    <mergeCell ref="N128:O128"/>
    <mergeCell ref="P128:S128"/>
    <mergeCell ref="T128:U128"/>
    <mergeCell ref="V107:V108"/>
    <mergeCell ref="N81:U81"/>
    <mergeCell ref="N82:O82"/>
    <mergeCell ref="P82:S82"/>
    <mergeCell ref="T82:U82"/>
    <mergeCell ref="C85:C86"/>
    <mergeCell ref="C88:C90"/>
    <mergeCell ref="C115:H115"/>
    <mergeCell ref="C118:C119"/>
    <mergeCell ref="D118:D119"/>
    <mergeCell ref="H118:H119"/>
    <mergeCell ref="J118:J119"/>
    <mergeCell ref="K118:M118"/>
    <mergeCell ref="V118:V119"/>
    <mergeCell ref="V73:V74"/>
    <mergeCell ref="C81:C82"/>
    <mergeCell ref="D81:D82"/>
    <mergeCell ref="H81:H82"/>
    <mergeCell ref="J81:J82"/>
    <mergeCell ref="K81:M81"/>
    <mergeCell ref="V81:V82"/>
    <mergeCell ref="C73:C74"/>
    <mergeCell ref="D73:D74"/>
    <mergeCell ref="H73:H74"/>
    <mergeCell ref="K73:M73"/>
    <mergeCell ref="V52:V53"/>
    <mergeCell ref="C63:C64"/>
    <mergeCell ref="D63:D64"/>
    <mergeCell ref="H63:H64"/>
    <mergeCell ref="J63:J64"/>
    <mergeCell ref="K63:M63"/>
    <mergeCell ref="V63:V64"/>
    <mergeCell ref="N52:U52"/>
    <mergeCell ref="N53:O53"/>
    <mergeCell ref="P53:S53"/>
    <mergeCell ref="T53:U53"/>
    <mergeCell ref="N63:U63"/>
    <mergeCell ref="N64:O64"/>
    <mergeCell ref="P64:S64"/>
    <mergeCell ref="T64:U64"/>
    <mergeCell ref="C60:J60"/>
    <mergeCell ref="E63:G63"/>
    <mergeCell ref="V33:V34"/>
    <mergeCell ref="C44:C45"/>
    <mergeCell ref="D44:D45"/>
    <mergeCell ref="H44:H45"/>
    <mergeCell ref="J44:J45"/>
    <mergeCell ref="K44:M44"/>
    <mergeCell ref="V44:V45"/>
    <mergeCell ref="C33:C34"/>
    <mergeCell ref="D33:D34"/>
    <mergeCell ref="H33:H34"/>
    <mergeCell ref="J33:J34"/>
    <mergeCell ref="K33:M33"/>
    <mergeCell ref="N34:O34"/>
    <mergeCell ref="P34:S34"/>
    <mergeCell ref="T34:U34"/>
    <mergeCell ref="N33:U33"/>
    <mergeCell ref="N44:U44"/>
    <mergeCell ref="N45:O45"/>
    <mergeCell ref="P45:S45"/>
    <mergeCell ref="T45:U45"/>
    <mergeCell ref="E33:G33"/>
    <mergeCell ref="C4:M4"/>
    <mergeCell ref="C3:M3"/>
    <mergeCell ref="C5:M5"/>
    <mergeCell ref="C7:C8"/>
    <mergeCell ref="D7:D8"/>
    <mergeCell ref="C52:C53"/>
    <mergeCell ref="D52:D53"/>
    <mergeCell ref="H52:H53"/>
    <mergeCell ref="J52:J53"/>
    <mergeCell ref="I33:I34"/>
    <mergeCell ref="E44:G44"/>
    <mergeCell ref="I44:I45"/>
    <mergeCell ref="C41:J41"/>
    <mergeCell ref="C49:J49"/>
    <mergeCell ref="E52:G52"/>
    <mergeCell ref="I52:I53"/>
    <mergeCell ref="K52:M52"/>
    <mergeCell ref="E7:G7"/>
    <mergeCell ref="N187:O187"/>
    <mergeCell ref="P187:S187"/>
    <mergeCell ref="T187:U187"/>
    <mergeCell ref="N195:U195"/>
    <mergeCell ref="N196:O196"/>
    <mergeCell ref="P196:S196"/>
    <mergeCell ref="T196:U196"/>
    <mergeCell ref="N107:U107"/>
    <mergeCell ref="N108:O108"/>
    <mergeCell ref="P108:S108"/>
    <mergeCell ref="T108:U108"/>
    <mergeCell ref="N145:U145"/>
    <mergeCell ref="N146:O146"/>
    <mergeCell ref="P146:S146"/>
    <mergeCell ref="T146:U146"/>
    <mergeCell ref="N168:U168"/>
    <mergeCell ref="N169:O169"/>
    <mergeCell ref="P169:S169"/>
    <mergeCell ref="T169:U169"/>
    <mergeCell ref="N186:U186"/>
    <mergeCell ref="T157:U157"/>
    <mergeCell ref="N162:U162"/>
    <mergeCell ref="N163:O163"/>
    <mergeCell ref="P163:S163"/>
    <mergeCell ref="B88:B90"/>
    <mergeCell ref="B85:B86"/>
    <mergeCell ref="N176:U176"/>
    <mergeCell ref="N177:O177"/>
    <mergeCell ref="P177:S177"/>
    <mergeCell ref="T177:U177"/>
    <mergeCell ref="J73:J74"/>
    <mergeCell ref="N73:U73"/>
    <mergeCell ref="N74:O74"/>
    <mergeCell ref="P74:S74"/>
    <mergeCell ref="T74:U74"/>
    <mergeCell ref="T163:U163"/>
    <mergeCell ref="C107:C108"/>
    <mergeCell ref="D107:D108"/>
    <mergeCell ref="H107:H108"/>
    <mergeCell ref="J107:J108"/>
    <mergeCell ref="K107:M107"/>
    <mergeCell ref="C127:C128"/>
    <mergeCell ref="D127:D128"/>
    <mergeCell ref="K127:M127"/>
    <mergeCell ref="K168:M168"/>
    <mergeCell ref="E168:G168"/>
    <mergeCell ref="E162:G162"/>
    <mergeCell ref="E156:G156"/>
  </mergeCells>
  <conditionalFormatting sqref="K46:M48">
    <cfRule type="cellIs" dxfId="133" priority="135" operator="equal">
      <formula>"No programado"</formula>
    </cfRule>
    <cfRule type="cellIs" dxfId="132" priority="136" operator="between">
      <formula>0.600000000001</formula>
      <formula>0.89999999999999</formula>
    </cfRule>
    <cfRule type="cellIs" dxfId="131" priority="137" operator="lessThanOrEqual">
      <formula>0.6</formula>
    </cfRule>
    <cfRule type="cellIs" dxfId="130" priority="138" operator="greaterThanOrEqual">
      <formula>0.9</formula>
    </cfRule>
  </conditionalFormatting>
  <conditionalFormatting sqref="K54:M59">
    <cfRule type="cellIs" dxfId="129" priority="128" operator="equal">
      <formula>"No programado"</formula>
    </cfRule>
    <cfRule type="cellIs" dxfId="128" priority="129" operator="between">
      <formula>0.690000000001</formula>
      <formula>0.899999999999</formula>
    </cfRule>
    <cfRule type="cellIs" dxfId="127" priority="130" operator="lessThanOrEqual">
      <formula>0.69</formula>
    </cfRule>
    <cfRule type="cellIs" dxfId="126" priority="131" operator="greaterThanOrEqual">
      <formula>0.9</formula>
    </cfRule>
  </conditionalFormatting>
  <conditionalFormatting sqref="K75:M77">
    <cfRule type="cellIs" dxfId="125" priority="120" operator="equal">
      <formula>"No programado"</formula>
    </cfRule>
    <cfRule type="cellIs" dxfId="124" priority="121" operator="between">
      <formula>0.7000000000001</formula>
      <formula>0.8999999999999</formula>
    </cfRule>
    <cfRule type="cellIs" dxfId="123" priority="122" operator="lessThan">
      <formula>0.7</formula>
    </cfRule>
    <cfRule type="cellIs" dxfId="122" priority="123" operator="greaterThanOrEqual">
      <formula>0.9</formula>
    </cfRule>
  </conditionalFormatting>
  <conditionalFormatting sqref="K120:M123">
    <cfRule type="cellIs" dxfId="121" priority="81" operator="equal">
      <formula>"No programado"</formula>
    </cfRule>
    <cfRule type="cellIs" dxfId="120" priority="82" operator="between">
      <formula>0.690001</formula>
      <formula>0.899999999</formula>
    </cfRule>
    <cfRule type="cellIs" dxfId="119" priority="83" operator="lessThanOrEqual">
      <formula>0.69</formula>
    </cfRule>
    <cfRule type="cellIs" dxfId="118" priority="84" operator="greaterThanOrEqual">
      <formula>0.9</formula>
    </cfRule>
  </conditionalFormatting>
  <conditionalFormatting sqref="K129:M129 K139 M130 M139 L130:L141">
    <cfRule type="cellIs" dxfId="117" priority="73" operator="equal">
      <formula>"No programado"</formula>
    </cfRule>
  </conditionalFormatting>
  <conditionalFormatting sqref="K158:M158">
    <cfRule type="cellIs" dxfId="116" priority="53" operator="equal">
      <formula>"No programado"</formula>
    </cfRule>
    <cfRule type="cellIs" dxfId="115" priority="54" operator="between">
      <formula>0.950001</formula>
      <formula>0.9899999</formula>
    </cfRule>
    <cfRule type="cellIs" dxfId="114" priority="55" operator="lessThanOrEqual">
      <formula>0.95</formula>
    </cfRule>
    <cfRule type="cellIs" dxfId="113" priority="56" operator="greaterThanOrEqual">
      <formula>0.99</formula>
    </cfRule>
  </conditionalFormatting>
  <conditionalFormatting sqref="K178:M182">
    <cfRule type="cellIs" dxfId="112" priority="49" operator="equal">
      <formula>"No programado"</formula>
    </cfRule>
    <cfRule type="cellIs" dxfId="111" priority="50" operator="between">
      <formula>0.900001</formula>
      <formula>0.9999999</formula>
    </cfRule>
    <cfRule type="cellIs" dxfId="110" priority="51" operator="lessThanOrEqual">
      <formula>0.9</formula>
    </cfRule>
    <cfRule type="cellIs" dxfId="109" priority="52" operator="greaterThanOrEqual">
      <formula>100%</formula>
    </cfRule>
  </conditionalFormatting>
  <conditionalFormatting sqref="K188:M191">
    <cfRule type="cellIs" dxfId="108" priority="45" operator="equal">
      <formula>"No programado"</formula>
    </cfRule>
    <cfRule type="cellIs" dxfId="107" priority="46" operator="between">
      <formula>0.690001</formula>
      <formula>0.899999</formula>
    </cfRule>
    <cfRule type="cellIs" dxfId="106" priority="47" operator="lessThanOrEqual">
      <formula>0.69</formula>
    </cfRule>
    <cfRule type="cellIs" dxfId="105" priority="48" operator="greaterThanOrEqual">
      <formula>0.9</formula>
    </cfRule>
  </conditionalFormatting>
  <conditionalFormatting sqref="K197:M204">
    <cfRule type="cellIs" dxfId="104" priority="41" operator="equal">
      <formula>"No programado"</formula>
    </cfRule>
    <cfRule type="cellIs" dxfId="103" priority="42" operator="between">
      <formula>0.690001</formula>
      <formula>0.899999</formula>
    </cfRule>
    <cfRule type="cellIs" dxfId="102" priority="43" operator="lessThanOrEqual">
      <formula>0.69</formula>
    </cfRule>
    <cfRule type="cellIs" dxfId="101" priority="44" operator="greaterThanOrEqual">
      <formula>0.9</formula>
    </cfRule>
  </conditionalFormatting>
  <conditionalFormatting sqref="K164:M164">
    <cfRule type="cellIs" dxfId="100" priority="37" operator="equal">
      <formula>"No programado"</formula>
    </cfRule>
    <cfRule type="cellIs" dxfId="99" priority="38" operator="between">
      <formula>0.900001</formula>
      <formula>0.9499999</formula>
    </cfRule>
    <cfRule type="cellIs" dxfId="98" priority="39" operator="lessThanOrEqual">
      <formula>0.9</formula>
    </cfRule>
    <cfRule type="cellIs" dxfId="97" priority="40" operator="greaterThanOrEqual">
      <formula>0.95</formula>
    </cfRule>
  </conditionalFormatting>
  <conditionalFormatting sqref="K35:M35">
    <cfRule type="cellIs" dxfId="96" priority="134" operator="equal">
      <formula>"No programado"</formula>
    </cfRule>
    <cfRule type="cellIs" dxfId="95" priority="145" operator="between">
      <formula>0.980000000000001</formula>
      <formula>0.99999999999999</formula>
    </cfRule>
    <cfRule type="cellIs" dxfId="94" priority="146" operator="lessThanOrEqual">
      <formula>0.98</formula>
    </cfRule>
    <cfRule type="cellIs" dxfId="93" priority="147" operator="greaterThanOrEqual">
      <formula>1</formula>
    </cfRule>
  </conditionalFormatting>
  <conditionalFormatting sqref="K36:M36">
    <cfRule type="cellIs" dxfId="92" priority="133" operator="equal">
      <formula>"No programado"</formula>
    </cfRule>
    <cfRule type="cellIs" dxfId="91" priority="139" operator="between">
      <formula>0.7000000000001</formula>
      <formula>0.949999999999999</formula>
    </cfRule>
    <cfRule type="cellIs" dxfId="90" priority="140" operator="lessThanOrEqual">
      <formula>0.7</formula>
    </cfRule>
    <cfRule type="cellIs" dxfId="89" priority="141" operator="greaterThanOrEqual">
      <formula>0.95</formula>
    </cfRule>
  </conditionalFormatting>
  <conditionalFormatting sqref="K37:M40">
    <cfRule type="cellIs" dxfId="88" priority="132" operator="equal">
      <formula>"No programado"</formula>
    </cfRule>
    <cfRule type="cellIs" dxfId="87" priority="142" operator="between">
      <formula>0.80000000000001</formula>
      <formula>0.899999999999999</formula>
    </cfRule>
    <cfRule type="cellIs" dxfId="86" priority="143" operator="lessThanOrEqual">
      <formula>0.8</formula>
    </cfRule>
    <cfRule type="cellIs" dxfId="85" priority="144" operator="greaterThanOrEqual">
      <formula>0.9</formula>
    </cfRule>
  </conditionalFormatting>
  <conditionalFormatting sqref="K65:M69">
    <cfRule type="cellIs" dxfId="84" priority="124" operator="equal">
      <formula>"No programado"</formula>
    </cfRule>
    <cfRule type="cellIs" dxfId="83" priority="125" operator="between">
      <formula>0.690000000001</formula>
      <formula>0.899999999999</formula>
    </cfRule>
    <cfRule type="cellIs" dxfId="82" priority="126" operator="lessThanOrEqual">
      <formula>0.69</formula>
    </cfRule>
    <cfRule type="cellIs" dxfId="81" priority="127" operator="greaterThanOrEqual">
      <formula>0.9</formula>
    </cfRule>
  </conditionalFormatting>
  <conditionalFormatting sqref="K85:M90">
    <cfRule type="cellIs" dxfId="80" priority="112" operator="equal">
      <formula>"No programado"</formula>
    </cfRule>
    <cfRule type="cellIs" dxfId="79" priority="113" operator="between">
      <formula>0.8</formula>
      <formula>0.9</formula>
    </cfRule>
    <cfRule type="cellIs" dxfId="78" priority="114" operator="lessThan">
      <formula>0.8</formula>
    </cfRule>
    <cfRule type="cellIs" dxfId="77" priority="115" operator="greaterThan">
      <formula>0.9</formula>
    </cfRule>
  </conditionalFormatting>
  <conditionalFormatting sqref="K91:M91">
    <cfRule type="cellIs" dxfId="76" priority="104" operator="equal">
      <formula>"No programado"</formula>
    </cfRule>
    <cfRule type="cellIs" dxfId="75" priority="105" operator="between">
      <formula>0.7</formula>
      <formula>0.8</formula>
    </cfRule>
    <cfRule type="cellIs" dxfId="74" priority="106" operator="lessThan">
      <formula>0.7</formula>
    </cfRule>
    <cfRule type="cellIs" dxfId="73" priority="107" operator="greaterThan">
      <formula>0.8</formula>
    </cfRule>
  </conditionalFormatting>
  <conditionalFormatting sqref="K92:M92">
    <cfRule type="cellIs" dxfId="72" priority="108" operator="equal">
      <formula>"No programado"</formula>
    </cfRule>
    <cfRule type="cellIs" dxfId="71" priority="109" operator="between">
      <formula>0.8</formula>
      <formula>0.9</formula>
    </cfRule>
    <cfRule type="cellIs" dxfId="70" priority="110" operator="lessThan">
      <formula>0.8</formula>
    </cfRule>
    <cfRule type="cellIs" dxfId="69" priority="111" operator="greaterThan">
      <formula>0.9</formula>
    </cfRule>
  </conditionalFormatting>
  <conditionalFormatting sqref="K93:M94">
    <cfRule type="cellIs" dxfId="68" priority="97" operator="equal">
      <formula>"No programado"</formula>
    </cfRule>
    <cfRule type="cellIs" dxfId="67" priority="98" operator="between">
      <formula>0.9900000001</formula>
      <formula>0.9999999999</formula>
    </cfRule>
    <cfRule type="cellIs" dxfId="66" priority="99" operator="lessThanOrEqual">
      <formula>0.99</formula>
    </cfRule>
    <cfRule type="cellIs" dxfId="65" priority="100" operator="greaterThanOrEqual">
      <formula>1</formula>
    </cfRule>
  </conditionalFormatting>
  <conditionalFormatting sqref="K95:M96">
    <cfRule type="cellIs" dxfId="64" priority="93" operator="equal">
      <formula>"No programado"</formula>
    </cfRule>
    <cfRule type="cellIs" dxfId="63" priority="94" operator="between">
      <formula>0.85</formula>
      <formula>0.95</formula>
    </cfRule>
    <cfRule type="cellIs" dxfId="62" priority="95" operator="lessThan">
      <formula>0.85</formula>
    </cfRule>
    <cfRule type="cellIs" dxfId="61" priority="96" operator="greaterThan">
      <formula>0.95</formula>
    </cfRule>
  </conditionalFormatting>
  <conditionalFormatting sqref="K97:M103">
    <cfRule type="cellIs" dxfId="60" priority="89" operator="equal">
      <formula>"No programado"</formula>
    </cfRule>
    <cfRule type="cellIs" dxfId="59" priority="90" operator="between">
      <formula>0.7</formula>
      <formula>0.9</formula>
    </cfRule>
    <cfRule type="cellIs" dxfId="58" priority="91" operator="lessThan">
      <formula>0.7</formula>
    </cfRule>
    <cfRule type="cellIs" dxfId="57" priority="92" operator="greaterThan">
      <formula>0.9</formula>
    </cfRule>
  </conditionalFormatting>
  <conditionalFormatting sqref="K83:M84">
    <cfRule type="cellIs" dxfId="56" priority="13" operator="equal">
      <formula>"No Programado"</formula>
    </cfRule>
    <cfRule type="cellIs" dxfId="55" priority="14" operator="lessThan">
      <formula>0.85</formula>
    </cfRule>
    <cfRule type="cellIs" dxfId="54" priority="15" operator="between">
      <formula>0.85</formula>
      <formula>0.95</formula>
    </cfRule>
    <cfRule type="cellIs" dxfId="53" priority="16" operator="greaterThan">
      <formula>0.95</formula>
    </cfRule>
  </conditionalFormatting>
  <conditionalFormatting sqref="K109:M111">
    <cfRule type="cellIs" dxfId="52" priority="85" operator="equal">
      <formula>"No programado"</formula>
    </cfRule>
    <cfRule type="cellIs" dxfId="51" priority="86" operator="between">
      <formula>0.69</formula>
      <formula>0.9</formula>
    </cfRule>
    <cfRule type="cellIs" dxfId="50" priority="87" operator="lessThan">
      <formula>0.69</formula>
    </cfRule>
    <cfRule type="cellIs" dxfId="49" priority="88" operator="greaterThan">
      <formula>0.9</formula>
    </cfRule>
  </conditionalFormatting>
  <conditionalFormatting sqref="K112:M114">
    <cfRule type="cellIs" dxfId="48" priority="5" operator="between">
      <formula>0.7</formula>
      <formula>0.9</formula>
    </cfRule>
    <cfRule type="cellIs" dxfId="47" priority="6" operator="lessThan">
      <formula>0.7</formula>
    </cfRule>
    <cfRule type="cellIs" dxfId="46" priority="7" operator="greaterThan">
      <formula>0.9</formula>
    </cfRule>
    <cfRule type="cellIs" dxfId="45" priority="8" operator="equal">
      <formula>"No Programado"</formula>
    </cfRule>
  </conditionalFormatting>
  <conditionalFormatting sqref="K129:M129 K139:M139">
    <cfRule type="cellIs" dxfId="44" priority="74" operator="between">
      <formula>0.700001</formula>
      <formula>0.899999</formula>
    </cfRule>
    <cfRule type="cellIs" dxfId="43" priority="75" operator="lessThanOrEqual">
      <formula>0.7</formula>
    </cfRule>
    <cfRule type="cellIs" dxfId="42" priority="76" operator="greaterThanOrEqual">
      <formula>0.9</formula>
    </cfRule>
  </conditionalFormatting>
  <conditionalFormatting sqref="K130:M130">
    <cfRule type="cellIs" dxfId="41" priority="69" operator="equal">
      <formula>"No programado"</formula>
    </cfRule>
    <cfRule type="cellIs" dxfId="40" priority="70" operator="between">
      <formula>0.8</formula>
      <formula>0.9</formula>
    </cfRule>
    <cfRule type="cellIs" dxfId="39" priority="71" operator="lessThan">
      <formula>0.8</formula>
    </cfRule>
    <cfRule type="cellIs" dxfId="38" priority="72" operator="greaterThan">
      <formula>0.9</formula>
    </cfRule>
  </conditionalFormatting>
  <conditionalFormatting sqref="K140:M141 K131:M133">
    <cfRule type="cellIs" dxfId="37" priority="77" operator="equal">
      <formula>"No programado"</formula>
    </cfRule>
    <cfRule type="cellIs" dxfId="36" priority="78" operator="between">
      <formula>0.800001</formula>
      <formula>0.8999999</formula>
    </cfRule>
    <cfRule type="cellIs" dxfId="35" priority="79" operator="lessThanOrEqual">
      <formula>0.8</formula>
    </cfRule>
    <cfRule type="cellIs" dxfId="34" priority="80" operator="greaterThanOrEqual">
      <formula>0.9</formula>
    </cfRule>
  </conditionalFormatting>
  <conditionalFormatting sqref="K134:M134">
    <cfRule type="cellIs" dxfId="33" priority="65" operator="equal">
      <formula>"No programado"</formula>
    </cfRule>
    <cfRule type="cellIs" dxfId="32" priority="66" operator="between">
      <formula>0.970001</formula>
      <formula>0.999999</formula>
    </cfRule>
    <cfRule type="cellIs" dxfId="31" priority="67" operator="lessThanOrEqual">
      <formula>0.97</formula>
    </cfRule>
    <cfRule type="cellIs" dxfId="30" priority="68" operator="greaterThanOrEqual">
      <formula>1</formula>
    </cfRule>
  </conditionalFormatting>
  <conditionalFormatting sqref="K135:M138">
    <cfRule type="cellIs" dxfId="29" priority="61" operator="equal">
      <formula>"No programado"</formula>
    </cfRule>
    <cfRule type="cellIs" dxfId="28" priority="62" operator="between">
      <formula>0.690001</formula>
      <formula>0.8999999</formula>
    </cfRule>
    <cfRule type="cellIs" dxfId="27" priority="63" operator="lessThanOrEqual">
      <formula>0.69</formula>
    </cfRule>
    <cfRule type="cellIs" dxfId="26" priority="64" operator="greaterThanOrEqual">
      <formula>0.9</formula>
    </cfRule>
  </conditionalFormatting>
  <conditionalFormatting sqref="K147:M147 K148:K151 M148:M151 L148:L152">
    <cfRule type="cellIs" dxfId="25" priority="57" operator="equal">
      <formula>"No programado"</formula>
    </cfRule>
    <cfRule type="cellIs" dxfId="24" priority="58" operator="between">
      <formula>0.7000001</formula>
      <formula>0.8999999</formula>
    </cfRule>
    <cfRule type="cellIs" dxfId="23" priority="59" operator="lessThanOrEqual">
      <formula>0.7</formula>
    </cfRule>
    <cfRule type="cellIs" dxfId="22" priority="60" operator="greaterThanOrEqual">
      <formula>0.9</formula>
    </cfRule>
  </conditionalFormatting>
  <conditionalFormatting sqref="K152 M152">
    <cfRule type="cellIs" dxfId="21" priority="1" operator="between">
      <formula>0.70000000001</formula>
      <formula>0.999999999999</formula>
    </cfRule>
    <cfRule type="cellIs" dxfId="20" priority="2" operator="lessThanOrEqual">
      <formula>0.7</formula>
    </cfRule>
    <cfRule type="cellIs" dxfId="19" priority="3" operator="greaterThanOrEqual">
      <formula>1</formula>
    </cfRule>
    <cfRule type="cellIs" dxfId="18" priority="4" operator="equal">
      <formula>"No Programado"</formula>
    </cfRule>
  </conditionalFormatting>
  <conditionalFormatting sqref="K170:M170">
    <cfRule type="cellIs" dxfId="17" priority="21" operator="equal">
      <formula>"No programado"</formula>
    </cfRule>
    <cfRule type="cellIs" dxfId="16" priority="22" operator="between">
      <formula>0.950001</formula>
      <formula>0.999999</formula>
    </cfRule>
    <cfRule type="cellIs" dxfId="15" priority="23" operator="lessThanOrEqual">
      <formula>0.95</formula>
    </cfRule>
    <cfRule type="cellIs" dxfId="14" priority="24" operator="greaterThanOrEqual">
      <formula>1</formula>
    </cfRule>
  </conditionalFormatting>
  <conditionalFormatting sqref="K171:M172">
    <cfRule type="cellIs" dxfId="13" priority="29" operator="equal">
      <formula>"No programado"</formula>
    </cfRule>
    <cfRule type="cellIs" dxfId="12" priority="30" operator="between">
      <formula>0.790001</formula>
      <formula>0.89999</formula>
    </cfRule>
    <cfRule type="cellIs" dxfId="11" priority="31" operator="lessThanOrEqual">
      <formula>0.79</formula>
    </cfRule>
    <cfRule type="cellIs" dxfId="10" priority="32" operator="greaterThanOrEqual">
      <formula>0.9</formula>
    </cfRule>
  </conditionalFormatting>
  <pageMargins left="0.7" right="0.7" top="0.75" bottom="0.75" header="0.3" footer="0.3"/>
  <pageSetup paperSize="9" scale="23"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B1:AS31"/>
  <sheetViews>
    <sheetView showGridLines="0" topLeftCell="X1" zoomScale="55" zoomScaleNormal="55" workbookViewId="0">
      <selection activeCell="H16" sqref="H16"/>
    </sheetView>
  </sheetViews>
  <sheetFormatPr baseColWidth="10" defaultColWidth="17.28515625" defaultRowHeight="15" customHeight="1"/>
  <cols>
    <col min="1" max="1" width="4.28515625" style="114" customWidth="1"/>
    <col min="2" max="2" width="28.42578125" style="111" customWidth="1"/>
    <col min="3" max="3" width="34.85546875" style="111" customWidth="1"/>
    <col min="4" max="4" width="21.42578125" style="112" customWidth="1"/>
    <col min="5" max="5" width="28.7109375" style="111" customWidth="1"/>
    <col min="6" max="6" width="24.140625" style="111" customWidth="1"/>
    <col min="7" max="7" width="21.42578125" style="111" customWidth="1"/>
    <col min="8" max="8" width="28.5703125" style="111" customWidth="1"/>
    <col min="9" max="9" width="50" style="111" customWidth="1"/>
    <col min="10" max="10" width="28.5703125" style="113" customWidth="1"/>
    <col min="11" max="11" width="16.140625" style="114" customWidth="1"/>
    <col min="12" max="12" width="14.28515625" style="114" customWidth="1"/>
    <col min="13" max="13" width="15.42578125" style="114" bestFit="1" customWidth="1"/>
    <col min="14" max="14" width="14.28515625" style="114" customWidth="1"/>
    <col min="15" max="15" width="15.42578125" style="114" bestFit="1" customWidth="1"/>
    <col min="16" max="16" width="14.28515625" style="114" customWidth="1"/>
    <col min="17" max="17" width="15.42578125" style="114" bestFit="1" customWidth="1"/>
    <col min="18" max="18" width="14.28515625" style="114" customWidth="1"/>
    <col min="19" max="19" width="15.42578125" style="114" bestFit="1" customWidth="1"/>
    <col min="20" max="20" width="14.28515625" style="114" customWidth="1"/>
    <col min="21" max="21" width="15.42578125" style="114" bestFit="1" customWidth="1"/>
    <col min="22" max="22" width="14.28515625" style="114" customWidth="1"/>
    <col min="23" max="23" width="15.42578125" style="114" bestFit="1" customWidth="1"/>
    <col min="24" max="24" width="14.28515625" style="114" customWidth="1"/>
    <col min="25" max="25" width="15.42578125" style="114" bestFit="1" customWidth="1"/>
    <col min="26" max="26" width="13.140625" style="114" bestFit="1" customWidth="1"/>
    <col min="27" max="27" width="15.42578125" style="114" bestFit="1" customWidth="1"/>
    <col min="28" max="28" width="14.28515625" style="114" customWidth="1"/>
    <col min="29" max="29" width="15.42578125" style="114" bestFit="1" customWidth="1"/>
    <col min="30" max="30" width="14.28515625" style="114" customWidth="1"/>
    <col min="31" max="31" width="15.42578125" style="114" bestFit="1" customWidth="1"/>
    <col min="32" max="32" width="14.28515625" style="114" customWidth="1"/>
    <col min="33" max="33" width="15.42578125" style="114" bestFit="1" customWidth="1"/>
    <col min="34" max="34" width="14.28515625" style="114" customWidth="1"/>
    <col min="35" max="35" width="15.42578125" style="114" bestFit="1" customWidth="1"/>
    <col min="36" max="36" width="14.28515625" style="114" customWidth="1"/>
    <col min="37" max="37" width="15.42578125" style="114" bestFit="1" customWidth="1"/>
    <col min="38" max="38" width="14.28515625" style="114" customWidth="1"/>
    <col min="39" max="39" width="15.42578125" style="114" bestFit="1" customWidth="1"/>
    <col min="40" max="40" width="14.28515625" style="114" customWidth="1"/>
    <col min="41" max="41" width="15.42578125" style="114" bestFit="1" customWidth="1"/>
    <col min="42" max="42" width="14.28515625" style="114" customWidth="1"/>
    <col min="43" max="43" width="17.42578125" style="114" customWidth="1"/>
    <col min="44" max="44" width="17.28515625" style="114" customWidth="1"/>
    <col min="45" max="45" width="22" style="114" customWidth="1"/>
    <col min="46" max="16384" width="17.28515625" style="114"/>
  </cols>
  <sheetData>
    <row r="1" spans="2:45" ht="18" thickBot="1"/>
    <row r="2" spans="2:45" ht="15.75">
      <c r="B2" s="633"/>
      <c r="C2" s="636" t="s">
        <v>59</v>
      </c>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8"/>
      <c r="AR2" s="645" t="s">
        <v>39</v>
      </c>
      <c r="AS2" s="646"/>
    </row>
    <row r="3" spans="2:45" ht="15.75">
      <c r="B3" s="634"/>
      <c r="C3" s="639"/>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1"/>
      <c r="AR3" s="115" t="s">
        <v>36</v>
      </c>
      <c r="AS3" s="116" t="s">
        <v>37</v>
      </c>
    </row>
    <row r="4" spans="2:45">
      <c r="B4" s="634"/>
      <c r="C4" s="639"/>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1"/>
      <c r="AR4" s="117">
        <v>3</v>
      </c>
      <c r="AS4" s="118" t="s">
        <v>102</v>
      </c>
    </row>
    <row r="5" spans="2:45" ht="15.75">
      <c r="B5" s="634"/>
      <c r="C5" s="639"/>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1"/>
      <c r="AR5" s="647" t="s">
        <v>38</v>
      </c>
      <c r="AS5" s="648"/>
    </row>
    <row r="6" spans="2:45" ht="15.75" thickBot="1">
      <c r="B6" s="635"/>
      <c r="C6" s="642"/>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4"/>
      <c r="AR6" s="649" t="s">
        <v>100</v>
      </c>
      <c r="AS6" s="650"/>
    </row>
    <row r="7" spans="2:45" ht="17.25">
      <c r="B7" s="119"/>
      <c r="C7" s="119"/>
      <c r="D7" s="120"/>
      <c r="E7" s="119"/>
      <c r="F7" s="119"/>
      <c r="G7" s="119"/>
      <c r="H7" s="119"/>
      <c r="I7" s="119"/>
      <c r="J7" s="121"/>
      <c r="AR7" s="631"/>
      <c r="AS7" s="632"/>
    </row>
    <row r="8" spans="2:45" ht="13.5">
      <c r="B8" s="12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623"/>
      <c r="AR8" s="624"/>
      <c r="AS8" s="625"/>
    </row>
    <row r="9" spans="2:45" ht="15.75">
      <c r="B9" s="626" t="s">
        <v>35</v>
      </c>
      <c r="C9" s="626" t="s">
        <v>34</v>
      </c>
      <c r="D9" s="626" t="s">
        <v>63</v>
      </c>
      <c r="E9" s="626" t="s">
        <v>66</v>
      </c>
      <c r="F9" s="626" t="s">
        <v>67</v>
      </c>
      <c r="G9" s="626" t="s">
        <v>31</v>
      </c>
      <c r="H9" s="626" t="s">
        <v>25</v>
      </c>
      <c r="I9" s="626" t="s">
        <v>95</v>
      </c>
      <c r="J9" s="626"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9" t="s">
        <v>6</v>
      </c>
      <c r="AR9" s="630" t="s">
        <v>7</v>
      </c>
      <c r="AS9" s="630" t="s">
        <v>24</v>
      </c>
    </row>
    <row r="10" spans="2:45" ht="15.75">
      <c r="B10" s="626"/>
      <c r="C10" s="626"/>
      <c r="D10" s="626"/>
      <c r="E10" s="626"/>
      <c r="F10" s="626"/>
      <c r="G10" s="626"/>
      <c r="H10" s="626"/>
      <c r="I10" s="626"/>
      <c r="J10" s="626"/>
      <c r="K10" s="615" t="s">
        <v>26</v>
      </c>
      <c r="L10" s="615"/>
      <c r="M10" s="615"/>
      <c r="N10" s="615"/>
      <c r="O10" s="615"/>
      <c r="P10" s="615"/>
      <c r="Q10" s="615"/>
      <c r="R10" s="615"/>
      <c r="S10" s="615" t="s">
        <v>27</v>
      </c>
      <c r="T10" s="615"/>
      <c r="U10" s="615"/>
      <c r="V10" s="615"/>
      <c r="W10" s="615"/>
      <c r="X10" s="615"/>
      <c r="Y10" s="615"/>
      <c r="Z10" s="615"/>
      <c r="AA10" s="615" t="s">
        <v>28</v>
      </c>
      <c r="AB10" s="615"/>
      <c r="AC10" s="615"/>
      <c r="AD10" s="615"/>
      <c r="AE10" s="615"/>
      <c r="AF10" s="615"/>
      <c r="AG10" s="615"/>
      <c r="AH10" s="615"/>
      <c r="AI10" s="615" t="s">
        <v>29</v>
      </c>
      <c r="AJ10" s="615"/>
      <c r="AK10" s="615"/>
      <c r="AL10" s="615"/>
      <c r="AM10" s="615"/>
      <c r="AN10" s="615"/>
      <c r="AO10" s="615"/>
      <c r="AP10" s="615"/>
      <c r="AQ10" s="629"/>
      <c r="AR10" s="630"/>
      <c r="AS10" s="630"/>
    </row>
    <row r="11" spans="2:45" ht="15.75" customHeight="1">
      <c r="B11" s="626"/>
      <c r="C11" s="626"/>
      <c r="D11" s="626"/>
      <c r="E11" s="626"/>
      <c r="F11" s="626"/>
      <c r="G11" s="626"/>
      <c r="H11" s="626"/>
      <c r="I11" s="626"/>
      <c r="J11" s="626"/>
      <c r="K11" s="615" t="s">
        <v>8</v>
      </c>
      <c r="L11" s="615"/>
      <c r="M11" s="615" t="s">
        <v>9</v>
      </c>
      <c r="N11" s="615"/>
      <c r="O11" s="621" t="s">
        <v>10</v>
      </c>
      <c r="P11" s="622"/>
      <c r="Q11" s="605" t="s">
        <v>11</v>
      </c>
      <c r="R11" s="606"/>
      <c r="S11" s="615" t="s">
        <v>33</v>
      </c>
      <c r="T11" s="615"/>
      <c r="U11" s="615" t="s">
        <v>12</v>
      </c>
      <c r="V11" s="615"/>
      <c r="W11" s="615" t="s">
        <v>13</v>
      </c>
      <c r="X11" s="615"/>
      <c r="Y11" s="605" t="s">
        <v>11</v>
      </c>
      <c r="Z11" s="606"/>
      <c r="AA11" s="615" t="s">
        <v>14</v>
      </c>
      <c r="AB11" s="615"/>
      <c r="AC11" s="615" t="s">
        <v>15</v>
      </c>
      <c r="AD11" s="615"/>
      <c r="AE11" s="615" t="s">
        <v>16</v>
      </c>
      <c r="AF11" s="615"/>
      <c r="AG11" s="605" t="s">
        <v>11</v>
      </c>
      <c r="AH11" s="606"/>
      <c r="AI11" s="615" t="s">
        <v>17</v>
      </c>
      <c r="AJ11" s="615"/>
      <c r="AK11" s="615" t="s">
        <v>18</v>
      </c>
      <c r="AL11" s="615"/>
      <c r="AM11" s="615" t="s">
        <v>19</v>
      </c>
      <c r="AN11" s="615"/>
      <c r="AO11" s="605" t="s">
        <v>11</v>
      </c>
      <c r="AP11" s="606"/>
      <c r="AQ11" s="629"/>
      <c r="AR11" s="630"/>
      <c r="AS11" s="630"/>
    </row>
    <row r="12" spans="2:45" ht="21.75" customHeight="1">
      <c r="B12" s="627"/>
      <c r="C12" s="627"/>
      <c r="D12" s="627"/>
      <c r="E12" s="627"/>
      <c r="F12" s="627"/>
      <c r="G12" s="627"/>
      <c r="H12" s="627"/>
      <c r="I12" s="627"/>
      <c r="J12" s="627"/>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629"/>
      <c r="AR12" s="630"/>
      <c r="AS12" s="630"/>
    </row>
    <row r="13" spans="2:45" ht="99.75" customHeight="1">
      <c r="B13" s="607" t="s">
        <v>370</v>
      </c>
      <c r="C13" s="124" t="s">
        <v>396</v>
      </c>
      <c r="D13" s="125">
        <v>1</v>
      </c>
      <c r="E13" s="126" t="s">
        <v>371</v>
      </c>
      <c r="F13" s="126" t="s">
        <v>372</v>
      </c>
      <c r="G13" s="127">
        <v>1</v>
      </c>
      <c r="H13" s="128" t="s">
        <v>373</v>
      </c>
      <c r="I13" s="128" t="s">
        <v>380</v>
      </c>
      <c r="J13" s="129" t="s">
        <v>98</v>
      </c>
      <c r="K13" s="130">
        <v>1</v>
      </c>
      <c r="L13" s="130">
        <v>1</v>
      </c>
      <c r="M13" s="130">
        <v>0</v>
      </c>
      <c r="N13" s="130">
        <v>0</v>
      </c>
      <c r="O13" s="130">
        <v>0</v>
      </c>
      <c r="P13" s="130">
        <v>0</v>
      </c>
      <c r="Q13" s="65">
        <f>K13+M13+O13</f>
        <v>1</v>
      </c>
      <c r="R13" s="65">
        <f>L13+N13+P13</f>
        <v>1</v>
      </c>
      <c r="S13" s="130">
        <v>0</v>
      </c>
      <c r="T13" s="130">
        <v>0</v>
      </c>
      <c r="U13" s="130">
        <v>0</v>
      </c>
      <c r="V13" s="130">
        <v>0</v>
      </c>
      <c r="W13" s="130">
        <v>0</v>
      </c>
      <c r="X13" s="130">
        <v>0</v>
      </c>
      <c r="Y13" s="65">
        <f>S13+U13+W13</f>
        <v>0</v>
      </c>
      <c r="Z13" s="65">
        <f>T13+V13+X13</f>
        <v>0</v>
      </c>
      <c r="AA13" s="130">
        <v>0</v>
      </c>
      <c r="AB13" s="130">
        <v>0</v>
      </c>
      <c r="AC13" s="130">
        <v>0</v>
      </c>
      <c r="AD13" s="130">
        <v>0</v>
      </c>
      <c r="AE13" s="131">
        <v>0</v>
      </c>
      <c r="AF13" s="131">
        <v>0</v>
      </c>
      <c r="AG13" s="65">
        <f>AA13+AC13+AE13</f>
        <v>0</v>
      </c>
      <c r="AH13" s="65">
        <f>AB13+AD13+AF13</f>
        <v>0</v>
      </c>
      <c r="AI13" s="130">
        <v>0</v>
      </c>
      <c r="AJ13" s="130"/>
      <c r="AK13" s="130">
        <v>0</v>
      </c>
      <c r="AL13" s="130"/>
      <c r="AM13" s="130">
        <v>0</v>
      </c>
      <c r="AN13" s="130"/>
      <c r="AO13" s="65">
        <f>AI13+AK13+AM13</f>
        <v>0</v>
      </c>
      <c r="AP13" s="65">
        <f>AJ13+AL13+AN13</f>
        <v>0</v>
      </c>
      <c r="AQ13" s="21">
        <f>Q13+Y13+AG13+AO13</f>
        <v>1</v>
      </c>
      <c r="AR13" s="69">
        <f>R13+Z13+AH13+AP13</f>
        <v>1</v>
      </c>
      <c r="AS13" s="289">
        <f t="shared" ref="AS13:AS18" si="0">IF(AND(AR13&gt;0,AQ13&gt;0),AR13/AQ13,0)</f>
        <v>1</v>
      </c>
    </row>
    <row r="14" spans="2:45" ht="142.5">
      <c r="B14" s="608"/>
      <c r="C14" s="616" t="s">
        <v>406</v>
      </c>
      <c r="D14" s="132">
        <v>0.6</v>
      </c>
      <c r="E14" s="133" t="s">
        <v>573</v>
      </c>
      <c r="F14" s="126" t="s">
        <v>375</v>
      </c>
      <c r="G14" s="127" t="s">
        <v>199</v>
      </c>
      <c r="H14" s="128" t="s">
        <v>394</v>
      </c>
      <c r="I14" s="134" t="s">
        <v>397</v>
      </c>
      <c r="J14" s="129" t="s">
        <v>376</v>
      </c>
      <c r="K14" s="352">
        <v>0</v>
      </c>
      <c r="L14" s="352">
        <v>0</v>
      </c>
      <c r="M14" s="352">
        <v>0.02</v>
      </c>
      <c r="N14" s="352">
        <v>0.02</v>
      </c>
      <c r="O14" s="352">
        <v>0</v>
      </c>
      <c r="P14" s="352">
        <v>0</v>
      </c>
      <c r="Q14" s="289">
        <f t="shared" ref="Q14:R17" si="1">K14+M14+O14</f>
        <v>0.02</v>
      </c>
      <c r="R14" s="289">
        <f t="shared" si="1"/>
        <v>0.02</v>
      </c>
      <c r="S14" s="477">
        <v>0.04</v>
      </c>
      <c r="T14" s="477">
        <v>0.03</v>
      </c>
      <c r="U14" s="477">
        <v>0.06</v>
      </c>
      <c r="V14" s="477">
        <v>0.04</v>
      </c>
      <c r="W14" s="477">
        <v>0</v>
      </c>
      <c r="X14" s="477">
        <v>0.03</v>
      </c>
      <c r="Y14" s="289">
        <f t="shared" ref="Y14:Z17" si="2">S14+U14+W14</f>
        <v>0.1</v>
      </c>
      <c r="Z14" s="289">
        <f t="shared" si="2"/>
        <v>0.1</v>
      </c>
      <c r="AA14" s="352">
        <v>0.11</v>
      </c>
      <c r="AB14" s="352">
        <v>0.11</v>
      </c>
      <c r="AC14" s="352">
        <v>0.08</v>
      </c>
      <c r="AD14" s="352">
        <v>0.08</v>
      </c>
      <c r="AE14" s="352">
        <v>0.08</v>
      </c>
      <c r="AF14" s="352">
        <v>0.08</v>
      </c>
      <c r="AG14" s="289">
        <f t="shared" ref="AG14:AH17" si="3">AA14+AC14+AE14</f>
        <v>0.27</v>
      </c>
      <c r="AH14" s="289">
        <f t="shared" si="3"/>
        <v>0.27</v>
      </c>
      <c r="AI14" s="352">
        <v>0.11</v>
      </c>
      <c r="AJ14" s="352"/>
      <c r="AK14" s="352">
        <v>0.08</v>
      </c>
      <c r="AL14" s="352"/>
      <c r="AM14" s="352">
        <v>0.02</v>
      </c>
      <c r="AN14" s="352"/>
      <c r="AO14" s="289">
        <f t="shared" ref="AO14:AP17" si="4">AI14+AK14+AM14</f>
        <v>0.21</v>
      </c>
      <c r="AP14" s="289">
        <f t="shared" si="4"/>
        <v>0</v>
      </c>
      <c r="AQ14" s="289">
        <f t="shared" ref="AQ14:AR17" si="5">Q14+Y14+AG14+AO14</f>
        <v>0.6</v>
      </c>
      <c r="AR14" s="289">
        <f t="shared" si="5"/>
        <v>0.39</v>
      </c>
      <c r="AS14" s="289">
        <f t="shared" si="0"/>
        <v>0.65</v>
      </c>
    </row>
    <row r="15" spans="2:45" ht="142.5">
      <c r="B15" s="608"/>
      <c r="C15" s="617"/>
      <c r="D15" s="132">
        <v>1</v>
      </c>
      <c r="E15" s="133" t="s">
        <v>572</v>
      </c>
      <c r="F15" s="126" t="s">
        <v>375</v>
      </c>
      <c r="G15" s="159">
        <v>1</v>
      </c>
      <c r="H15" s="128" t="s">
        <v>395</v>
      </c>
      <c r="I15" s="134" t="s">
        <v>715</v>
      </c>
      <c r="J15" s="129" t="s">
        <v>376</v>
      </c>
      <c r="K15" s="353">
        <v>0</v>
      </c>
      <c r="L15" s="353">
        <v>0</v>
      </c>
      <c r="M15" s="353">
        <v>0.15</v>
      </c>
      <c r="N15" s="353">
        <v>0.15</v>
      </c>
      <c r="O15" s="353">
        <v>0.05</v>
      </c>
      <c r="P15" s="353">
        <v>0.05</v>
      </c>
      <c r="Q15" s="289">
        <f>K15+M15+O15</f>
        <v>0.2</v>
      </c>
      <c r="R15" s="289">
        <f>L15+N15+P15</f>
        <v>0.2</v>
      </c>
      <c r="S15" s="478">
        <v>7.0000000000000007E-2</v>
      </c>
      <c r="T15" s="478">
        <v>7.5999999999999998E-2</v>
      </c>
      <c r="U15" s="478">
        <v>0.03</v>
      </c>
      <c r="V15" s="478">
        <v>1.9E-2</v>
      </c>
      <c r="W15" s="478">
        <v>0.05</v>
      </c>
      <c r="X15" s="478">
        <v>4.2000000000000003E-2</v>
      </c>
      <c r="Y15" s="289">
        <f>S15+U15+W15</f>
        <v>0.15000000000000002</v>
      </c>
      <c r="Z15" s="289">
        <f>T15+V15+X15</f>
        <v>0.13700000000000001</v>
      </c>
      <c r="AA15" s="353">
        <v>0.1</v>
      </c>
      <c r="AB15" s="353">
        <v>0.109</v>
      </c>
      <c r="AC15" s="353">
        <v>0.1</v>
      </c>
      <c r="AD15" s="353">
        <v>9.8000000000000004E-2</v>
      </c>
      <c r="AE15" s="353">
        <v>0.1</v>
      </c>
      <c r="AF15" s="353">
        <v>9.7900000000000001E-2</v>
      </c>
      <c r="AG15" s="289">
        <f>AA15+AC15+AE15</f>
        <v>0.30000000000000004</v>
      </c>
      <c r="AH15" s="289">
        <f>AB15+AD15+AF15</f>
        <v>0.3049</v>
      </c>
      <c r="AI15" s="353">
        <v>0.15</v>
      </c>
      <c r="AJ15" s="353"/>
      <c r="AK15" s="353">
        <v>0.1</v>
      </c>
      <c r="AL15" s="353"/>
      <c r="AM15" s="353">
        <v>0.1</v>
      </c>
      <c r="AN15" s="353"/>
      <c r="AO15" s="289">
        <f>AI15+AK15+AM15</f>
        <v>0.35</v>
      </c>
      <c r="AP15" s="289">
        <f>AJ15+AL15+AN15</f>
        <v>0</v>
      </c>
      <c r="AQ15" s="289">
        <f t="shared" si="5"/>
        <v>1</v>
      </c>
      <c r="AR15" s="289">
        <f>R15+Z15+AH15+AP15</f>
        <v>0.64190000000000003</v>
      </c>
      <c r="AS15" s="289">
        <f t="shared" si="0"/>
        <v>0.64190000000000003</v>
      </c>
    </row>
    <row r="16" spans="2:45" ht="93" customHeight="1">
      <c r="B16" s="608"/>
      <c r="C16" s="317" t="s">
        <v>401</v>
      </c>
      <c r="D16" s="132">
        <v>1</v>
      </c>
      <c r="E16" s="133" t="s">
        <v>574</v>
      </c>
      <c r="F16" s="126" t="s">
        <v>375</v>
      </c>
      <c r="G16" s="159" t="s">
        <v>199</v>
      </c>
      <c r="H16" s="128" t="s">
        <v>403</v>
      </c>
      <c r="I16" s="134" t="s">
        <v>402</v>
      </c>
      <c r="J16" s="129" t="s">
        <v>374</v>
      </c>
      <c r="K16" s="353">
        <v>0.55000000000000004</v>
      </c>
      <c r="L16" s="353">
        <v>0.55000000000000004</v>
      </c>
      <c r="M16" s="353">
        <v>0</v>
      </c>
      <c r="N16" s="353">
        <v>0</v>
      </c>
      <c r="O16" s="353">
        <v>0.15</v>
      </c>
      <c r="P16" s="353">
        <v>0.15</v>
      </c>
      <c r="Q16" s="289">
        <f>K16+M16+O16</f>
        <v>0.70000000000000007</v>
      </c>
      <c r="R16" s="289">
        <f>L16+N16+P16</f>
        <v>0.70000000000000007</v>
      </c>
      <c r="S16" s="353">
        <v>0</v>
      </c>
      <c r="T16" s="353">
        <v>0</v>
      </c>
      <c r="U16" s="353">
        <v>0</v>
      </c>
      <c r="V16" s="353">
        <v>0</v>
      </c>
      <c r="W16" s="353">
        <v>0</v>
      </c>
      <c r="X16" s="353">
        <v>0</v>
      </c>
      <c r="Y16" s="289">
        <f>S16+U16+W16</f>
        <v>0</v>
      </c>
      <c r="Z16" s="289">
        <f>T16+V16+X16</f>
        <v>0</v>
      </c>
      <c r="AA16" s="353">
        <v>0.15</v>
      </c>
      <c r="AB16" s="353">
        <v>0.15</v>
      </c>
      <c r="AC16" s="353">
        <v>0</v>
      </c>
      <c r="AD16" s="353">
        <v>0</v>
      </c>
      <c r="AE16" s="353">
        <v>0</v>
      </c>
      <c r="AF16" s="353">
        <v>0</v>
      </c>
      <c r="AG16" s="289">
        <f>AA16+AC16+AE16</f>
        <v>0.15</v>
      </c>
      <c r="AH16" s="289">
        <f>AB16+AD16+AF16</f>
        <v>0.15</v>
      </c>
      <c r="AI16" s="353">
        <v>0</v>
      </c>
      <c r="AJ16" s="353"/>
      <c r="AK16" s="353">
        <v>0.15</v>
      </c>
      <c r="AL16" s="353"/>
      <c r="AM16" s="353">
        <v>0</v>
      </c>
      <c r="AN16" s="353"/>
      <c r="AO16" s="289">
        <f>AI16+AK16+AM16</f>
        <v>0.15</v>
      </c>
      <c r="AP16" s="289">
        <f>AJ16+AL16+AN16</f>
        <v>0</v>
      </c>
      <c r="AQ16" s="289">
        <f>Q16+Y16+AG16+AO16</f>
        <v>1</v>
      </c>
      <c r="AR16" s="289">
        <f>R16+Z16+AH16+AP16</f>
        <v>0.85000000000000009</v>
      </c>
      <c r="AS16" s="289">
        <f t="shared" si="0"/>
        <v>0.85000000000000009</v>
      </c>
    </row>
    <row r="17" spans="2:45" ht="120">
      <c r="B17" s="608"/>
      <c r="C17" s="618" t="s">
        <v>400</v>
      </c>
      <c r="D17" s="127">
        <v>19</v>
      </c>
      <c r="E17" s="135" t="s">
        <v>575</v>
      </c>
      <c r="F17" s="135" t="s">
        <v>377</v>
      </c>
      <c r="G17" s="127">
        <v>11</v>
      </c>
      <c r="H17" s="136" t="s">
        <v>378</v>
      </c>
      <c r="I17" s="136" t="s">
        <v>404</v>
      </c>
      <c r="J17" s="129" t="s">
        <v>98</v>
      </c>
      <c r="K17" s="130">
        <v>0</v>
      </c>
      <c r="L17" s="130">
        <v>0</v>
      </c>
      <c r="M17" s="130">
        <v>0</v>
      </c>
      <c r="N17" s="130">
        <v>0</v>
      </c>
      <c r="O17" s="130">
        <v>1</v>
      </c>
      <c r="P17" s="130">
        <v>1</v>
      </c>
      <c r="Q17" s="65">
        <f t="shared" si="1"/>
        <v>1</v>
      </c>
      <c r="R17" s="65">
        <f t="shared" si="1"/>
        <v>1</v>
      </c>
      <c r="S17" s="130">
        <v>3</v>
      </c>
      <c r="T17" s="130">
        <v>3</v>
      </c>
      <c r="U17" s="130">
        <v>7</v>
      </c>
      <c r="V17" s="130">
        <v>0</v>
      </c>
      <c r="W17" s="130">
        <v>3</v>
      </c>
      <c r="X17" s="130">
        <v>11</v>
      </c>
      <c r="Y17" s="65">
        <f t="shared" si="2"/>
        <v>13</v>
      </c>
      <c r="Z17" s="65">
        <f t="shared" si="2"/>
        <v>14</v>
      </c>
      <c r="AA17" s="130">
        <v>1</v>
      </c>
      <c r="AB17" s="130">
        <v>0</v>
      </c>
      <c r="AC17" s="130">
        <v>0</v>
      </c>
      <c r="AD17" s="130">
        <v>0</v>
      </c>
      <c r="AE17" s="131">
        <v>0</v>
      </c>
      <c r="AF17" s="130">
        <v>0</v>
      </c>
      <c r="AG17" s="65">
        <f t="shared" si="3"/>
        <v>1</v>
      </c>
      <c r="AH17" s="65">
        <f t="shared" si="3"/>
        <v>0</v>
      </c>
      <c r="AI17" s="130">
        <v>3</v>
      </c>
      <c r="AJ17" s="130"/>
      <c r="AK17" s="130">
        <v>1</v>
      </c>
      <c r="AL17" s="130"/>
      <c r="AM17" s="130">
        <v>0</v>
      </c>
      <c r="AN17" s="130"/>
      <c r="AO17" s="65">
        <f t="shared" si="4"/>
        <v>4</v>
      </c>
      <c r="AP17" s="65">
        <f t="shared" si="4"/>
        <v>0</v>
      </c>
      <c r="AQ17" s="19">
        <f t="shared" si="5"/>
        <v>19</v>
      </c>
      <c r="AR17" s="70">
        <f t="shared" si="5"/>
        <v>15</v>
      </c>
      <c r="AS17" s="289">
        <f t="shared" si="0"/>
        <v>0.78947368421052633</v>
      </c>
    </row>
    <row r="18" spans="2:45" ht="158.25" customHeight="1">
      <c r="B18" s="608"/>
      <c r="C18" s="619"/>
      <c r="D18" s="159">
        <v>1</v>
      </c>
      <c r="E18" s="135" t="s">
        <v>398</v>
      </c>
      <c r="F18" s="135" t="s">
        <v>576</v>
      </c>
      <c r="G18" s="159">
        <v>1</v>
      </c>
      <c r="H18" s="136" t="s">
        <v>399</v>
      </c>
      <c r="I18" s="136" t="s">
        <v>405</v>
      </c>
      <c r="J18" s="129" t="s">
        <v>98</v>
      </c>
      <c r="K18" s="354">
        <v>1</v>
      </c>
      <c r="L18" s="354">
        <v>1</v>
      </c>
      <c r="M18" s="354">
        <v>1</v>
      </c>
      <c r="N18" s="354">
        <v>1</v>
      </c>
      <c r="O18" s="354">
        <v>1</v>
      </c>
      <c r="P18" s="354">
        <v>1</v>
      </c>
      <c r="Q18" s="355">
        <f>(K18+M18+O18)/3</f>
        <v>1</v>
      </c>
      <c r="R18" s="287">
        <f>IFERROR(IF(OR($AQ18="",$AQ18=0),0,ROUNDDOWN(AVERAGE(L18,N18,P18),3)),0)</f>
        <v>1</v>
      </c>
      <c r="S18" s="354">
        <v>1</v>
      </c>
      <c r="T18" s="354">
        <v>1</v>
      </c>
      <c r="U18" s="354">
        <v>1</v>
      </c>
      <c r="V18" s="354">
        <v>1</v>
      </c>
      <c r="W18" s="354">
        <v>1</v>
      </c>
      <c r="X18" s="354">
        <v>1</v>
      </c>
      <c r="Y18" s="355">
        <f>(S18+U18+W18)/3</f>
        <v>1</v>
      </c>
      <c r="Z18" s="287">
        <f>IFERROR(IF(OR($AQ18="",$AQ18=0),0,ROUNDDOWN(AVERAGE(T18,V18,X18),3)),0)</f>
        <v>1</v>
      </c>
      <c r="AA18" s="354">
        <v>1</v>
      </c>
      <c r="AB18" s="354">
        <v>1</v>
      </c>
      <c r="AC18" s="354">
        <v>1</v>
      </c>
      <c r="AD18" s="354">
        <v>1</v>
      </c>
      <c r="AE18" s="354">
        <v>1</v>
      </c>
      <c r="AF18" s="354">
        <v>1</v>
      </c>
      <c r="AG18" s="355">
        <f>(AA18+AC18+AE18)/3</f>
        <v>1</v>
      </c>
      <c r="AH18" s="287">
        <f>IFERROR(IF(OR($AQ18="",$AQ18=0),0,ROUNDDOWN(AVERAGE(AB18,AD18,AF18),3)),0)</f>
        <v>1</v>
      </c>
      <c r="AI18" s="354">
        <v>1</v>
      </c>
      <c r="AJ18" s="354"/>
      <c r="AK18" s="354">
        <v>1</v>
      </c>
      <c r="AL18" s="354"/>
      <c r="AM18" s="354">
        <v>1</v>
      </c>
      <c r="AN18" s="354"/>
      <c r="AO18" s="355">
        <f>(AI18+AK18+AM18)/3</f>
        <v>1</v>
      </c>
      <c r="AP18" s="355">
        <v>0</v>
      </c>
      <c r="AQ18" s="355">
        <f>(Q18+Y18+AG18+AO18)/4</f>
        <v>1</v>
      </c>
      <c r="AR18" s="355">
        <f>IFERROR(IF(OR(AQ18="",AQ18=0),0,ROUNDDOWN(AVERAGE(L18,N18,P18,T18,V18,X18,AB18,AD18,AF18,AJ18,AL18,AN18),3)),0)</f>
        <v>1</v>
      </c>
      <c r="AS18" s="289">
        <f t="shared" si="0"/>
        <v>1</v>
      </c>
    </row>
    <row r="19" spans="2:45" ht="23.25">
      <c r="B19" s="609" t="s">
        <v>23</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1"/>
      <c r="AS19" s="285">
        <f>AVERAGE(AS13:AS18)</f>
        <v>0.82189561403508771</v>
      </c>
    </row>
    <row r="20" spans="2:45" ht="17.25">
      <c r="B20" s="137"/>
      <c r="C20" s="137"/>
      <c r="D20" s="138"/>
      <c r="E20" s="137"/>
      <c r="F20" s="137"/>
      <c r="G20" s="137"/>
      <c r="H20" s="137"/>
      <c r="I20" s="137"/>
      <c r="J20" s="139"/>
    </row>
    <row r="21" spans="2:45" ht="15.75">
      <c r="B21" s="107" t="s">
        <v>4</v>
      </c>
      <c r="C21" s="612"/>
      <c r="D21" s="613"/>
      <c r="E21" s="613"/>
      <c r="F21" s="613"/>
      <c r="G21" s="613"/>
      <c r="H21" s="613"/>
      <c r="I21" s="613"/>
      <c r="J21" s="614"/>
    </row>
    <row r="22" spans="2:45" ht="17.25">
      <c r="B22" s="137"/>
      <c r="C22" s="620"/>
      <c r="D22" s="620"/>
      <c r="E22" s="620"/>
      <c r="F22" s="620"/>
      <c r="G22" s="620"/>
      <c r="H22" s="620"/>
      <c r="I22" s="620"/>
      <c r="J22" s="620"/>
    </row>
    <row r="23" spans="2:45" ht="31.5">
      <c r="B23" s="108" t="s">
        <v>32</v>
      </c>
      <c r="C23" s="600">
        <v>43812</v>
      </c>
      <c r="D23" s="601"/>
      <c r="E23" s="137"/>
      <c r="F23" s="137"/>
      <c r="G23" s="140" t="s">
        <v>22</v>
      </c>
      <c r="H23" s="602" t="s">
        <v>379</v>
      </c>
      <c r="I23" s="603"/>
      <c r="J23" s="603"/>
    </row>
    <row r="24" spans="2:45" ht="17.25">
      <c r="B24" s="137"/>
      <c r="C24" s="137"/>
      <c r="D24" s="138"/>
      <c r="E24" s="137"/>
      <c r="F24" s="137"/>
      <c r="G24" s="137"/>
      <c r="H24" s="137"/>
      <c r="I24" s="137"/>
      <c r="J24" s="139"/>
    </row>
    <row r="25" spans="2:45" ht="17.25">
      <c r="B25" s="137"/>
      <c r="C25" s="137"/>
      <c r="D25" s="138"/>
      <c r="E25" s="137"/>
      <c r="F25" s="137"/>
      <c r="G25" s="137"/>
      <c r="H25" s="137"/>
      <c r="I25" s="137"/>
      <c r="J25" s="139"/>
    </row>
    <row r="26" spans="2:45" ht="17.25">
      <c r="B26" s="137"/>
      <c r="C26" s="137"/>
      <c r="D26" s="138"/>
      <c r="E26" s="137"/>
      <c r="F26" s="137"/>
      <c r="G26" s="137"/>
      <c r="H26" s="137"/>
      <c r="I26" s="137"/>
      <c r="J26" s="139"/>
    </row>
    <row r="27" spans="2:45" ht="17.25">
      <c r="B27" s="137"/>
      <c r="C27" s="137"/>
      <c r="D27" s="138"/>
      <c r="E27" s="604"/>
      <c r="F27" s="604"/>
      <c r="G27" s="604"/>
      <c r="H27" s="604"/>
      <c r="I27" s="141"/>
      <c r="J27" s="137"/>
    </row>
    <row r="28" spans="2:45" ht="17.25">
      <c r="B28" s="137"/>
      <c r="C28" s="137"/>
      <c r="D28" s="138"/>
      <c r="E28" s="137"/>
      <c r="F28" s="137"/>
      <c r="G28" s="139"/>
      <c r="H28" s="137"/>
      <c r="I28" s="137"/>
      <c r="J28" s="137"/>
    </row>
    <row r="29" spans="2:45" ht="17.25">
      <c r="B29" s="137"/>
      <c r="C29" s="137"/>
      <c r="D29" s="138"/>
      <c r="E29" s="604"/>
      <c r="F29" s="604"/>
      <c r="G29" s="604"/>
      <c r="H29" s="604"/>
      <c r="I29" s="141"/>
      <c r="J29" s="137"/>
    </row>
    <row r="30" spans="2:45" ht="17.25">
      <c r="B30" s="137"/>
      <c r="C30" s="137"/>
      <c r="D30" s="138"/>
      <c r="E30" s="137"/>
      <c r="F30" s="137"/>
      <c r="G30" s="139"/>
      <c r="H30" s="137"/>
      <c r="I30" s="137"/>
      <c r="J30" s="137"/>
    </row>
    <row r="31" spans="2:45" ht="17.25">
      <c r="B31" s="137"/>
      <c r="C31" s="137"/>
      <c r="D31" s="138"/>
      <c r="E31" s="604"/>
      <c r="F31" s="604"/>
      <c r="G31" s="604"/>
      <c r="H31" s="604"/>
      <c r="I31" s="141"/>
      <c r="J31" s="137"/>
    </row>
  </sheetData>
  <sheetProtection algorithmName="SHA-512" hashValue="VgxKzDF7VvUXBRyd+QvjVRzRmugwE4eMjZs0JD48ZQBvqJ55mFoopCquFqpSY9nDjGYPG9reZ+CwXfTZvjtZxQ==" saltValue="zc9gspdXwVQusarOTR1SSA==" spinCount="100000" sheet="1" objects="1" scenarios="1"/>
  <mergeCells count="5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O11:AP11"/>
    <mergeCell ref="B13:B18"/>
    <mergeCell ref="B19:AR19"/>
    <mergeCell ref="C21:J21"/>
    <mergeCell ref="AI11:AJ11"/>
    <mergeCell ref="AK11:AL11"/>
    <mergeCell ref="C14:C15"/>
    <mergeCell ref="C17:C18"/>
    <mergeCell ref="C23:D23"/>
    <mergeCell ref="H23:J23"/>
    <mergeCell ref="E27:H27"/>
    <mergeCell ref="E29:H29"/>
    <mergeCell ref="E31:H3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B1:AS28"/>
  <sheetViews>
    <sheetView showGridLines="0" zoomScale="55" zoomScaleNormal="55" workbookViewId="0">
      <selection activeCell="K14" sqref="K14"/>
    </sheetView>
  </sheetViews>
  <sheetFormatPr baseColWidth="10" defaultColWidth="17.28515625" defaultRowHeight="15" customHeight="1"/>
  <cols>
    <col min="1" max="1" width="4.28515625" style="145" customWidth="1"/>
    <col min="2" max="2" width="52.28515625" style="142" customWidth="1"/>
    <col min="3" max="3" width="34.85546875" style="142" customWidth="1"/>
    <col min="4" max="4" width="21.42578125" style="143" customWidth="1"/>
    <col min="5" max="5" width="28.7109375" style="142" customWidth="1"/>
    <col min="6" max="6" width="24" style="142" customWidth="1"/>
    <col min="7" max="7" width="21.42578125" style="142" customWidth="1"/>
    <col min="8" max="8" width="28.5703125" style="142" customWidth="1"/>
    <col min="9" max="9" width="50" style="142" customWidth="1"/>
    <col min="10" max="10" width="28.5703125" style="144" customWidth="1"/>
    <col min="11" max="24" width="14.28515625" style="145" customWidth="1"/>
    <col min="25" max="25" width="20.28515625" style="145" customWidth="1"/>
    <col min="26" max="42" width="14.28515625" style="145" customWidth="1"/>
    <col min="43" max="43" width="19.42578125" style="145" customWidth="1"/>
    <col min="44" max="44" width="18.140625" style="145" customWidth="1"/>
    <col min="45" max="45" width="17.5703125" style="145" customWidth="1"/>
    <col min="46" max="16384" width="17.28515625" style="145"/>
  </cols>
  <sheetData>
    <row r="1" spans="2:45" ht="18" thickBot="1"/>
    <row r="2" spans="2:45" ht="15.75">
      <c r="B2" s="651"/>
      <c r="C2" s="654" t="s">
        <v>59</v>
      </c>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6"/>
      <c r="AR2" s="663" t="s">
        <v>39</v>
      </c>
      <c r="AS2" s="664"/>
    </row>
    <row r="3" spans="2:45" ht="15.75">
      <c r="B3" s="652"/>
      <c r="C3" s="657"/>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9"/>
      <c r="AR3" s="146" t="s">
        <v>36</v>
      </c>
      <c r="AS3" s="147" t="s">
        <v>37</v>
      </c>
    </row>
    <row r="4" spans="2:45">
      <c r="B4" s="652"/>
      <c r="C4" s="657"/>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9"/>
      <c r="AR4" s="148">
        <v>3</v>
      </c>
      <c r="AS4" s="149" t="s">
        <v>102</v>
      </c>
    </row>
    <row r="5" spans="2:45" ht="15.75">
      <c r="B5" s="652"/>
      <c r="C5" s="657"/>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8"/>
      <c r="AL5" s="658"/>
      <c r="AM5" s="658"/>
      <c r="AN5" s="658"/>
      <c r="AO5" s="658"/>
      <c r="AP5" s="658"/>
      <c r="AQ5" s="659"/>
      <c r="AR5" s="665" t="s">
        <v>38</v>
      </c>
      <c r="AS5" s="666"/>
    </row>
    <row r="6" spans="2:45" ht="15.75" thickBot="1">
      <c r="B6" s="653"/>
      <c r="C6" s="660"/>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2"/>
      <c r="AR6" s="667" t="s">
        <v>100</v>
      </c>
      <c r="AS6" s="668"/>
    </row>
    <row r="7" spans="2:45" ht="17.25">
      <c r="B7" s="150"/>
      <c r="C7" s="150"/>
      <c r="D7" s="151"/>
      <c r="E7" s="150"/>
      <c r="F7" s="150"/>
      <c r="G7" s="150"/>
      <c r="H7" s="150"/>
      <c r="I7" s="150"/>
      <c r="J7" s="152"/>
      <c r="AR7" s="631"/>
      <c r="AS7" s="632"/>
    </row>
    <row r="8" spans="2:45" ht="13.5">
      <c r="B8" s="153"/>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669"/>
      <c r="AR8" s="670"/>
      <c r="AS8" s="671"/>
    </row>
    <row r="9" spans="2:45" ht="15.75">
      <c r="B9" s="672" t="s">
        <v>35</v>
      </c>
      <c r="C9" s="674" t="s">
        <v>34</v>
      </c>
      <c r="D9" s="674" t="s">
        <v>63</v>
      </c>
      <c r="E9" s="674" t="s">
        <v>66</v>
      </c>
      <c r="F9" s="674" t="s">
        <v>67</v>
      </c>
      <c r="G9" s="674" t="s">
        <v>31</v>
      </c>
      <c r="H9" s="674" t="s">
        <v>25</v>
      </c>
      <c r="I9" s="674" t="s">
        <v>95</v>
      </c>
      <c r="J9" s="674"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9" t="s">
        <v>6</v>
      </c>
      <c r="AR9" s="630" t="s">
        <v>7</v>
      </c>
      <c r="AS9" s="630" t="s">
        <v>24</v>
      </c>
    </row>
    <row r="10" spans="2:45" ht="15.75">
      <c r="B10" s="672"/>
      <c r="C10" s="674"/>
      <c r="D10" s="674"/>
      <c r="E10" s="674"/>
      <c r="F10" s="674"/>
      <c r="G10" s="674"/>
      <c r="H10" s="674"/>
      <c r="I10" s="674"/>
      <c r="J10" s="674"/>
      <c r="K10" s="615" t="s">
        <v>26</v>
      </c>
      <c r="L10" s="615"/>
      <c r="M10" s="615"/>
      <c r="N10" s="615"/>
      <c r="O10" s="615"/>
      <c r="P10" s="615"/>
      <c r="Q10" s="615"/>
      <c r="R10" s="615"/>
      <c r="S10" s="615" t="s">
        <v>27</v>
      </c>
      <c r="T10" s="615"/>
      <c r="U10" s="615"/>
      <c r="V10" s="615"/>
      <c r="W10" s="615"/>
      <c r="X10" s="615"/>
      <c r="Y10" s="615"/>
      <c r="Z10" s="615"/>
      <c r="AA10" s="615" t="s">
        <v>28</v>
      </c>
      <c r="AB10" s="615"/>
      <c r="AC10" s="615"/>
      <c r="AD10" s="615"/>
      <c r="AE10" s="615"/>
      <c r="AF10" s="615"/>
      <c r="AG10" s="615"/>
      <c r="AH10" s="615"/>
      <c r="AI10" s="615" t="s">
        <v>29</v>
      </c>
      <c r="AJ10" s="615"/>
      <c r="AK10" s="615"/>
      <c r="AL10" s="615"/>
      <c r="AM10" s="615"/>
      <c r="AN10" s="615"/>
      <c r="AO10" s="615"/>
      <c r="AP10" s="615"/>
      <c r="AQ10" s="629"/>
      <c r="AR10" s="630"/>
      <c r="AS10" s="630"/>
    </row>
    <row r="11" spans="2:45" ht="15.75" customHeight="1">
      <c r="B11" s="672"/>
      <c r="C11" s="674"/>
      <c r="D11" s="674"/>
      <c r="E11" s="674"/>
      <c r="F11" s="674"/>
      <c r="G11" s="674"/>
      <c r="H11" s="674"/>
      <c r="I11" s="674"/>
      <c r="J11" s="674"/>
      <c r="K11" s="615" t="s">
        <v>8</v>
      </c>
      <c r="L11" s="615"/>
      <c r="M11" s="615" t="s">
        <v>9</v>
      </c>
      <c r="N11" s="615"/>
      <c r="O11" s="621" t="s">
        <v>10</v>
      </c>
      <c r="P11" s="622"/>
      <c r="Q11" s="605" t="s">
        <v>11</v>
      </c>
      <c r="R11" s="606"/>
      <c r="S11" s="615" t="s">
        <v>33</v>
      </c>
      <c r="T11" s="615"/>
      <c r="U11" s="615" t="s">
        <v>12</v>
      </c>
      <c r="V11" s="615"/>
      <c r="W11" s="615" t="s">
        <v>13</v>
      </c>
      <c r="X11" s="615"/>
      <c r="Y11" s="605" t="s">
        <v>11</v>
      </c>
      <c r="Z11" s="606"/>
      <c r="AA11" s="615" t="s">
        <v>14</v>
      </c>
      <c r="AB11" s="615"/>
      <c r="AC11" s="615" t="s">
        <v>15</v>
      </c>
      <c r="AD11" s="615"/>
      <c r="AE11" s="615" t="s">
        <v>16</v>
      </c>
      <c r="AF11" s="615"/>
      <c r="AG11" s="605" t="s">
        <v>11</v>
      </c>
      <c r="AH11" s="606"/>
      <c r="AI11" s="615" t="s">
        <v>17</v>
      </c>
      <c r="AJ11" s="615"/>
      <c r="AK11" s="615" t="s">
        <v>18</v>
      </c>
      <c r="AL11" s="615"/>
      <c r="AM11" s="615" t="s">
        <v>19</v>
      </c>
      <c r="AN11" s="615"/>
      <c r="AO11" s="605" t="s">
        <v>11</v>
      </c>
      <c r="AP11" s="606"/>
      <c r="AQ11" s="629"/>
      <c r="AR11" s="630"/>
      <c r="AS11" s="630"/>
    </row>
    <row r="12" spans="2:45" ht="13.5">
      <c r="B12" s="673"/>
      <c r="C12" s="675"/>
      <c r="D12" s="675"/>
      <c r="E12" s="675"/>
      <c r="F12" s="675"/>
      <c r="G12" s="675"/>
      <c r="H12" s="675"/>
      <c r="I12" s="675"/>
      <c r="J12" s="675"/>
      <c r="K12" s="97" t="s">
        <v>20</v>
      </c>
      <c r="L12" s="98" t="s">
        <v>21</v>
      </c>
      <c r="M12" s="97" t="s">
        <v>20</v>
      </c>
      <c r="N12" s="98" t="s">
        <v>21</v>
      </c>
      <c r="O12" s="97" t="s">
        <v>20</v>
      </c>
      <c r="P12" s="98"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629"/>
      <c r="AR12" s="630"/>
      <c r="AS12" s="630"/>
    </row>
    <row r="13" spans="2:45" ht="114">
      <c r="B13" s="677" t="s">
        <v>381</v>
      </c>
      <c r="C13" s="160" t="s">
        <v>487</v>
      </c>
      <c r="D13" s="161">
        <v>2</v>
      </c>
      <c r="E13" s="162" t="s">
        <v>780</v>
      </c>
      <c r="F13" s="163" t="s">
        <v>781</v>
      </c>
      <c r="G13" s="127" t="s">
        <v>199</v>
      </c>
      <c r="H13" s="128" t="s">
        <v>382</v>
      </c>
      <c r="I13" s="134" t="s">
        <v>782</v>
      </c>
      <c r="J13" s="129" t="s">
        <v>543</v>
      </c>
      <c r="K13" s="166">
        <v>0</v>
      </c>
      <c r="L13" s="166">
        <v>0</v>
      </c>
      <c r="M13" s="166">
        <v>0</v>
      </c>
      <c r="N13" s="166">
        <v>0</v>
      </c>
      <c r="O13" s="166">
        <v>0</v>
      </c>
      <c r="P13" s="166">
        <v>0</v>
      </c>
      <c r="Q13" s="168">
        <f t="shared" ref="Q13:R15" si="0">K13+M13+O13</f>
        <v>0</v>
      </c>
      <c r="R13" s="168">
        <f t="shared" si="0"/>
        <v>0</v>
      </c>
      <c r="S13" s="166">
        <v>0</v>
      </c>
      <c r="T13" s="166">
        <v>0</v>
      </c>
      <c r="U13" s="166">
        <v>0</v>
      </c>
      <c r="V13" s="166">
        <v>0</v>
      </c>
      <c r="W13" s="166">
        <v>1</v>
      </c>
      <c r="X13" s="166">
        <v>1</v>
      </c>
      <c r="Y13" s="168">
        <f>S13+U13+W13</f>
        <v>1</v>
      </c>
      <c r="Z13" s="168">
        <f>T13+V13+X13</f>
        <v>1</v>
      </c>
      <c r="AA13" s="166">
        <v>0</v>
      </c>
      <c r="AB13" s="166">
        <v>0</v>
      </c>
      <c r="AC13" s="166">
        <v>0</v>
      </c>
      <c r="AD13" s="166">
        <v>0</v>
      </c>
      <c r="AE13" s="166">
        <v>0</v>
      </c>
      <c r="AF13" s="166">
        <v>0</v>
      </c>
      <c r="AG13" s="168">
        <f t="shared" ref="AG13:AH15" si="1">AA13+AC13+AE13</f>
        <v>0</v>
      </c>
      <c r="AH13" s="168">
        <f t="shared" si="1"/>
        <v>0</v>
      </c>
      <c r="AI13" s="166">
        <v>0</v>
      </c>
      <c r="AJ13" s="166"/>
      <c r="AK13" s="166">
        <v>1</v>
      </c>
      <c r="AL13" s="166"/>
      <c r="AM13" s="166">
        <v>0</v>
      </c>
      <c r="AN13" s="166"/>
      <c r="AO13" s="168">
        <f t="shared" ref="AO13:AP15" si="2">AI13+AK13+AM13</f>
        <v>1</v>
      </c>
      <c r="AP13" s="168">
        <f t="shared" si="2"/>
        <v>0</v>
      </c>
      <c r="AQ13" s="168">
        <f t="shared" ref="AQ13:AR15" si="3">+Q13+Y13+AG13+AO13</f>
        <v>2</v>
      </c>
      <c r="AR13" s="168">
        <f t="shared" si="3"/>
        <v>1</v>
      </c>
      <c r="AS13" s="284">
        <f>IF(AND(AR13&gt;0,AQ13&gt;0),AR13/AQ13,0)</f>
        <v>0.5</v>
      </c>
    </row>
    <row r="14" spans="2:45" ht="114">
      <c r="B14" s="678"/>
      <c r="C14" s="155" t="s">
        <v>488</v>
      </c>
      <c r="D14" s="161">
        <v>2</v>
      </c>
      <c r="E14" s="164" t="s">
        <v>783</v>
      </c>
      <c r="F14" s="164" t="s">
        <v>784</v>
      </c>
      <c r="G14" s="127">
        <v>1</v>
      </c>
      <c r="H14" s="165" t="s">
        <v>383</v>
      </c>
      <c r="I14" s="134" t="s">
        <v>782</v>
      </c>
      <c r="J14" s="129" t="s">
        <v>543</v>
      </c>
      <c r="K14" s="166">
        <v>0</v>
      </c>
      <c r="L14" s="166">
        <v>0</v>
      </c>
      <c r="M14" s="166">
        <v>0</v>
      </c>
      <c r="N14" s="166">
        <v>0</v>
      </c>
      <c r="O14" s="166">
        <v>0</v>
      </c>
      <c r="P14" s="166">
        <v>0</v>
      </c>
      <c r="Q14" s="168">
        <f t="shared" si="0"/>
        <v>0</v>
      </c>
      <c r="R14" s="168">
        <f t="shared" si="0"/>
        <v>0</v>
      </c>
      <c r="S14" s="166">
        <v>0</v>
      </c>
      <c r="T14" s="166">
        <v>0</v>
      </c>
      <c r="U14" s="166">
        <v>0</v>
      </c>
      <c r="V14" s="166">
        <v>0</v>
      </c>
      <c r="W14" s="166">
        <v>0</v>
      </c>
      <c r="X14" s="166">
        <v>0</v>
      </c>
      <c r="Y14" s="168">
        <f>S14+U14+W14</f>
        <v>0</v>
      </c>
      <c r="Z14" s="168">
        <v>0</v>
      </c>
      <c r="AA14" s="166">
        <v>1</v>
      </c>
      <c r="AB14" s="166">
        <v>2</v>
      </c>
      <c r="AC14" s="171">
        <v>0</v>
      </c>
      <c r="AD14" s="166">
        <v>2</v>
      </c>
      <c r="AE14" s="166">
        <v>0</v>
      </c>
      <c r="AF14" s="166">
        <v>1</v>
      </c>
      <c r="AG14" s="172">
        <f t="shared" si="1"/>
        <v>1</v>
      </c>
      <c r="AH14" s="172">
        <f t="shared" si="1"/>
        <v>5</v>
      </c>
      <c r="AI14" s="166">
        <v>0</v>
      </c>
      <c r="AJ14" s="166"/>
      <c r="AK14" s="171">
        <v>1</v>
      </c>
      <c r="AL14" s="166"/>
      <c r="AM14" s="166">
        <v>0</v>
      </c>
      <c r="AN14" s="166"/>
      <c r="AO14" s="168">
        <f t="shared" si="2"/>
        <v>1</v>
      </c>
      <c r="AP14" s="168">
        <f t="shared" si="2"/>
        <v>0</v>
      </c>
      <c r="AQ14" s="168">
        <f t="shared" si="3"/>
        <v>2</v>
      </c>
      <c r="AR14" s="168">
        <f t="shared" si="3"/>
        <v>5</v>
      </c>
      <c r="AS14" s="284">
        <f>IF(AND(AR14&gt;0,AQ14&gt;0),AR14/AQ14,0)</f>
        <v>2.5</v>
      </c>
    </row>
    <row r="15" spans="2:45" ht="256.5">
      <c r="B15" s="679"/>
      <c r="C15" s="156" t="s">
        <v>525</v>
      </c>
      <c r="D15" s="162" t="s">
        <v>384</v>
      </c>
      <c r="E15" s="157" t="s">
        <v>526</v>
      </c>
      <c r="F15" s="157" t="s">
        <v>527</v>
      </c>
      <c r="G15" s="127" t="s">
        <v>199</v>
      </c>
      <c r="H15" s="128" t="s">
        <v>528</v>
      </c>
      <c r="I15" s="134" t="s">
        <v>529</v>
      </c>
      <c r="J15" s="129" t="s">
        <v>543</v>
      </c>
      <c r="K15" s="178">
        <v>0</v>
      </c>
      <c r="L15" s="178">
        <v>0</v>
      </c>
      <c r="M15" s="178">
        <v>0</v>
      </c>
      <c r="N15" s="178">
        <v>0</v>
      </c>
      <c r="O15" s="178">
        <v>0</v>
      </c>
      <c r="P15" s="178">
        <v>0</v>
      </c>
      <c r="Q15" s="179">
        <f t="shared" si="0"/>
        <v>0</v>
      </c>
      <c r="R15" s="179">
        <f t="shared" si="0"/>
        <v>0</v>
      </c>
      <c r="S15" s="178">
        <v>0</v>
      </c>
      <c r="T15" s="351">
        <v>0</v>
      </c>
      <c r="U15" s="178">
        <v>0</v>
      </c>
      <c r="V15" s="351">
        <v>0</v>
      </c>
      <c r="W15" s="351">
        <v>0.3</v>
      </c>
      <c r="X15" s="351">
        <v>0.3</v>
      </c>
      <c r="Y15" s="287">
        <f>S15+U15+W15</f>
        <v>0.3</v>
      </c>
      <c r="Z15" s="179">
        <f>T15+V15+X15</f>
        <v>0.3</v>
      </c>
      <c r="AA15" s="351">
        <v>0</v>
      </c>
      <c r="AB15" s="514">
        <v>5.0000000000000001E-3</v>
      </c>
      <c r="AC15" s="351">
        <v>0</v>
      </c>
      <c r="AD15" s="351">
        <v>0.02</v>
      </c>
      <c r="AE15" s="356">
        <v>0.35</v>
      </c>
      <c r="AF15" s="356">
        <v>0.2</v>
      </c>
      <c r="AG15" s="179">
        <f t="shared" si="1"/>
        <v>0.35</v>
      </c>
      <c r="AH15" s="179">
        <f t="shared" si="1"/>
        <v>0.22500000000000001</v>
      </c>
      <c r="AI15" s="351">
        <v>0</v>
      </c>
      <c r="AJ15" s="351"/>
      <c r="AK15" s="351">
        <v>0.35</v>
      </c>
      <c r="AL15" s="351"/>
      <c r="AM15" s="351">
        <v>0</v>
      </c>
      <c r="AN15" s="351"/>
      <c r="AO15" s="357">
        <f t="shared" si="2"/>
        <v>0.35</v>
      </c>
      <c r="AP15" s="357">
        <f t="shared" si="2"/>
        <v>0</v>
      </c>
      <c r="AQ15" s="286">
        <f t="shared" si="3"/>
        <v>0.99999999999999989</v>
      </c>
      <c r="AR15" s="286">
        <f t="shared" si="3"/>
        <v>0.52500000000000002</v>
      </c>
      <c r="AS15" s="284">
        <f>IF(AND(AR15&gt;0,AQ15&gt;0),AR15/AQ15,0)</f>
        <v>0.52500000000000013</v>
      </c>
    </row>
    <row r="16" spans="2:45" ht="23.25">
      <c r="B16" s="609"/>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1"/>
      <c r="AS16" s="361">
        <f>AVERAGE(AS13:AS15)</f>
        <v>1.175</v>
      </c>
    </row>
    <row r="17" spans="2:10" ht="17.25">
      <c r="B17" s="6"/>
      <c r="C17" s="6"/>
      <c r="D17" s="12"/>
      <c r="E17" s="6"/>
      <c r="F17" s="6"/>
      <c r="G17" s="6"/>
      <c r="H17" s="6"/>
      <c r="I17" s="6"/>
      <c r="J17" s="7"/>
    </row>
    <row r="18" spans="2:10" ht="15.75">
      <c r="B18" s="107" t="s">
        <v>4</v>
      </c>
      <c r="C18" s="680"/>
      <c r="D18" s="681"/>
      <c r="E18" s="681"/>
      <c r="F18" s="681"/>
      <c r="G18" s="681"/>
      <c r="H18" s="681"/>
      <c r="I18" s="681"/>
      <c r="J18" s="682"/>
    </row>
    <row r="19" spans="2:10" ht="17.25">
      <c r="B19" s="6"/>
      <c r="C19" s="676"/>
      <c r="D19" s="676"/>
      <c r="E19" s="676"/>
      <c r="F19" s="676"/>
      <c r="G19" s="676"/>
      <c r="H19" s="676"/>
      <c r="I19" s="676"/>
      <c r="J19" s="676"/>
    </row>
    <row r="20" spans="2:10" ht="43.5" customHeight="1">
      <c r="B20" s="108" t="s">
        <v>32</v>
      </c>
      <c r="C20" s="683" t="s">
        <v>531</v>
      </c>
      <c r="D20" s="684"/>
      <c r="E20" s="6"/>
      <c r="F20" s="6"/>
      <c r="G20" s="109" t="s">
        <v>22</v>
      </c>
      <c r="H20" s="685" t="s">
        <v>530</v>
      </c>
      <c r="I20" s="686"/>
      <c r="J20" s="686"/>
    </row>
    <row r="21" spans="2:10" ht="17.25">
      <c r="B21" s="6"/>
      <c r="C21" s="6"/>
      <c r="D21" s="12"/>
      <c r="E21" s="6"/>
      <c r="F21" s="6"/>
      <c r="G21" s="6"/>
      <c r="H21" s="6"/>
      <c r="I21" s="6"/>
      <c r="J21" s="7"/>
    </row>
    <row r="22" spans="2:10" ht="17.25">
      <c r="B22" s="6"/>
      <c r="C22" s="6"/>
      <c r="D22" s="12"/>
      <c r="E22" s="6"/>
      <c r="F22" s="6"/>
      <c r="G22" s="6"/>
      <c r="H22" s="6"/>
      <c r="I22" s="6"/>
      <c r="J22" s="7"/>
    </row>
    <row r="23" spans="2:10" ht="17.25">
      <c r="B23" s="6"/>
      <c r="C23" s="6"/>
      <c r="D23" s="12"/>
      <c r="E23" s="6"/>
      <c r="F23" s="6"/>
      <c r="G23" s="6"/>
      <c r="H23" s="6"/>
      <c r="I23" s="6"/>
      <c r="J23" s="7"/>
    </row>
    <row r="24" spans="2:10" ht="17.25">
      <c r="B24" s="6"/>
      <c r="C24" s="6"/>
      <c r="D24" s="12"/>
      <c r="E24" s="687"/>
      <c r="F24" s="687"/>
      <c r="G24" s="687"/>
      <c r="H24" s="687"/>
      <c r="I24" s="110"/>
      <c r="J24" s="6"/>
    </row>
    <row r="25" spans="2:10" ht="17.25">
      <c r="B25" s="6"/>
      <c r="C25" s="6"/>
      <c r="D25" s="12"/>
      <c r="E25" s="6"/>
      <c r="F25" s="6"/>
      <c r="G25" s="7"/>
      <c r="H25" s="6"/>
      <c r="I25" s="6"/>
      <c r="J25" s="6"/>
    </row>
    <row r="26" spans="2:10" ht="17.25">
      <c r="B26" s="6"/>
      <c r="C26" s="6"/>
      <c r="D26" s="12"/>
      <c r="E26" s="687"/>
      <c r="F26" s="687"/>
      <c r="G26" s="687"/>
      <c r="H26" s="687"/>
      <c r="I26" s="110"/>
      <c r="J26" s="6"/>
    </row>
    <row r="27" spans="2:10" ht="17.25">
      <c r="B27" s="6"/>
      <c r="C27" s="6"/>
      <c r="D27" s="12"/>
      <c r="E27" s="6"/>
      <c r="F27" s="6"/>
      <c r="G27" s="7"/>
      <c r="H27" s="6"/>
      <c r="I27" s="6"/>
      <c r="J27" s="6"/>
    </row>
    <row r="28" spans="2:10" ht="17.25">
      <c r="B28" s="6"/>
      <c r="C28" s="6"/>
      <c r="D28" s="12"/>
      <c r="E28" s="687"/>
      <c r="F28" s="687"/>
      <c r="G28" s="687"/>
      <c r="H28" s="687"/>
      <c r="I28" s="110"/>
      <c r="J28" s="6"/>
    </row>
  </sheetData>
  <sheetProtection algorithmName="SHA-512" hashValue="efvz5JDoWCYZK9AG2olOlv1aIDHOO7F/LJao8U+kA1YbpvZFlJVaS4qeNfOH4L3nfb0r48U7EPqdQaXT7Qwpjg==" saltValue="BUHsBMiC1v+sWJRYiIZLlw==" spinCount="100000" sheet="1" objects="1" scenarios="1"/>
  <mergeCells count="49">
    <mergeCell ref="C20:D20"/>
    <mergeCell ref="H20:J20"/>
    <mergeCell ref="E24:H24"/>
    <mergeCell ref="E26:H26"/>
    <mergeCell ref="E28:H28"/>
    <mergeCell ref="AO11:AP11"/>
    <mergeCell ref="B13:B15"/>
    <mergeCell ref="B16:AR16"/>
    <mergeCell ref="C18:J18"/>
    <mergeCell ref="AI11:AJ11"/>
    <mergeCell ref="AK11:AL11"/>
    <mergeCell ref="AA10:AH10"/>
    <mergeCell ref="AI10:AP10"/>
    <mergeCell ref="K11:L11"/>
    <mergeCell ref="M11:N11"/>
    <mergeCell ref="C19:J19"/>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B1:AS31"/>
  <sheetViews>
    <sheetView showGridLines="0" zoomScale="55" zoomScaleNormal="55" workbookViewId="0">
      <selection activeCell="K13" sqref="K13"/>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4.5703125" style="13" customWidth="1"/>
    <col min="5" max="5" width="24.85546875" style="8" customWidth="1"/>
    <col min="6" max="6" width="24.285156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8.7109375" style="4" customWidth="1"/>
    <col min="44" max="44" width="21.28515625" style="4" customWidth="1"/>
    <col min="45" max="45" width="18.5703125"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70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104" t="s">
        <v>36</v>
      </c>
      <c r="AS3" s="105" t="s">
        <v>37</v>
      </c>
    </row>
    <row r="4" spans="2:45">
      <c r="B4" s="699"/>
      <c r="C4" s="70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70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12" t="s">
        <v>38</v>
      </c>
      <c r="AS5" s="71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631"/>
      <c r="AS7" s="632"/>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626" t="s">
        <v>35</v>
      </c>
      <c r="C9" s="626" t="s">
        <v>34</v>
      </c>
      <c r="D9" s="626" t="s">
        <v>63</v>
      </c>
      <c r="E9" s="626" t="s">
        <v>66</v>
      </c>
      <c r="F9" s="626" t="s">
        <v>67</v>
      </c>
      <c r="G9" s="626" t="s">
        <v>31</v>
      </c>
      <c r="H9" s="626" t="s">
        <v>25</v>
      </c>
      <c r="I9" s="626" t="s">
        <v>95</v>
      </c>
      <c r="J9" s="626"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9" t="s">
        <v>6</v>
      </c>
      <c r="AR9" s="630" t="s">
        <v>7</v>
      </c>
      <c r="AS9" s="630" t="s">
        <v>24</v>
      </c>
    </row>
    <row r="10" spans="2:45" ht="15.75">
      <c r="B10" s="626"/>
      <c r="C10" s="626"/>
      <c r="D10" s="626"/>
      <c r="E10" s="626"/>
      <c r="F10" s="626"/>
      <c r="G10" s="626"/>
      <c r="H10" s="626"/>
      <c r="I10" s="626"/>
      <c r="J10" s="626"/>
      <c r="K10" s="615" t="s">
        <v>26</v>
      </c>
      <c r="L10" s="615"/>
      <c r="M10" s="615"/>
      <c r="N10" s="615"/>
      <c r="O10" s="615"/>
      <c r="P10" s="615"/>
      <c r="Q10" s="615"/>
      <c r="R10" s="615"/>
      <c r="S10" s="615" t="s">
        <v>27</v>
      </c>
      <c r="T10" s="615"/>
      <c r="U10" s="615"/>
      <c r="V10" s="615"/>
      <c r="W10" s="615"/>
      <c r="X10" s="615"/>
      <c r="Y10" s="615"/>
      <c r="Z10" s="615"/>
      <c r="AA10" s="615" t="s">
        <v>28</v>
      </c>
      <c r="AB10" s="615"/>
      <c r="AC10" s="615"/>
      <c r="AD10" s="615"/>
      <c r="AE10" s="615"/>
      <c r="AF10" s="615"/>
      <c r="AG10" s="615"/>
      <c r="AH10" s="615"/>
      <c r="AI10" s="615" t="s">
        <v>29</v>
      </c>
      <c r="AJ10" s="615"/>
      <c r="AK10" s="615"/>
      <c r="AL10" s="615"/>
      <c r="AM10" s="615"/>
      <c r="AN10" s="615"/>
      <c r="AO10" s="615"/>
      <c r="AP10" s="615"/>
      <c r="AQ10" s="629"/>
      <c r="AR10" s="630"/>
      <c r="AS10" s="630"/>
    </row>
    <row r="11" spans="2:45" ht="15.75" customHeight="1">
      <c r="B11" s="626"/>
      <c r="C11" s="626"/>
      <c r="D11" s="626"/>
      <c r="E11" s="626"/>
      <c r="F11" s="626"/>
      <c r="G11" s="626"/>
      <c r="H11" s="626"/>
      <c r="I11" s="626"/>
      <c r="J11" s="626"/>
      <c r="K11" s="615" t="s">
        <v>8</v>
      </c>
      <c r="L11" s="615"/>
      <c r="M11" s="615" t="s">
        <v>9</v>
      </c>
      <c r="N11" s="615"/>
      <c r="O11" s="621" t="s">
        <v>10</v>
      </c>
      <c r="P11" s="622"/>
      <c r="Q11" s="605" t="s">
        <v>11</v>
      </c>
      <c r="R11" s="606"/>
      <c r="S11" s="615" t="s">
        <v>33</v>
      </c>
      <c r="T11" s="615"/>
      <c r="U11" s="615" t="s">
        <v>12</v>
      </c>
      <c r="V11" s="615"/>
      <c r="W11" s="615" t="s">
        <v>13</v>
      </c>
      <c r="X11" s="615"/>
      <c r="Y11" s="605" t="s">
        <v>11</v>
      </c>
      <c r="Z11" s="606"/>
      <c r="AA11" s="615" t="s">
        <v>14</v>
      </c>
      <c r="AB11" s="615"/>
      <c r="AC11" s="615" t="s">
        <v>15</v>
      </c>
      <c r="AD11" s="615"/>
      <c r="AE11" s="615" t="s">
        <v>16</v>
      </c>
      <c r="AF11" s="615"/>
      <c r="AG11" s="605" t="s">
        <v>11</v>
      </c>
      <c r="AH11" s="606"/>
      <c r="AI11" s="615" t="s">
        <v>17</v>
      </c>
      <c r="AJ11" s="615"/>
      <c r="AK11" s="615" t="s">
        <v>18</v>
      </c>
      <c r="AL11" s="615"/>
      <c r="AM11" s="615" t="s">
        <v>19</v>
      </c>
      <c r="AN11" s="615"/>
      <c r="AO11" s="605" t="s">
        <v>11</v>
      </c>
      <c r="AP11" s="606"/>
      <c r="AQ11" s="629"/>
      <c r="AR11" s="630"/>
      <c r="AS11" s="630"/>
    </row>
    <row r="12" spans="2:45" ht="13.5">
      <c r="B12" s="627"/>
      <c r="C12" s="627"/>
      <c r="D12" s="627"/>
      <c r="E12" s="627"/>
      <c r="F12" s="627"/>
      <c r="G12" s="627"/>
      <c r="H12" s="627"/>
      <c r="I12" s="627"/>
      <c r="J12" s="627"/>
      <c r="K12" s="97" t="s">
        <v>20</v>
      </c>
      <c r="L12" s="98" t="s">
        <v>21</v>
      </c>
      <c r="M12" s="97" t="s">
        <v>20</v>
      </c>
      <c r="N12" s="98" t="s">
        <v>21</v>
      </c>
      <c r="O12" s="97" t="s">
        <v>20</v>
      </c>
      <c r="P12" s="98"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629"/>
      <c r="AR12" s="630"/>
      <c r="AS12" s="630"/>
    </row>
    <row r="13" spans="2:45" ht="299.25" customHeight="1">
      <c r="B13" s="688" t="s">
        <v>348</v>
      </c>
      <c r="C13" s="264" t="s">
        <v>408</v>
      </c>
      <c r="D13" s="174">
        <v>0.4</v>
      </c>
      <c r="E13" s="175" t="s">
        <v>560</v>
      </c>
      <c r="F13" s="175" t="s">
        <v>349</v>
      </c>
      <c r="G13" s="176">
        <v>0.6</v>
      </c>
      <c r="H13" s="175" t="s">
        <v>350</v>
      </c>
      <c r="I13" s="175" t="s">
        <v>351</v>
      </c>
      <c r="J13" s="129" t="s">
        <v>540</v>
      </c>
      <c r="K13" s="178">
        <v>0</v>
      </c>
      <c r="L13" s="178">
        <v>0</v>
      </c>
      <c r="M13" s="178">
        <v>0</v>
      </c>
      <c r="N13" s="178">
        <v>0</v>
      </c>
      <c r="O13" s="178">
        <v>0.05</v>
      </c>
      <c r="P13" s="178">
        <v>0.05</v>
      </c>
      <c r="Q13" s="179">
        <f>K13+M13+O13</f>
        <v>0.05</v>
      </c>
      <c r="R13" s="179">
        <f>L13+N13+P13</f>
        <v>0.05</v>
      </c>
      <c r="S13" s="178">
        <v>0</v>
      </c>
      <c r="T13" s="178">
        <v>0</v>
      </c>
      <c r="U13" s="178">
        <v>0.05</v>
      </c>
      <c r="V13" s="178">
        <v>0.05</v>
      </c>
      <c r="W13" s="178">
        <v>0.05</v>
      </c>
      <c r="X13" s="178">
        <v>0.05</v>
      </c>
      <c r="Y13" s="179">
        <f>S13+U13+W13</f>
        <v>0.1</v>
      </c>
      <c r="Z13" s="179">
        <f>T13+V13+X13</f>
        <v>0.1</v>
      </c>
      <c r="AA13" s="178">
        <v>0.05</v>
      </c>
      <c r="AB13" s="178">
        <v>0.05</v>
      </c>
      <c r="AC13" s="178">
        <v>0.05</v>
      </c>
      <c r="AD13" s="178">
        <v>0.05</v>
      </c>
      <c r="AE13" s="296">
        <v>0.05</v>
      </c>
      <c r="AF13" s="178">
        <v>0.05</v>
      </c>
      <c r="AG13" s="179">
        <f>AA13+AC13+AE13</f>
        <v>0.15000000000000002</v>
      </c>
      <c r="AH13" s="179">
        <f>AB13+AD13+AF13</f>
        <v>0.15000000000000002</v>
      </c>
      <c r="AI13" s="178">
        <v>0.05</v>
      </c>
      <c r="AJ13" s="178"/>
      <c r="AK13" s="178">
        <v>0.05</v>
      </c>
      <c r="AL13" s="178"/>
      <c r="AM13" s="178">
        <v>0</v>
      </c>
      <c r="AN13" s="178"/>
      <c r="AO13" s="179">
        <f>AI13+AK13+AM13</f>
        <v>0.1</v>
      </c>
      <c r="AP13" s="179">
        <f>AJ13+AL13+AN13</f>
        <v>0</v>
      </c>
      <c r="AQ13" s="179">
        <f>Q13+Y13+AG13+AO13</f>
        <v>0.4</v>
      </c>
      <c r="AR13" s="170">
        <f>R13+Z13+AH13+AP13</f>
        <v>0.30000000000000004</v>
      </c>
      <c r="AS13" s="284">
        <f t="shared" ref="AS13:AS18" si="0">IF(AND(AR13&gt;0,AQ13&gt;0),AR13/AQ13,0)</f>
        <v>0.75000000000000011</v>
      </c>
    </row>
    <row r="14" spans="2:45" ht="120">
      <c r="B14" s="689"/>
      <c r="C14" s="264" t="s">
        <v>409</v>
      </c>
      <c r="D14" s="174">
        <v>0.6</v>
      </c>
      <c r="E14" s="175" t="s">
        <v>561</v>
      </c>
      <c r="F14" s="175" t="s">
        <v>352</v>
      </c>
      <c r="G14" s="176" t="s">
        <v>199</v>
      </c>
      <c r="H14" s="175" t="s">
        <v>353</v>
      </c>
      <c r="I14" s="175" t="s">
        <v>354</v>
      </c>
      <c r="J14" s="129" t="s">
        <v>544</v>
      </c>
      <c r="K14" s="178">
        <v>0</v>
      </c>
      <c r="L14" s="178">
        <v>0</v>
      </c>
      <c r="M14" s="178">
        <v>0</v>
      </c>
      <c r="N14" s="178">
        <v>0</v>
      </c>
      <c r="O14" s="178">
        <v>0.05</v>
      </c>
      <c r="P14" s="178">
        <v>0.05</v>
      </c>
      <c r="Q14" s="179">
        <f t="shared" ref="Q14:R16" si="1">K14+M14+O14</f>
        <v>0.05</v>
      </c>
      <c r="R14" s="179">
        <f t="shared" si="1"/>
        <v>0.05</v>
      </c>
      <c r="S14" s="178">
        <v>0.05</v>
      </c>
      <c r="T14" s="178">
        <v>0.06</v>
      </c>
      <c r="U14" s="178">
        <v>0.05</v>
      </c>
      <c r="V14" s="178">
        <v>0.06</v>
      </c>
      <c r="W14" s="178">
        <v>0.05</v>
      </c>
      <c r="X14" s="178">
        <v>7.4999999999999997E-2</v>
      </c>
      <c r="Y14" s="179">
        <f t="shared" ref="Y14:Z16" si="2">S14+U14+W14</f>
        <v>0.15000000000000002</v>
      </c>
      <c r="Z14" s="179">
        <f t="shared" si="2"/>
        <v>0.19500000000000001</v>
      </c>
      <c r="AA14" s="178">
        <v>0.05</v>
      </c>
      <c r="AB14" s="178">
        <v>6.5000000000000002E-2</v>
      </c>
      <c r="AC14" s="178">
        <v>0.1</v>
      </c>
      <c r="AD14" s="178">
        <v>0.15</v>
      </c>
      <c r="AE14" s="296">
        <v>0.1</v>
      </c>
      <c r="AF14" s="178">
        <v>0.15</v>
      </c>
      <c r="AG14" s="179">
        <f t="shared" ref="AG14:AH16" si="3">AA14+AC14+AE14</f>
        <v>0.25</v>
      </c>
      <c r="AH14" s="179">
        <f t="shared" si="3"/>
        <v>0.36499999999999999</v>
      </c>
      <c r="AI14" s="178">
        <v>0.05</v>
      </c>
      <c r="AJ14" s="178"/>
      <c r="AK14" s="178">
        <v>0.05</v>
      </c>
      <c r="AL14" s="178"/>
      <c r="AM14" s="178">
        <v>0.05</v>
      </c>
      <c r="AN14" s="178"/>
      <c r="AO14" s="179">
        <f t="shared" ref="AO14:AP16" si="4">AI14+AK14+AM14</f>
        <v>0.15000000000000002</v>
      </c>
      <c r="AP14" s="179">
        <f t="shared" si="4"/>
        <v>0</v>
      </c>
      <c r="AQ14" s="179">
        <f t="shared" ref="AQ14:AR16" si="5">Q14+Y14+AG14+AO14</f>
        <v>0.60000000000000009</v>
      </c>
      <c r="AR14" s="179">
        <f t="shared" si="5"/>
        <v>0.61</v>
      </c>
      <c r="AS14" s="284">
        <f t="shared" si="0"/>
        <v>1.0166666666666664</v>
      </c>
    </row>
    <row r="15" spans="2:45" ht="155.25" customHeight="1">
      <c r="B15" s="689"/>
      <c r="C15" s="173" t="s">
        <v>410</v>
      </c>
      <c r="D15" s="174">
        <v>0.2</v>
      </c>
      <c r="E15" s="175" t="s">
        <v>562</v>
      </c>
      <c r="F15" s="175" t="s">
        <v>355</v>
      </c>
      <c r="G15" s="176">
        <v>0.8</v>
      </c>
      <c r="H15" s="175" t="s">
        <v>356</v>
      </c>
      <c r="I15" s="175" t="s">
        <v>357</v>
      </c>
      <c r="J15" s="129" t="s">
        <v>544</v>
      </c>
      <c r="K15" s="178">
        <v>0</v>
      </c>
      <c r="L15" s="178">
        <v>0</v>
      </c>
      <c r="M15" s="178">
        <v>0</v>
      </c>
      <c r="N15" s="178">
        <v>0</v>
      </c>
      <c r="O15" s="178">
        <v>2.5000000000000001E-2</v>
      </c>
      <c r="P15" s="178">
        <v>2.5000000000000001E-2</v>
      </c>
      <c r="Q15" s="179">
        <f t="shared" si="1"/>
        <v>2.5000000000000001E-2</v>
      </c>
      <c r="R15" s="179">
        <f t="shared" si="1"/>
        <v>2.5000000000000001E-2</v>
      </c>
      <c r="S15" s="178">
        <v>0</v>
      </c>
      <c r="T15" s="178">
        <v>0</v>
      </c>
      <c r="U15" s="178">
        <v>2.5000000000000001E-2</v>
      </c>
      <c r="V15" s="178">
        <v>0.03</v>
      </c>
      <c r="W15" s="178">
        <v>0.05</v>
      </c>
      <c r="X15" s="178">
        <v>6.5000000000000002E-2</v>
      </c>
      <c r="Y15" s="179">
        <f t="shared" si="2"/>
        <v>7.5000000000000011E-2</v>
      </c>
      <c r="Z15" s="179">
        <f t="shared" si="2"/>
        <v>9.5000000000000001E-2</v>
      </c>
      <c r="AA15" s="178">
        <v>0.05</v>
      </c>
      <c r="AB15" s="178">
        <v>2.5000000000000001E-2</v>
      </c>
      <c r="AC15" s="178">
        <v>0</v>
      </c>
      <c r="AD15" s="178">
        <v>0</v>
      </c>
      <c r="AE15" s="296">
        <v>0.05</v>
      </c>
      <c r="AF15" s="178">
        <v>0.04</v>
      </c>
      <c r="AG15" s="179">
        <f t="shared" si="3"/>
        <v>0.1</v>
      </c>
      <c r="AH15" s="179">
        <f t="shared" si="3"/>
        <v>6.5000000000000002E-2</v>
      </c>
      <c r="AI15" s="178">
        <v>0</v>
      </c>
      <c r="AJ15" s="178"/>
      <c r="AK15" s="178">
        <v>0</v>
      </c>
      <c r="AL15" s="178"/>
      <c r="AM15" s="178">
        <v>0</v>
      </c>
      <c r="AN15" s="178"/>
      <c r="AO15" s="179">
        <f t="shared" si="4"/>
        <v>0</v>
      </c>
      <c r="AP15" s="179">
        <f t="shared" si="4"/>
        <v>0</v>
      </c>
      <c r="AQ15" s="179">
        <f t="shared" si="5"/>
        <v>0.2</v>
      </c>
      <c r="AR15" s="179">
        <f t="shared" si="5"/>
        <v>0.185</v>
      </c>
      <c r="AS15" s="284">
        <f t="shared" si="0"/>
        <v>0.92499999999999993</v>
      </c>
    </row>
    <row r="16" spans="2:45" ht="105">
      <c r="B16" s="689"/>
      <c r="C16" s="173" t="s">
        <v>411</v>
      </c>
      <c r="D16" s="174">
        <v>0.4</v>
      </c>
      <c r="E16" s="175" t="s">
        <v>563</v>
      </c>
      <c r="F16" s="175" t="s">
        <v>358</v>
      </c>
      <c r="G16" s="176">
        <v>0.6</v>
      </c>
      <c r="H16" s="175" t="s">
        <v>359</v>
      </c>
      <c r="I16" s="175" t="s">
        <v>360</v>
      </c>
      <c r="J16" s="129" t="s">
        <v>544</v>
      </c>
      <c r="K16" s="178">
        <v>0</v>
      </c>
      <c r="L16" s="178">
        <v>0</v>
      </c>
      <c r="M16" s="178">
        <v>0</v>
      </c>
      <c r="N16" s="178">
        <v>0</v>
      </c>
      <c r="O16" s="178">
        <v>0.05</v>
      </c>
      <c r="P16" s="178">
        <v>0.05</v>
      </c>
      <c r="Q16" s="179">
        <f t="shared" si="1"/>
        <v>0.05</v>
      </c>
      <c r="R16" s="179">
        <f t="shared" si="1"/>
        <v>0.05</v>
      </c>
      <c r="S16" s="178">
        <v>0.05</v>
      </c>
      <c r="T16" s="178">
        <v>0.05</v>
      </c>
      <c r="U16" s="178">
        <v>0.05</v>
      </c>
      <c r="V16" s="178">
        <v>0.05</v>
      </c>
      <c r="W16" s="178">
        <v>0.05</v>
      </c>
      <c r="X16" s="178">
        <v>0.05</v>
      </c>
      <c r="Y16" s="179">
        <f t="shared" si="2"/>
        <v>0.15000000000000002</v>
      </c>
      <c r="Z16" s="179">
        <f t="shared" si="2"/>
        <v>0.15000000000000002</v>
      </c>
      <c r="AA16" s="178">
        <v>0.05</v>
      </c>
      <c r="AB16" s="178">
        <v>0.05</v>
      </c>
      <c r="AC16" s="178">
        <v>0.05</v>
      </c>
      <c r="AD16" s="178">
        <v>0.05</v>
      </c>
      <c r="AE16" s="296">
        <v>0.05</v>
      </c>
      <c r="AF16" s="178">
        <v>0.05</v>
      </c>
      <c r="AG16" s="179">
        <f t="shared" si="3"/>
        <v>0.15000000000000002</v>
      </c>
      <c r="AH16" s="179">
        <f t="shared" si="3"/>
        <v>0.15000000000000002</v>
      </c>
      <c r="AI16" s="178">
        <v>0.05</v>
      </c>
      <c r="AJ16" s="178"/>
      <c r="AK16" s="178">
        <v>0</v>
      </c>
      <c r="AL16" s="178"/>
      <c r="AM16" s="178">
        <v>0</v>
      </c>
      <c r="AN16" s="178"/>
      <c r="AO16" s="179">
        <f t="shared" si="4"/>
        <v>0.05</v>
      </c>
      <c r="AP16" s="179">
        <f t="shared" si="4"/>
        <v>0</v>
      </c>
      <c r="AQ16" s="179">
        <f t="shared" si="5"/>
        <v>0.4</v>
      </c>
      <c r="AR16" s="179">
        <f t="shared" si="5"/>
        <v>0.35000000000000003</v>
      </c>
      <c r="AS16" s="284">
        <f t="shared" si="0"/>
        <v>0.875</v>
      </c>
    </row>
    <row r="17" spans="2:45" ht="138" customHeight="1">
      <c r="B17" s="689"/>
      <c r="C17" s="173" t="s">
        <v>412</v>
      </c>
      <c r="D17" s="464">
        <v>0.91249999999999998</v>
      </c>
      <c r="E17" s="175" t="s">
        <v>361</v>
      </c>
      <c r="F17" s="175" t="s">
        <v>362</v>
      </c>
      <c r="G17" s="177">
        <v>0.9</v>
      </c>
      <c r="H17" s="175" t="s">
        <v>363</v>
      </c>
      <c r="I17" s="175" t="s">
        <v>364</v>
      </c>
      <c r="J17" s="129" t="s">
        <v>544</v>
      </c>
      <c r="K17" s="351">
        <v>0.95</v>
      </c>
      <c r="L17" s="351">
        <v>0.89900000000000002</v>
      </c>
      <c r="M17" s="351">
        <v>0.95</v>
      </c>
      <c r="N17" s="351">
        <v>0.91400000000000003</v>
      </c>
      <c r="O17" s="351">
        <v>0.95</v>
      </c>
      <c r="P17" s="351">
        <v>0.94299999999999995</v>
      </c>
      <c r="Q17" s="287">
        <f>(K17+M17+O17)/3</f>
        <v>0.94999999999999984</v>
      </c>
      <c r="R17" s="287">
        <f>IFERROR(IF(OR($AQ$17="",$AQ$17=0),0,ROUNDDOWN(AVERAGE(L17,N17,P17),3)),0)</f>
        <v>0.91800000000000004</v>
      </c>
      <c r="S17" s="351">
        <v>0.9</v>
      </c>
      <c r="T17" s="351">
        <v>0.93497757847533602</v>
      </c>
      <c r="U17" s="351">
        <v>0.9</v>
      </c>
      <c r="V17" s="351">
        <v>0.98099999999999998</v>
      </c>
      <c r="W17" s="351">
        <v>0.9</v>
      </c>
      <c r="X17" s="351">
        <v>0.97699999999999998</v>
      </c>
      <c r="Y17" s="287">
        <f>(S17+U17+W17)/3</f>
        <v>0.9</v>
      </c>
      <c r="Z17" s="287">
        <f>IFERROR(IF(OR($AQ$17="",$AQ$17=0),0,ROUNDDOWN(AVERAGE(T17,V17,X17),3)),0)</f>
        <v>0.96399999999999997</v>
      </c>
      <c r="AA17" s="351">
        <v>0.9</v>
      </c>
      <c r="AB17" s="351">
        <v>0.91721854304635764</v>
      </c>
      <c r="AC17" s="351">
        <v>0.9</v>
      </c>
      <c r="AD17" s="351">
        <v>0.9</v>
      </c>
      <c r="AE17" s="351">
        <v>0.9</v>
      </c>
      <c r="AF17" s="351">
        <v>0.90636254501800717</v>
      </c>
      <c r="AG17" s="287">
        <f>(AA17+AC17+AE17)/3</f>
        <v>0.9</v>
      </c>
      <c r="AH17" s="287">
        <f>IFERROR(IF(OR($AQ$17="",$AQ$17=0),0,ROUNDDOWN(AVERAGE(AB17,AD17,AF17),3)),0)</f>
        <v>0.90700000000000003</v>
      </c>
      <c r="AI17" s="351">
        <v>0.9</v>
      </c>
      <c r="AJ17" s="351"/>
      <c r="AK17" s="351">
        <v>0.9</v>
      </c>
      <c r="AL17" s="351"/>
      <c r="AM17" s="351">
        <v>0.9</v>
      </c>
      <c r="AN17" s="351"/>
      <c r="AO17" s="287">
        <f>(AI17+AK17+AM17)/3</f>
        <v>0.9</v>
      </c>
      <c r="AP17" s="287">
        <v>0</v>
      </c>
      <c r="AQ17" s="179">
        <f>(Q17+Y17+AG17+AO17)/4</f>
        <v>0.91249999999999998</v>
      </c>
      <c r="AR17" s="179">
        <f>IFERROR(IF(OR(AQ17="",AQ17=0),0,ROUNDDOWN(AVERAGE(L17,N17,P17,T17,V17,X17,AB17,AD17,AF17,AJ17,AL17,AN17),3)),0)</f>
        <v>0.93</v>
      </c>
      <c r="AS17" s="284">
        <f t="shared" si="0"/>
        <v>1.0191780821917809</v>
      </c>
    </row>
    <row r="18" spans="2:45" ht="75">
      <c r="B18" s="690"/>
      <c r="C18" s="173" t="s">
        <v>413</v>
      </c>
      <c r="D18" s="464">
        <v>0.91249999999999998</v>
      </c>
      <c r="E18" s="175" t="s">
        <v>365</v>
      </c>
      <c r="F18" s="175" t="s">
        <v>366</v>
      </c>
      <c r="G18" s="177">
        <v>0.9</v>
      </c>
      <c r="H18" s="128" t="s">
        <v>367</v>
      </c>
      <c r="I18" s="128" t="s">
        <v>368</v>
      </c>
      <c r="J18" s="129" t="s">
        <v>544</v>
      </c>
      <c r="K18" s="351">
        <v>0.95</v>
      </c>
      <c r="L18" s="351">
        <v>0.95599999999999996</v>
      </c>
      <c r="M18" s="351">
        <v>0.95</v>
      </c>
      <c r="N18" s="351">
        <v>0.93799999999999994</v>
      </c>
      <c r="O18" s="351">
        <v>0.95</v>
      </c>
      <c r="P18" s="351">
        <v>0.93600000000000005</v>
      </c>
      <c r="Q18" s="287">
        <f>(K18+M18+O18)/3</f>
        <v>0.94999999999999984</v>
      </c>
      <c r="R18" s="287">
        <f>IFERROR(IF(OR(AQ18="",AQ18=0),0,ROUNDDOWN(AVERAGE(L18,N18,P18),3)),0)</f>
        <v>0.94299999999999995</v>
      </c>
      <c r="S18" s="351">
        <v>0.9</v>
      </c>
      <c r="T18" s="351">
        <v>0.97099999999999997</v>
      </c>
      <c r="U18" s="351">
        <v>0.9</v>
      </c>
      <c r="V18" s="351">
        <v>0.98299999999999998</v>
      </c>
      <c r="W18" s="351">
        <v>0.9</v>
      </c>
      <c r="X18" s="351">
        <v>0.98699999999999999</v>
      </c>
      <c r="Y18" s="287">
        <f>(S18+U18+W18)/3</f>
        <v>0.9</v>
      </c>
      <c r="Z18" s="287">
        <f>IFERROR(IF(OR(AQ18="",AQ18=0),0,ROUNDDOWN(AVERAGE(T18,V18,X18),3)),0)</f>
        <v>0.98</v>
      </c>
      <c r="AA18" s="351">
        <v>0.9</v>
      </c>
      <c r="AB18" s="351">
        <f>628/643</f>
        <v>0.97667185069984452</v>
      </c>
      <c r="AC18" s="351">
        <v>0.9</v>
      </c>
      <c r="AD18" s="351">
        <f>612/623</f>
        <v>0.9823434991974318</v>
      </c>
      <c r="AE18" s="351">
        <v>0.9</v>
      </c>
      <c r="AF18" s="351">
        <f>459/494</f>
        <v>0.92914979757085026</v>
      </c>
      <c r="AG18" s="287">
        <f>(AA18+AC18+AE18)/3</f>
        <v>0.9</v>
      </c>
      <c r="AH18" s="287">
        <f>IFERROR(IF(OR($AQ$18="",$AQ$18=0),0,ROUNDDOWN(AVERAGE(AB18,AD18,AF18),3)),0)</f>
        <v>0.96199999999999997</v>
      </c>
      <c r="AI18" s="351">
        <v>0.9</v>
      </c>
      <c r="AJ18" s="351"/>
      <c r="AK18" s="351">
        <v>0.9</v>
      </c>
      <c r="AL18" s="351"/>
      <c r="AM18" s="351">
        <v>0.9</v>
      </c>
      <c r="AN18" s="351"/>
      <c r="AO18" s="287">
        <f>(AI18+AK18+AM18)/3</f>
        <v>0.9</v>
      </c>
      <c r="AP18" s="287">
        <v>0</v>
      </c>
      <c r="AQ18" s="179">
        <f>(Q18+Y18+AG18+AO18)/4</f>
        <v>0.91249999999999998</v>
      </c>
      <c r="AR18" s="179">
        <f>IFERROR(IF(OR(AQ18="",AQ18=0),0,ROUNDDOWN(AVERAGE(L18,N18,P18,T18,V18,X18,AB18,AD18,AF18,AJ18,AL18,AN18),3)),0)</f>
        <v>0.96199999999999997</v>
      </c>
      <c r="AS18" s="284">
        <f t="shared" si="0"/>
        <v>1.0542465753424657</v>
      </c>
    </row>
    <row r="19" spans="2:45" ht="23.25">
      <c r="B19" s="609" t="s">
        <v>23</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1"/>
      <c r="AS19" s="285">
        <f>AVERAGE(AS13:AS18)</f>
        <v>0.9400152207001522</v>
      </c>
    </row>
    <row r="20" spans="2:45" ht="17.25">
      <c r="B20" s="6"/>
      <c r="C20" s="6"/>
      <c r="D20" s="12"/>
      <c r="E20" s="6"/>
      <c r="F20" s="6"/>
      <c r="G20" s="6"/>
      <c r="H20" s="6"/>
      <c r="I20" s="6"/>
      <c r="J20" s="7"/>
    </row>
    <row r="21" spans="2:45" ht="15.75">
      <c r="B21" s="107" t="s">
        <v>4</v>
      </c>
      <c r="C21" s="680"/>
      <c r="D21" s="681"/>
      <c r="E21" s="681"/>
      <c r="F21" s="681"/>
      <c r="G21" s="681"/>
      <c r="H21" s="681"/>
      <c r="I21" s="681"/>
      <c r="J21" s="682"/>
    </row>
    <row r="22" spans="2:45" ht="17.25">
      <c r="B22" s="6"/>
      <c r="C22" s="676"/>
      <c r="D22" s="676"/>
      <c r="E22" s="676"/>
      <c r="F22" s="676"/>
      <c r="G22" s="676"/>
      <c r="H22" s="676"/>
      <c r="I22" s="676"/>
      <c r="J22" s="676"/>
    </row>
    <row r="23" spans="2:45" ht="31.5">
      <c r="B23" s="108" t="s">
        <v>32</v>
      </c>
      <c r="C23" s="691" t="s">
        <v>900</v>
      </c>
      <c r="D23" s="692"/>
      <c r="E23" s="6"/>
      <c r="F23" s="6"/>
      <c r="G23" s="109" t="s">
        <v>22</v>
      </c>
      <c r="H23" s="693" t="s">
        <v>369</v>
      </c>
      <c r="I23" s="694"/>
      <c r="J23" s="694"/>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6"/>
      <c r="F26" s="6"/>
      <c r="G26" s="6"/>
      <c r="H26" s="6"/>
      <c r="I26" s="6"/>
      <c r="J26" s="7"/>
    </row>
    <row r="27" spans="2:45" ht="17.25">
      <c r="B27" s="6"/>
      <c r="C27" s="6"/>
      <c r="D27" s="12"/>
      <c r="E27" s="687"/>
      <c r="F27" s="687"/>
      <c r="G27" s="687"/>
      <c r="H27" s="687"/>
      <c r="I27" s="106"/>
      <c r="J27" s="6"/>
    </row>
    <row r="28" spans="2:45" ht="17.25">
      <c r="B28" s="6"/>
      <c r="C28" s="6"/>
      <c r="D28" s="12"/>
      <c r="E28" s="6"/>
      <c r="F28" s="6"/>
      <c r="G28" s="7"/>
      <c r="H28" s="6"/>
      <c r="I28" s="6"/>
      <c r="J28" s="6"/>
    </row>
    <row r="29" spans="2:45" ht="17.25">
      <c r="B29" s="6"/>
      <c r="C29" s="6"/>
      <c r="D29" s="12"/>
      <c r="E29" s="687"/>
      <c r="F29" s="687"/>
      <c r="G29" s="687"/>
      <c r="H29" s="687"/>
      <c r="I29" s="106"/>
      <c r="J29" s="6"/>
    </row>
    <row r="30" spans="2:45" ht="17.25">
      <c r="B30" s="6"/>
      <c r="C30" s="6"/>
      <c r="D30" s="12"/>
      <c r="E30" s="6"/>
      <c r="F30" s="6"/>
      <c r="G30" s="7"/>
      <c r="H30" s="6"/>
      <c r="I30" s="6"/>
      <c r="J30" s="6"/>
    </row>
    <row r="31" spans="2:45" ht="17.25">
      <c r="B31" s="6"/>
      <c r="C31" s="6"/>
      <c r="D31" s="12"/>
      <c r="E31" s="687"/>
      <c r="F31" s="687"/>
      <c r="G31" s="687"/>
      <c r="H31" s="687"/>
      <c r="I31" s="106"/>
      <c r="J31" s="6"/>
    </row>
  </sheetData>
  <sheetProtection algorithmName="SHA-512" hashValue="K8HOU/EU4UUGLVpj02iXDswHXWFlbwCe7j9Ko3FVtFn0odfzLtvYSE0MJ+Iyy7CfPQ4pV+z6hZPvuN3WN0JLqg==" saltValue="vy/8YCbtgdiPVfqqd8xud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AS30"/>
  <sheetViews>
    <sheetView showGridLines="0" zoomScale="55" zoomScaleNormal="55" workbookViewId="0">
      <selection activeCell="J13" sqref="J13"/>
    </sheetView>
  </sheetViews>
  <sheetFormatPr baseColWidth="10" defaultColWidth="17.28515625" defaultRowHeight="15" customHeight="1"/>
  <cols>
    <col min="1" max="1" width="4.28515625" style="4" customWidth="1"/>
    <col min="2" max="2" width="28.42578125" style="8" customWidth="1"/>
    <col min="3" max="3" width="33.28515625" style="8" customWidth="1"/>
    <col min="4" max="4" width="26" style="13" customWidth="1"/>
    <col min="5" max="5" width="30.7109375" style="8" customWidth="1"/>
    <col min="6" max="6" width="29.5703125" style="8" customWidth="1"/>
    <col min="7" max="7" width="24.28515625" style="8" customWidth="1"/>
    <col min="8" max="8" width="28.5703125" style="8" customWidth="1"/>
    <col min="9" max="9" width="50" style="8" customWidth="1"/>
    <col min="10" max="10" width="28.5703125" style="10" customWidth="1"/>
    <col min="11" max="17" width="14.28515625" style="1" customWidth="1"/>
    <col min="18" max="18" width="20.28515625" style="1" customWidth="1"/>
    <col min="19" max="21" width="14.28515625" style="1" customWidth="1"/>
    <col min="22" max="22" width="14.28515625" style="4" customWidth="1"/>
    <col min="23" max="29" width="14.28515625" style="1" customWidth="1"/>
    <col min="30" max="30" width="14.28515625" style="4" customWidth="1"/>
    <col min="31" max="34" width="14.28515625" style="1" customWidth="1"/>
    <col min="35" max="42" width="14.28515625" style="4" customWidth="1"/>
    <col min="43" max="43" width="20.28515625" style="1" customWidth="1"/>
    <col min="44" max="44" width="20.42578125" style="1" customWidth="1"/>
    <col min="45" max="45" width="25.42578125" style="1" customWidth="1"/>
    <col min="46" max="16384" width="17.28515625" style="1"/>
  </cols>
  <sheetData>
    <row r="1" spans="1:45" s="4" customFormat="1" ht="15" customHeight="1" thickBot="1">
      <c r="B1" s="8"/>
      <c r="C1" s="8"/>
      <c r="D1" s="13"/>
      <c r="E1" s="8"/>
      <c r="F1" s="8"/>
      <c r="G1" s="8"/>
      <c r="H1" s="8"/>
      <c r="I1" s="8"/>
      <c r="J1" s="10"/>
    </row>
    <row r="2" spans="1:45" s="3" customFormat="1" ht="16.5" customHeight="1">
      <c r="A2" s="4"/>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1:45" s="4" customFormat="1" ht="16.5" customHeight="1">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1:45" s="4" customFormat="1" ht="16.5" customHeight="1">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1:45" s="4" customFormat="1" ht="16.5" customHeight="1">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1:45" s="3" customFormat="1" ht="16.5" customHeight="1" thickBot="1">
      <c r="A6" s="4"/>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1:45" s="3" customFormat="1" ht="14.25" customHeight="1">
      <c r="A7" s="4"/>
      <c r="B7" s="5"/>
      <c r="C7" s="5"/>
      <c r="D7" s="11"/>
      <c r="E7" s="5"/>
      <c r="F7" s="5"/>
      <c r="G7" s="5"/>
      <c r="H7" s="5"/>
      <c r="I7" s="5"/>
      <c r="J7" s="9"/>
      <c r="V7" s="4"/>
      <c r="AD7" s="4"/>
      <c r="AI7" s="4"/>
      <c r="AJ7" s="4"/>
      <c r="AK7" s="4"/>
      <c r="AL7" s="4"/>
      <c r="AM7" s="4"/>
      <c r="AN7" s="4"/>
      <c r="AO7" s="4"/>
      <c r="AP7" s="4"/>
      <c r="AR7" s="738"/>
      <c r="AS7" s="739"/>
    </row>
    <row r="8" spans="1: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1:45" ht="13.5" customHeight="1">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1:45" s="4" customFormat="1" ht="13.5" customHeight="1">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1:45" s="4" customFormat="1" ht="17.2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1:45" s="4" customFormat="1" ht="15.75" customHeight="1">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1:45" s="2" customFormat="1" ht="150" customHeight="1">
      <c r="A13" s="4"/>
      <c r="B13" s="716" t="s">
        <v>287</v>
      </c>
      <c r="C13" s="180" t="s">
        <v>489</v>
      </c>
      <c r="D13" s="181">
        <v>1</v>
      </c>
      <c r="E13" s="182" t="s">
        <v>490</v>
      </c>
      <c r="F13" s="183" t="s">
        <v>114</v>
      </c>
      <c r="G13" s="265">
        <v>1</v>
      </c>
      <c r="H13" s="185" t="s">
        <v>115</v>
      </c>
      <c r="I13" s="186" t="s">
        <v>491</v>
      </c>
      <c r="J13" s="187" t="s">
        <v>541</v>
      </c>
      <c r="K13" s="358">
        <v>1</v>
      </c>
      <c r="L13" s="358">
        <v>1</v>
      </c>
      <c r="M13" s="358">
        <v>1</v>
      </c>
      <c r="N13" s="358">
        <v>1</v>
      </c>
      <c r="O13" s="358">
        <v>1</v>
      </c>
      <c r="P13" s="358">
        <v>1</v>
      </c>
      <c r="Q13" s="355">
        <f>(K13+M13+O13)/3</f>
        <v>1</v>
      </c>
      <c r="R13" s="287">
        <f>IFERROR(IF(OR($AQ13="",$AQ13=0),0,ROUNDDOWN(AVERAGE(L13,N13,P13),3)),0)</f>
        <v>1</v>
      </c>
      <c r="S13" s="358">
        <v>1</v>
      </c>
      <c r="T13" s="358">
        <v>1</v>
      </c>
      <c r="U13" s="358">
        <v>1</v>
      </c>
      <c r="V13" s="358">
        <v>1</v>
      </c>
      <c r="W13" s="358">
        <v>1</v>
      </c>
      <c r="X13" s="358">
        <v>1</v>
      </c>
      <c r="Y13" s="355">
        <f>(S13+U13+W13)/3</f>
        <v>1</v>
      </c>
      <c r="Z13" s="287">
        <f>IFERROR(IF(OR($AQ13="",$AQ13=0),0,ROUNDDOWN(AVERAGE(T13,V13,X13),3)),0)</f>
        <v>1</v>
      </c>
      <c r="AA13" s="358">
        <v>1</v>
      </c>
      <c r="AB13" s="358">
        <v>1</v>
      </c>
      <c r="AC13" s="358">
        <v>1</v>
      </c>
      <c r="AD13" s="358">
        <v>1</v>
      </c>
      <c r="AE13" s="359">
        <v>1</v>
      </c>
      <c r="AF13" s="358">
        <v>1</v>
      </c>
      <c r="AG13" s="355">
        <f>(AA13+AC13+AE13)/3</f>
        <v>1</v>
      </c>
      <c r="AH13" s="287">
        <f>IFERROR(IF(OR($AQ13="",$AQ13=0),0,ROUNDDOWN(AVERAGE(AB13,AD13,AF13),3)),0)</f>
        <v>1</v>
      </c>
      <c r="AI13" s="358">
        <v>1</v>
      </c>
      <c r="AJ13" s="358"/>
      <c r="AK13" s="358">
        <v>1</v>
      </c>
      <c r="AL13" s="358"/>
      <c r="AM13" s="358">
        <v>1</v>
      </c>
      <c r="AN13" s="358"/>
      <c r="AO13" s="355">
        <f>(AI13+AK13+AM13)/3</f>
        <v>1</v>
      </c>
      <c r="AP13" s="287">
        <f>IFERROR(IF(OR($AQ13="",$AQ13=0),0,ROUNDDOWN(AVERAGE(AJ13,AL13,AN13),3)),0)</f>
        <v>0</v>
      </c>
      <c r="AQ13" s="355">
        <f>(Q13+Y13+AG13+AO13)/4</f>
        <v>1</v>
      </c>
      <c r="AR13" s="179">
        <f>IFERROR(IF(OR(AQ13="",AQ13=0),0,ROUNDDOWN(AVERAGE(L13,N13,P13,T13,V13,X13,AB13,AD13,AF13,AJ13,AL13,AN13),3)),0)</f>
        <v>1</v>
      </c>
      <c r="AS13" s="20">
        <f>IF(AND(AR13&gt;0,AQ13&gt;0),AR13/AQ13,0)</f>
        <v>1</v>
      </c>
    </row>
    <row r="14" spans="1:45" s="4" customFormat="1" ht="150" customHeight="1">
      <c r="B14" s="717"/>
      <c r="C14" s="180" t="s">
        <v>414</v>
      </c>
      <c r="D14" s="181">
        <v>1</v>
      </c>
      <c r="E14" s="182" t="s">
        <v>118</v>
      </c>
      <c r="F14" s="183" t="s">
        <v>114</v>
      </c>
      <c r="G14" s="265">
        <v>1</v>
      </c>
      <c r="H14" s="185" t="s">
        <v>116</v>
      </c>
      <c r="I14" s="186" t="s">
        <v>120</v>
      </c>
      <c r="J14" s="187" t="s">
        <v>541</v>
      </c>
      <c r="K14" s="358">
        <v>0</v>
      </c>
      <c r="L14" s="358">
        <v>1</v>
      </c>
      <c r="M14" s="358">
        <v>1</v>
      </c>
      <c r="N14" s="358">
        <v>1</v>
      </c>
      <c r="O14" s="358">
        <v>1</v>
      </c>
      <c r="P14" s="358">
        <v>1</v>
      </c>
      <c r="Q14" s="355">
        <f t="shared" ref="Q14:Q17" si="0">(K14+M14+O14)/2</f>
        <v>1</v>
      </c>
      <c r="R14" s="287">
        <f>IFERROR(IF(OR(AQ14="",AQ14=0),0,ROUNDDOWN(AVERAGE(L14,N14,P14),3)),0)</f>
        <v>1</v>
      </c>
      <c r="S14" s="358">
        <v>1</v>
      </c>
      <c r="T14" s="358">
        <v>1</v>
      </c>
      <c r="U14" s="358">
        <v>1</v>
      </c>
      <c r="V14" s="358">
        <v>1</v>
      </c>
      <c r="W14" s="358">
        <v>1</v>
      </c>
      <c r="X14" s="358">
        <v>1</v>
      </c>
      <c r="Y14" s="355">
        <f t="shared" ref="Y14:Y17" si="1">(S14+U14+W14)/3</f>
        <v>1</v>
      </c>
      <c r="Z14" s="287">
        <f t="shared" ref="Z14:Z17" si="2">IFERROR(IF(OR($AQ14="",$AQ14=0),0,ROUNDDOWN(AVERAGE(T14,V14,X14),3)),0)</f>
        <v>1</v>
      </c>
      <c r="AA14" s="358">
        <v>1</v>
      </c>
      <c r="AB14" s="358">
        <v>1</v>
      </c>
      <c r="AC14" s="358">
        <v>1</v>
      </c>
      <c r="AD14" s="358">
        <v>1</v>
      </c>
      <c r="AE14" s="359">
        <v>1</v>
      </c>
      <c r="AF14" s="358">
        <v>1</v>
      </c>
      <c r="AG14" s="355">
        <f t="shared" ref="AG14:AG17" si="3">(AA14+AC14+AE14)/3</f>
        <v>1</v>
      </c>
      <c r="AH14" s="287">
        <f t="shared" ref="AH14:AH17" si="4">IFERROR(IF(OR($AQ14="",$AQ14=0),0,ROUNDDOWN(AVERAGE(AB14,AD14,AF14),3)),0)</f>
        <v>1</v>
      </c>
      <c r="AI14" s="358">
        <v>1</v>
      </c>
      <c r="AJ14" s="358"/>
      <c r="AK14" s="358">
        <v>1</v>
      </c>
      <c r="AL14" s="358"/>
      <c r="AM14" s="358">
        <v>1</v>
      </c>
      <c r="AN14" s="358"/>
      <c r="AO14" s="355">
        <f t="shared" ref="AO14:AO16" si="5">(AI14+AK14+AM14)/3</f>
        <v>1</v>
      </c>
      <c r="AP14" s="287">
        <f t="shared" ref="AP14:AP17" si="6">IFERROR(IF(OR($AQ14="",$AQ14=0),0,ROUNDDOWN(AVERAGE(AJ14,AL14,AN14),3)),0)</f>
        <v>0</v>
      </c>
      <c r="AQ14" s="355">
        <f>(Q14+Y14+AG14+AO14)/4</f>
        <v>1</v>
      </c>
      <c r="AR14" s="179">
        <f>IFERROR(IF(OR(AQ14="",AQ14=0),0,ROUNDDOWN(AVERAGE(L14,N14,P14,T14,V14,X14,AB14,AD14,AF14,AJ14,AL14,AN14),3)),0)</f>
        <v>1</v>
      </c>
      <c r="AS14" s="20">
        <f>IF(AND(AR14&gt;0,AQ14&gt;0),AR14/AQ14,0)</f>
        <v>1</v>
      </c>
    </row>
    <row r="15" spans="1:45" s="4" customFormat="1" ht="150" customHeight="1">
      <c r="B15" s="717"/>
      <c r="C15" s="180" t="s">
        <v>415</v>
      </c>
      <c r="D15" s="181">
        <v>1</v>
      </c>
      <c r="E15" s="182" t="s">
        <v>117</v>
      </c>
      <c r="F15" s="183" t="s">
        <v>114</v>
      </c>
      <c r="G15" s="184" t="s">
        <v>199</v>
      </c>
      <c r="H15" s="185" t="s">
        <v>571</v>
      </c>
      <c r="I15" s="186" t="s">
        <v>119</v>
      </c>
      <c r="J15" s="187" t="s">
        <v>541</v>
      </c>
      <c r="K15" s="358">
        <v>0</v>
      </c>
      <c r="L15" s="358">
        <v>1</v>
      </c>
      <c r="M15" s="358">
        <v>1</v>
      </c>
      <c r="N15" s="358">
        <v>1</v>
      </c>
      <c r="O15" s="358">
        <v>1</v>
      </c>
      <c r="P15" s="358">
        <v>1</v>
      </c>
      <c r="Q15" s="355">
        <f t="shared" si="0"/>
        <v>1</v>
      </c>
      <c r="R15" s="287">
        <f>IFERROR(IF(OR(AQ15="",AQ15=0),0,ROUNDDOWN(AVERAGE(L15,N15,P15),3)),0)</f>
        <v>1</v>
      </c>
      <c r="S15" s="358">
        <v>1</v>
      </c>
      <c r="T15" s="358">
        <v>1</v>
      </c>
      <c r="U15" s="358">
        <v>1</v>
      </c>
      <c r="V15" s="358">
        <v>1</v>
      </c>
      <c r="W15" s="358">
        <v>1</v>
      </c>
      <c r="X15" s="358">
        <v>1</v>
      </c>
      <c r="Y15" s="355">
        <f t="shared" si="1"/>
        <v>1</v>
      </c>
      <c r="Z15" s="287">
        <f t="shared" si="2"/>
        <v>1</v>
      </c>
      <c r="AA15" s="358">
        <v>1</v>
      </c>
      <c r="AB15" s="358">
        <v>1</v>
      </c>
      <c r="AC15" s="358">
        <v>1</v>
      </c>
      <c r="AD15" s="358">
        <v>1</v>
      </c>
      <c r="AE15" s="359">
        <v>1</v>
      </c>
      <c r="AF15" s="358">
        <v>1</v>
      </c>
      <c r="AG15" s="355">
        <f t="shared" si="3"/>
        <v>1</v>
      </c>
      <c r="AH15" s="287">
        <f t="shared" si="4"/>
        <v>1</v>
      </c>
      <c r="AI15" s="358">
        <v>1</v>
      </c>
      <c r="AJ15" s="358"/>
      <c r="AK15" s="358">
        <v>1</v>
      </c>
      <c r="AL15" s="358"/>
      <c r="AM15" s="358">
        <v>1</v>
      </c>
      <c r="AN15" s="358"/>
      <c r="AO15" s="355">
        <f t="shared" si="5"/>
        <v>1</v>
      </c>
      <c r="AP15" s="287">
        <f t="shared" si="6"/>
        <v>0</v>
      </c>
      <c r="AQ15" s="355">
        <f>(Q15+Y15+AG15+AO15)/4</f>
        <v>1</v>
      </c>
      <c r="AR15" s="179">
        <f>IFERROR(IF(OR(AQ15="",AQ15=0),0,ROUNDDOWN(AVERAGE(L15,N15,P15,T15,V15,X15,AB15,AD15,AF15,AJ15,AL15,AN15),3)),0)</f>
        <v>1</v>
      </c>
      <c r="AS15" s="20">
        <f>IF(AND(AR15&gt;0,AQ15&gt;0),AR15/AQ15,0)</f>
        <v>1</v>
      </c>
    </row>
    <row r="16" spans="1:45" s="4" customFormat="1" ht="198" customHeight="1">
      <c r="B16" s="717"/>
      <c r="C16" s="180" t="s">
        <v>416</v>
      </c>
      <c r="D16" s="181">
        <v>1</v>
      </c>
      <c r="E16" s="182" t="s">
        <v>121</v>
      </c>
      <c r="F16" s="183" t="s">
        <v>114</v>
      </c>
      <c r="G16" s="184" t="s">
        <v>199</v>
      </c>
      <c r="H16" s="185" t="s">
        <v>116</v>
      </c>
      <c r="I16" s="186" t="s">
        <v>122</v>
      </c>
      <c r="J16" s="187" t="s">
        <v>541</v>
      </c>
      <c r="K16" s="358">
        <v>0</v>
      </c>
      <c r="L16" s="358">
        <v>1</v>
      </c>
      <c r="M16" s="358">
        <v>1</v>
      </c>
      <c r="N16" s="358">
        <v>1</v>
      </c>
      <c r="O16" s="358">
        <v>1</v>
      </c>
      <c r="P16" s="358">
        <v>1</v>
      </c>
      <c r="Q16" s="355">
        <f t="shared" si="0"/>
        <v>1</v>
      </c>
      <c r="R16" s="287">
        <f>IFERROR(IF(OR(AQ16="",AQ16=0),0,ROUNDDOWN(AVERAGE(L16,N16,P16),3)),0)</f>
        <v>1</v>
      </c>
      <c r="S16" s="358">
        <v>1</v>
      </c>
      <c r="T16" s="358">
        <v>1</v>
      </c>
      <c r="U16" s="358">
        <v>1</v>
      </c>
      <c r="V16" s="358">
        <v>1</v>
      </c>
      <c r="W16" s="358">
        <v>1</v>
      </c>
      <c r="X16" s="358">
        <v>1</v>
      </c>
      <c r="Y16" s="355">
        <f t="shared" si="1"/>
        <v>1</v>
      </c>
      <c r="Z16" s="287">
        <f>IFERROR(IF(OR($AQ16="",$AQ16=0),0,ROUNDDOWN(AVERAGE(T16,V16,X16),3)),0)</f>
        <v>1</v>
      </c>
      <c r="AA16" s="358">
        <v>1</v>
      </c>
      <c r="AB16" s="358">
        <v>1</v>
      </c>
      <c r="AC16" s="358">
        <v>1</v>
      </c>
      <c r="AD16" s="358">
        <v>1</v>
      </c>
      <c r="AE16" s="359">
        <v>1</v>
      </c>
      <c r="AF16" s="358">
        <v>1</v>
      </c>
      <c r="AG16" s="355">
        <f t="shared" si="3"/>
        <v>1</v>
      </c>
      <c r="AH16" s="287">
        <f t="shared" si="4"/>
        <v>1</v>
      </c>
      <c r="AI16" s="358">
        <v>1</v>
      </c>
      <c r="AJ16" s="358"/>
      <c r="AK16" s="358">
        <v>1</v>
      </c>
      <c r="AL16" s="358"/>
      <c r="AM16" s="358">
        <v>1</v>
      </c>
      <c r="AN16" s="358"/>
      <c r="AO16" s="355">
        <f t="shared" si="5"/>
        <v>1</v>
      </c>
      <c r="AP16" s="287">
        <f t="shared" si="6"/>
        <v>0</v>
      </c>
      <c r="AQ16" s="355">
        <f>(Q16+Y16+AG16+AO16)/4</f>
        <v>1</v>
      </c>
      <c r="AR16" s="179">
        <f>IFERROR(IF(OR(AQ16="",AQ16=0),0,ROUNDDOWN(AVERAGE(L16,N16,P16,T16,V16,X16,AB16,AD16,AF16,AJ16,AL16,AN16),3)),0)</f>
        <v>1</v>
      </c>
      <c r="AS16" s="20">
        <f>IF(AND(AR16&gt;0,AQ16&gt;0),AR16/AQ16,0)</f>
        <v>1</v>
      </c>
    </row>
    <row r="17" spans="2:45" s="4" customFormat="1" ht="190.5" customHeight="1">
      <c r="B17" s="718"/>
      <c r="C17" s="188" t="s">
        <v>417</v>
      </c>
      <c r="D17" s="181">
        <v>1</v>
      </c>
      <c r="E17" s="182" t="s">
        <v>123</v>
      </c>
      <c r="F17" s="183" t="s">
        <v>114</v>
      </c>
      <c r="G17" s="184" t="s">
        <v>199</v>
      </c>
      <c r="H17" s="185" t="s">
        <v>116</v>
      </c>
      <c r="I17" s="186" t="s">
        <v>124</v>
      </c>
      <c r="J17" s="187" t="s">
        <v>541</v>
      </c>
      <c r="K17" s="358">
        <v>0</v>
      </c>
      <c r="L17" s="358">
        <v>1</v>
      </c>
      <c r="M17" s="358">
        <v>1</v>
      </c>
      <c r="N17" s="358">
        <v>1</v>
      </c>
      <c r="O17" s="358">
        <v>1</v>
      </c>
      <c r="P17" s="358">
        <v>1</v>
      </c>
      <c r="Q17" s="355">
        <f t="shared" si="0"/>
        <v>1</v>
      </c>
      <c r="R17" s="287">
        <f>IFERROR(IF(OR(AQ17="",AQ17=0),0,ROUNDDOWN(AVERAGE(L17,N17,P17),3)),0)</f>
        <v>1</v>
      </c>
      <c r="S17" s="358">
        <v>1</v>
      </c>
      <c r="T17" s="358">
        <v>1</v>
      </c>
      <c r="U17" s="358">
        <v>1</v>
      </c>
      <c r="V17" s="358">
        <v>1</v>
      </c>
      <c r="W17" s="358">
        <v>1</v>
      </c>
      <c r="X17" s="358">
        <v>1</v>
      </c>
      <c r="Y17" s="355">
        <f t="shared" si="1"/>
        <v>1</v>
      </c>
      <c r="Z17" s="287">
        <f t="shared" si="2"/>
        <v>1</v>
      </c>
      <c r="AA17" s="358">
        <v>1</v>
      </c>
      <c r="AB17" s="358">
        <v>1</v>
      </c>
      <c r="AC17" s="358">
        <v>1</v>
      </c>
      <c r="AD17" s="358">
        <v>1</v>
      </c>
      <c r="AE17" s="359">
        <v>1</v>
      </c>
      <c r="AF17" s="358">
        <v>1</v>
      </c>
      <c r="AG17" s="355">
        <f t="shared" si="3"/>
        <v>1</v>
      </c>
      <c r="AH17" s="287">
        <f t="shared" si="4"/>
        <v>1</v>
      </c>
      <c r="AI17" s="358">
        <v>1</v>
      </c>
      <c r="AJ17" s="358"/>
      <c r="AK17" s="358">
        <v>1</v>
      </c>
      <c r="AL17" s="358"/>
      <c r="AM17" s="358">
        <v>1</v>
      </c>
      <c r="AN17" s="358"/>
      <c r="AO17" s="355">
        <f>(AI17+AK17+AM17)/3</f>
        <v>1</v>
      </c>
      <c r="AP17" s="287">
        <f t="shared" si="6"/>
        <v>0</v>
      </c>
      <c r="AQ17" s="355">
        <f>(Q17+Y17+AG17+AO17)/4</f>
        <v>1</v>
      </c>
      <c r="AR17" s="179">
        <f>IFERROR(IF(OR(AQ17="",AQ17=0),0,ROUNDDOWN(AVERAGE(L17,N17,P17,T17,V17,X17,AB17,AD17,AF17,AJ17,AL17,AN17),3)),0)</f>
        <v>1</v>
      </c>
      <c r="AS17" s="20">
        <f>IF(AND(AR17&gt;0,AQ17&gt;0),AR17/AQ17,0)</f>
        <v>1</v>
      </c>
    </row>
    <row r="18" spans="2:45" ht="23.25">
      <c r="B18" s="719" t="s">
        <v>23</v>
      </c>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1"/>
      <c r="AS18" s="360">
        <f>AVERAGE(AS13:AS17)</f>
        <v>1</v>
      </c>
    </row>
    <row r="19" spans="2:45" ht="17.25">
      <c r="B19" s="6"/>
      <c r="C19" s="6"/>
      <c r="D19" s="12"/>
      <c r="E19" s="6"/>
      <c r="F19" s="6"/>
      <c r="G19" s="6"/>
      <c r="H19" s="6"/>
      <c r="I19" s="6"/>
      <c r="J19" s="7"/>
    </row>
    <row r="20" spans="2:45" ht="30.75" customHeight="1">
      <c r="B20" s="58" t="s">
        <v>4</v>
      </c>
      <c r="C20" s="735" t="s">
        <v>125</v>
      </c>
      <c r="D20" s="736"/>
      <c r="E20" s="736"/>
      <c r="F20" s="736"/>
      <c r="G20" s="736"/>
      <c r="H20" s="736"/>
      <c r="I20" s="736"/>
      <c r="J20" s="737"/>
    </row>
    <row r="21" spans="2:45" ht="17.25">
      <c r="B21" s="6"/>
      <c r="C21" s="676"/>
      <c r="D21" s="676"/>
      <c r="E21" s="676"/>
      <c r="F21" s="676"/>
      <c r="G21" s="676"/>
      <c r="H21" s="676"/>
      <c r="I21" s="676"/>
      <c r="J21" s="676"/>
    </row>
    <row r="22" spans="2:45" ht="45.75" customHeight="1">
      <c r="B22" s="59" t="s">
        <v>32</v>
      </c>
      <c r="C22" s="683" t="s">
        <v>900</v>
      </c>
      <c r="D22" s="684"/>
      <c r="E22" s="6"/>
      <c r="F22" s="6"/>
      <c r="G22" s="57" t="s">
        <v>22</v>
      </c>
      <c r="H22" s="730" t="s">
        <v>126</v>
      </c>
      <c r="I22" s="731"/>
      <c r="J22" s="731"/>
    </row>
    <row r="23" spans="2:45" ht="13.5" customHeight="1">
      <c r="B23" s="6"/>
      <c r="C23" s="6"/>
      <c r="D23" s="12"/>
      <c r="E23" s="6"/>
      <c r="F23" s="6"/>
      <c r="G23" s="6"/>
      <c r="H23" s="6"/>
      <c r="I23" s="6"/>
      <c r="J23" s="7"/>
    </row>
    <row r="24" spans="2:45" ht="15" customHeight="1">
      <c r="B24" s="6"/>
      <c r="C24" s="6"/>
      <c r="D24" s="12"/>
      <c r="E24" s="6"/>
      <c r="F24" s="6"/>
      <c r="G24" s="6"/>
      <c r="H24" s="6"/>
      <c r="I24" s="6"/>
      <c r="J24" s="7"/>
    </row>
    <row r="25" spans="2:45" ht="17.25">
      <c r="B25" s="6"/>
      <c r="C25" s="6"/>
      <c r="D25" s="12"/>
      <c r="E25" s="6"/>
      <c r="F25" s="6"/>
      <c r="G25" s="6"/>
      <c r="H25" s="6"/>
      <c r="I25" s="6"/>
      <c r="J25" s="7"/>
    </row>
    <row r="26" spans="2:45" ht="15" customHeight="1">
      <c r="B26" s="6"/>
      <c r="C26" s="6"/>
      <c r="D26" s="12"/>
      <c r="E26" s="687"/>
      <c r="F26" s="687"/>
      <c r="G26" s="687"/>
      <c r="H26" s="687"/>
      <c r="I26" s="16"/>
      <c r="J26" s="6"/>
    </row>
    <row r="27" spans="2:45" ht="15" customHeight="1">
      <c r="B27" s="6"/>
      <c r="C27" s="6"/>
      <c r="D27" s="12"/>
      <c r="E27" s="6"/>
      <c r="F27" s="6"/>
      <c r="G27" s="7"/>
      <c r="H27" s="6"/>
      <c r="I27" s="6"/>
      <c r="J27" s="6"/>
    </row>
    <row r="28" spans="2:45" ht="15" customHeight="1">
      <c r="B28" s="6"/>
      <c r="C28" s="6"/>
      <c r="D28" s="12"/>
      <c r="E28" s="687"/>
      <c r="F28" s="687"/>
      <c r="G28" s="687"/>
      <c r="H28" s="687"/>
      <c r="I28" s="16"/>
      <c r="J28" s="6"/>
    </row>
    <row r="29" spans="2:45" ht="15" customHeight="1">
      <c r="B29" s="6"/>
      <c r="C29" s="6"/>
      <c r="D29" s="12"/>
      <c r="E29" s="6"/>
      <c r="F29" s="6"/>
      <c r="G29" s="7"/>
      <c r="H29" s="6"/>
      <c r="I29" s="6"/>
      <c r="J29" s="6"/>
    </row>
    <row r="30" spans="2:45" ht="15" customHeight="1">
      <c r="B30" s="6"/>
      <c r="C30" s="6"/>
      <c r="D30" s="12"/>
      <c r="E30" s="687"/>
      <c r="F30" s="687"/>
      <c r="G30" s="687"/>
      <c r="H30" s="687"/>
      <c r="I30" s="16"/>
      <c r="J30" s="6"/>
    </row>
  </sheetData>
  <sheetProtection algorithmName="SHA-512" hashValue="aiFmARsBPpQWbt/Afh9CU67hymwRRX7d3bd0JqRzK70osRSO1KALwNj75Jh7jeR4Uso9HDi214VBRnwjfBvOPA==" saltValue="CnIvXjRSAwqh/0jc8H2nVg==" spinCount="100000" sheet="1" objects="1" scenarios="1"/>
  <dataConsolidate/>
  <mergeCells count="49">
    <mergeCell ref="AA11:AB11"/>
    <mergeCell ref="G9:G12"/>
    <mergeCell ref="H9:H12"/>
    <mergeCell ref="J9:J12"/>
    <mergeCell ref="I9:I12"/>
    <mergeCell ref="U11:V11"/>
    <mergeCell ref="K11:L11"/>
    <mergeCell ref="M11:N11"/>
    <mergeCell ref="O11:P11"/>
    <mergeCell ref="W11:X11"/>
    <mergeCell ref="Y11:Z11"/>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E30:H30"/>
    <mergeCell ref="C21:J21"/>
    <mergeCell ref="H22:J22"/>
    <mergeCell ref="E26:H26"/>
    <mergeCell ref="E28:H28"/>
    <mergeCell ref="C22:D22"/>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s>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B1:AT47"/>
  <sheetViews>
    <sheetView showGridLines="0" topLeftCell="A7" zoomScale="55" zoomScaleNormal="55" workbookViewId="0">
      <selection activeCell="T13" sqref="T13"/>
    </sheetView>
  </sheetViews>
  <sheetFormatPr baseColWidth="10" defaultColWidth="17.28515625" defaultRowHeight="15" customHeight="1"/>
  <cols>
    <col min="1" max="1" width="6.7109375" style="4" customWidth="1"/>
    <col min="2" max="3" width="35.7109375" style="8" customWidth="1"/>
    <col min="4" max="4" width="20.7109375" style="13" customWidth="1"/>
    <col min="5" max="5" width="25.7109375" style="8" customWidth="1"/>
    <col min="6" max="6" width="56.5703125" style="8" customWidth="1"/>
    <col min="7" max="7" width="31.28515625" style="8" customWidth="1"/>
    <col min="8" max="8" width="35.7109375" style="8" customWidth="1"/>
    <col min="9" max="9" width="65.42578125" style="8" customWidth="1"/>
    <col min="10" max="10" width="50.7109375" style="10" customWidth="1"/>
    <col min="11" max="11" width="18" style="4" customWidth="1"/>
    <col min="12" max="12" width="17.42578125" style="4" customWidth="1"/>
    <col min="13" max="16" width="17.42578125" style="4" bestFit="1" customWidth="1"/>
    <col min="17" max="17" width="19" style="4" bestFit="1" customWidth="1"/>
    <col min="18" max="19" width="17.42578125" style="4" bestFit="1" customWidth="1"/>
    <col min="20" max="20" width="17.28515625" style="4"/>
    <col min="21" max="21" width="17.42578125" style="4" bestFit="1" customWidth="1"/>
    <col min="22" max="22" width="17.42578125" style="4" customWidth="1"/>
    <col min="23" max="23" width="17.42578125" style="4" bestFit="1" customWidth="1"/>
    <col min="24" max="24" width="17.28515625" style="4"/>
    <col min="25" max="25" width="19" style="4" bestFit="1" customWidth="1"/>
    <col min="26" max="26" width="17.42578125" style="4" bestFit="1" customWidth="1"/>
    <col min="27" max="27" width="18.5703125" style="4" customWidth="1"/>
    <col min="28" max="28" width="17.28515625" style="4" customWidth="1"/>
    <col min="29" max="31" width="17.42578125" style="4" customWidth="1"/>
    <col min="32" max="32" width="17.28515625" style="4" customWidth="1"/>
    <col min="33" max="33" width="19" style="4" customWidth="1"/>
    <col min="34" max="42" width="17.42578125" style="4" customWidth="1"/>
    <col min="43" max="43" width="24.28515625" style="4" customWidth="1"/>
    <col min="44" max="44" width="22.140625" style="4" customWidth="1"/>
    <col min="45" max="45" width="24.28515625" style="4" customWidth="1"/>
    <col min="46" max="16384" width="17.28515625" style="4"/>
  </cols>
  <sheetData>
    <row r="1" spans="2:46" ht="18" thickBot="1"/>
    <row r="2" spans="2:46"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6" ht="15.75">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2:46">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6" ht="15.75">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2:46"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6" ht="17.25">
      <c r="B7" s="5"/>
      <c r="C7" s="5"/>
      <c r="D7" s="11"/>
      <c r="E7" s="5"/>
      <c r="F7" s="5"/>
      <c r="G7" s="5"/>
      <c r="H7" s="5"/>
      <c r="I7" s="5"/>
      <c r="J7" s="9"/>
      <c r="AR7" s="738"/>
      <c r="AS7" s="739"/>
    </row>
    <row r="8" spans="2:46" ht="13.5">
      <c r="B8" s="17"/>
      <c r="C8" s="18"/>
      <c r="D8" s="18"/>
      <c r="E8" s="18"/>
      <c r="F8" s="18"/>
      <c r="G8" s="18"/>
      <c r="H8" s="18"/>
      <c r="I8" s="18"/>
      <c r="J8" s="62"/>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6" ht="15.75">
      <c r="B9" s="724" t="s">
        <v>35</v>
      </c>
      <c r="C9" s="724" t="s">
        <v>34</v>
      </c>
      <c r="D9" s="724" t="s">
        <v>0</v>
      </c>
      <c r="E9" s="724" t="s">
        <v>127</v>
      </c>
      <c r="F9" s="724" t="s">
        <v>128</v>
      </c>
      <c r="G9" s="742" t="s">
        <v>129</v>
      </c>
      <c r="H9" s="724" t="s">
        <v>25</v>
      </c>
      <c r="I9" s="724" t="s">
        <v>1</v>
      </c>
      <c r="J9" s="743"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44" t="s">
        <v>6</v>
      </c>
      <c r="AR9" s="745" t="s">
        <v>7</v>
      </c>
      <c r="AS9" s="745" t="s">
        <v>24</v>
      </c>
    </row>
    <row r="10" spans="2:46" ht="15.75">
      <c r="B10" s="724"/>
      <c r="C10" s="724"/>
      <c r="D10" s="724"/>
      <c r="E10" s="724"/>
      <c r="F10" s="724"/>
      <c r="G10" s="724"/>
      <c r="H10" s="724"/>
      <c r="I10" s="724"/>
      <c r="J10" s="743"/>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44"/>
      <c r="AR10" s="745"/>
      <c r="AS10" s="745"/>
    </row>
    <row r="11" spans="2:46" ht="15.75">
      <c r="B11" s="724"/>
      <c r="C11" s="724"/>
      <c r="D11" s="724"/>
      <c r="E11" s="724"/>
      <c r="F11" s="724"/>
      <c r="G11" s="724"/>
      <c r="H11" s="724"/>
      <c r="I11" s="724"/>
      <c r="J11" s="743"/>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44"/>
      <c r="AR11" s="745"/>
      <c r="AS11" s="745"/>
    </row>
    <row r="12" spans="2:46" ht="15.75">
      <c r="B12" s="627"/>
      <c r="C12" s="627"/>
      <c r="D12" s="627"/>
      <c r="E12" s="627"/>
      <c r="F12" s="627"/>
      <c r="G12" s="627"/>
      <c r="H12" s="627"/>
      <c r="I12" s="627"/>
      <c r="J12" s="743"/>
      <c r="K12" s="14" t="s">
        <v>20</v>
      </c>
      <c r="L12" s="15" t="s">
        <v>21</v>
      </c>
      <c r="M12" s="14" t="s">
        <v>20</v>
      </c>
      <c r="N12" s="15" t="s">
        <v>21</v>
      </c>
      <c r="O12" s="14" t="s">
        <v>20</v>
      </c>
      <c r="P12" s="15" t="s">
        <v>21</v>
      </c>
      <c r="Q12" s="63" t="s">
        <v>20</v>
      </c>
      <c r="R12" s="64" t="s">
        <v>21</v>
      </c>
      <c r="S12" s="14" t="s">
        <v>20</v>
      </c>
      <c r="T12" s="15" t="s">
        <v>21</v>
      </c>
      <c r="U12" s="14" t="s">
        <v>20</v>
      </c>
      <c r="V12" s="15" t="s">
        <v>21</v>
      </c>
      <c r="W12" s="14" t="s">
        <v>20</v>
      </c>
      <c r="X12" s="15" t="s">
        <v>21</v>
      </c>
      <c r="Y12" s="63" t="s">
        <v>20</v>
      </c>
      <c r="Z12" s="64" t="s">
        <v>21</v>
      </c>
      <c r="AA12" s="14" t="s">
        <v>20</v>
      </c>
      <c r="AB12" s="15" t="s">
        <v>21</v>
      </c>
      <c r="AC12" s="14" t="s">
        <v>20</v>
      </c>
      <c r="AD12" s="15" t="s">
        <v>21</v>
      </c>
      <c r="AE12" s="14" t="s">
        <v>20</v>
      </c>
      <c r="AF12" s="15" t="s">
        <v>21</v>
      </c>
      <c r="AG12" s="63" t="s">
        <v>20</v>
      </c>
      <c r="AH12" s="64" t="s">
        <v>21</v>
      </c>
      <c r="AI12" s="14" t="s">
        <v>20</v>
      </c>
      <c r="AJ12" s="15" t="s">
        <v>21</v>
      </c>
      <c r="AK12" s="14" t="s">
        <v>20</v>
      </c>
      <c r="AL12" s="15" t="s">
        <v>21</v>
      </c>
      <c r="AM12" s="14" t="s">
        <v>20</v>
      </c>
      <c r="AN12" s="15" t="s">
        <v>21</v>
      </c>
      <c r="AO12" s="63" t="s">
        <v>20</v>
      </c>
      <c r="AP12" s="64" t="s">
        <v>21</v>
      </c>
      <c r="AQ12" s="744"/>
      <c r="AR12" s="745"/>
      <c r="AS12" s="745"/>
    </row>
    <row r="13" spans="2:46" ht="165" customHeight="1">
      <c r="B13" s="746" t="s">
        <v>288</v>
      </c>
      <c r="C13" s="752" t="s">
        <v>418</v>
      </c>
      <c r="D13" s="516">
        <v>106</v>
      </c>
      <c r="E13" s="517" t="s">
        <v>186</v>
      </c>
      <c r="F13" s="517" t="s">
        <v>130</v>
      </c>
      <c r="G13" s="518">
        <v>123</v>
      </c>
      <c r="H13" s="517" t="s">
        <v>802</v>
      </c>
      <c r="I13" s="192" t="s">
        <v>131</v>
      </c>
      <c r="J13" s="519" t="s">
        <v>533</v>
      </c>
      <c r="K13" s="202">
        <v>1</v>
      </c>
      <c r="L13" s="202">
        <v>1</v>
      </c>
      <c r="M13" s="202">
        <v>1</v>
      </c>
      <c r="N13" s="202">
        <v>4</v>
      </c>
      <c r="O13" s="202">
        <v>10</v>
      </c>
      <c r="P13" s="202">
        <v>6</v>
      </c>
      <c r="Q13" s="65">
        <f>K13+M13+O13</f>
        <v>12</v>
      </c>
      <c r="R13" s="65">
        <f>L13+N13+P13</f>
        <v>11</v>
      </c>
      <c r="S13" s="541">
        <v>16</v>
      </c>
      <c r="T13" s="541">
        <v>9</v>
      </c>
      <c r="U13" s="541">
        <v>16</v>
      </c>
      <c r="V13" s="541">
        <v>19</v>
      </c>
      <c r="W13" s="541">
        <v>9</v>
      </c>
      <c r="X13" s="541">
        <v>16</v>
      </c>
      <c r="Y13" s="65">
        <f>S13+U13+W13</f>
        <v>41</v>
      </c>
      <c r="Z13" s="65">
        <f>T13+V13+X13</f>
        <v>44</v>
      </c>
      <c r="AA13" s="541">
        <v>12</v>
      </c>
      <c r="AB13" s="541">
        <v>10</v>
      </c>
      <c r="AC13" s="541">
        <v>12</v>
      </c>
      <c r="AD13" s="541">
        <v>13</v>
      </c>
      <c r="AE13" s="541">
        <v>9</v>
      </c>
      <c r="AF13" s="541">
        <v>14</v>
      </c>
      <c r="AG13" s="65">
        <f>AA13+AC13+AE13</f>
        <v>33</v>
      </c>
      <c r="AH13" s="65">
        <f>AB13+AD13+AF13</f>
        <v>37</v>
      </c>
      <c r="AI13" s="541">
        <v>15</v>
      </c>
      <c r="AJ13" s="541"/>
      <c r="AK13" s="541">
        <v>4</v>
      </c>
      <c r="AL13" s="541"/>
      <c r="AM13" s="541">
        <v>1</v>
      </c>
      <c r="AN13" s="541"/>
      <c r="AO13" s="65">
        <f>AI13+AK13+AM13</f>
        <v>20</v>
      </c>
      <c r="AP13" s="65">
        <f>AJ13+AL13+AN13</f>
        <v>0</v>
      </c>
      <c r="AQ13" s="21">
        <f>Q13+Y13+AG13+AO13</f>
        <v>106</v>
      </c>
      <c r="AR13" s="69">
        <f>R13+Z13+AH13+AP13</f>
        <v>92</v>
      </c>
      <c r="AS13" s="289">
        <f t="shared" ref="AS13:AS20" si="0">IF(AND(AR13&gt;0,AQ13&gt;0),AR13/AQ13,0)</f>
        <v>0.86792452830188682</v>
      </c>
    </row>
    <row r="14" spans="2:46" ht="165" customHeight="1">
      <c r="B14" s="747"/>
      <c r="C14" s="753"/>
      <c r="D14" s="520">
        <v>384354</v>
      </c>
      <c r="E14" s="521" t="s">
        <v>192</v>
      </c>
      <c r="F14" s="518" t="s">
        <v>152</v>
      </c>
      <c r="G14" s="522">
        <v>145655</v>
      </c>
      <c r="H14" s="521" t="s">
        <v>803</v>
      </c>
      <c r="I14" s="192" t="s">
        <v>153</v>
      </c>
      <c r="J14" s="519" t="s">
        <v>533</v>
      </c>
      <c r="K14" s="203">
        <v>0</v>
      </c>
      <c r="L14" s="203">
        <v>3340</v>
      </c>
      <c r="M14" s="203">
        <v>0</v>
      </c>
      <c r="N14" s="203">
        <v>10007</v>
      </c>
      <c r="O14" s="203">
        <v>10264</v>
      </c>
      <c r="P14" s="203">
        <v>10021</v>
      </c>
      <c r="Q14" s="67">
        <f>K14+M14+O14</f>
        <v>10264</v>
      </c>
      <c r="R14" s="67">
        <f>L14+N14+P14</f>
        <v>23368</v>
      </c>
      <c r="S14" s="515">
        <v>20603</v>
      </c>
      <c r="T14" s="515">
        <v>59409</v>
      </c>
      <c r="U14" s="515">
        <v>20603</v>
      </c>
      <c r="V14" s="515">
        <v>83502</v>
      </c>
      <c r="W14" s="515">
        <v>20603</v>
      </c>
      <c r="X14" s="515">
        <v>65886</v>
      </c>
      <c r="Y14" s="67">
        <f>S14+U14+W14</f>
        <v>61809</v>
      </c>
      <c r="Z14" s="67">
        <f>T14+V14+X14</f>
        <v>208797</v>
      </c>
      <c r="AA14" s="515">
        <v>67675</v>
      </c>
      <c r="AB14" s="515">
        <v>44777</v>
      </c>
      <c r="AC14" s="515">
        <v>57614</v>
      </c>
      <c r="AD14" s="515">
        <v>65493</v>
      </c>
      <c r="AE14" s="515">
        <v>57932</v>
      </c>
      <c r="AF14" s="515">
        <v>33367</v>
      </c>
      <c r="AG14" s="67">
        <f>AA14+AC14+AE14</f>
        <v>183221</v>
      </c>
      <c r="AH14" s="67">
        <f>AB14+AD14+AF14</f>
        <v>143637</v>
      </c>
      <c r="AI14" s="515">
        <v>57868</v>
      </c>
      <c r="AJ14" s="515"/>
      <c r="AK14" s="515">
        <v>57867</v>
      </c>
      <c r="AL14" s="515"/>
      <c r="AM14" s="515">
        <v>13325</v>
      </c>
      <c r="AN14" s="515"/>
      <c r="AO14" s="67">
        <f>AI14+AK14+AM14</f>
        <v>129060</v>
      </c>
      <c r="AP14" s="67">
        <f>AJ14+AL14+AN14</f>
        <v>0</v>
      </c>
      <c r="AQ14" s="19">
        <f>Q14+Y14+AG14+AO14</f>
        <v>384354</v>
      </c>
      <c r="AR14" s="70">
        <f>R14+Z14+AH14+AP14</f>
        <v>375802</v>
      </c>
      <c r="AS14" s="289">
        <f t="shared" si="0"/>
        <v>0.97774967868163198</v>
      </c>
    </row>
    <row r="15" spans="2:46" ht="116.25" customHeight="1">
      <c r="B15" s="748"/>
      <c r="C15" s="751" t="s">
        <v>419</v>
      </c>
      <c r="D15" s="516">
        <v>112505</v>
      </c>
      <c r="E15" s="517" t="s">
        <v>187</v>
      </c>
      <c r="F15" s="517" t="s">
        <v>132</v>
      </c>
      <c r="G15" s="523">
        <v>72574</v>
      </c>
      <c r="H15" s="517" t="s">
        <v>804</v>
      </c>
      <c r="I15" s="192" t="s">
        <v>133</v>
      </c>
      <c r="J15" s="524" t="s">
        <v>537</v>
      </c>
      <c r="K15" s="202">
        <v>9950</v>
      </c>
      <c r="L15" s="476">
        <v>13652</v>
      </c>
      <c r="M15" s="202">
        <v>11450</v>
      </c>
      <c r="N15" s="202">
        <v>14363</v>
      </c>
      <c r="O15" s="202">
        <v>11950</v>
      </c>
      <c r="P15" s="202">
        <v>6492</v>
      </c>
      <c r="Q15" s="65">
        <f t="shared" ref="Q15:R30" si="1">K15+M15+O15</f>
        <v>33350</v>
      </c>
      <c r="R15" s="65">
        <f t="shared" si="1"/>
        <v>34507</v>
      </c>
      <c r="S15" s="541">
        <v>7875</v>
      </c>
      <c r="T15" s="541">
        <v>9600</v>
      </c>
      <c r="U15" s="541">
        <v>8365</v>
      </c>
      <c r="V15" s="541">
        <v>10509</v>
      </c>
      <c r="W15" s="541">
        <v>8120</v>
      </c>
      <c r="X15" s="541">
        <v>11581</v>
      </c>
      <c r="Y15" s="65">
        <f t="shared" ref="Y15:Z30" si="2">S15+U15+W15</f>
        <v>24360</v>
      </c>
      <c r="Z15" s="65">
        <f t="shared" si="2"/>
        <v>31690</v>
      </c>
      <c r="AA15" s="541">
        <v>8355</v>
      </c>
      <c r="AB15" s="541">
        <v>11239</v>
      </c>
      <c r="AC15" s="541">
        <v>8305</v>
      </c>
      <c r="AD15" s="541">
        <v>8519</v>
      </c>
      <c r="AE15" s="541">
        <v>8305</v>
      </c>
      <c r="AF15" s="541">
        <v>11116</v>
      </c>
      <c r="AG15" s="65">
        <f t="shared" ref="AG15:AH30" si="3">AA15+AC15+AE15</f>
        <v>24965</v>
      </c>
      <c r="AH15" s="65">
        <f t="shared" si="3"/>
        <v>30874</v>
      </c>
      <c r="AI15" s="541">
        <v>10316</v>
      </c>
      <c r="AJ15" s="541"/>
      <c r="AK15" s="541">
        <v>9967</v>
      </c>
      <c r="AL15" s="541"/>
      <c r="AM15" s="541">
        <v>9547</v>
      </c>
      <c r="AN15" s="541"/>
      <c r="AO15" s="65">
        <f t="shared" ref="AO15:AP26" si="4">AI15+AK15+AM15</f>
        <v>29830</v>
      </c>
      <c r="AP15" s="65">
        <f t="shared" si="4"/>
        <v>0</v>
      </c>
      <c r="AQ15" s="21">
        <f t="shared" ref="AQ15:AR26" si="5">Q15+Y15+AG15+AO15</f>
        <v>112505</v>
      </c>
      <c r="AR15" s="69">
        <f t="shared" si="5"/>
        <v>97071</v>
      </c>
      <c r="AS15" s="289">
        <f t="shared" si="0"/>
        <v>0.86281498600062223</v>
      </c>
      <c r="AT15" s="66"/>
    </row>
    <row r="16" spans="2:46" ht="101.25" customHeight="1">
      <c r="B16" s="747"/>
      <c r="C16" s="608"/>
      <c r="D16" s="516">
        <v>240</v>
      </c>
      <c r="E16" s="517" t="s">
        <v>187</v>
      </c>
      <c r="F16" s="517" t="s">
        <v>132</v>
      </c>
      <c r="G16" s="523">
        <v>363</v>
      </c>
      <c r="H16" s="517" t="s">
        <v>805</v>
      </c>
      <c r="I16" s="192" t="s">
        <v>133</v>
      </c>
      <c r="J16" s="525" t="s">
        <v>536</v>
      </c>
      <c r="K16" s="130">
        <v>25</v>
      </c>
      <c r="L16" s="130">
        <v>31</v>
      </c>
      <c r="M16" s="130">
        <v>25</v>
      </c>
      <c r="N16" s="130">
        <v>37</v>
      </c>
      <c r="O16" s="130">
        <v>40</v>
      </c>
      <c r="P16" s="130">
        <v>20</v>
      </c>
      <c r="Q16" s="67">
        <f t="shared" si="1"/>
        <v>90</v>
      </c>
      <c r="R16" s="67">
        <f t="shared" si="1"/>
        <v>88</v>
      </c>
      <c r="S16" s="167">
        <v>1</v>
      </c>
      <c r="T16" s="167">
        <v>3</v>
      </c>
      <c r="U16" s="167">
        <v>3</v>
      </c>
      <c r="V16" s="167">
        <v>40</v>
      </c>
      <c r="W16" s="167">
        <v>25</v>
      </c>
      <c r="X16" s="167">
        <v>26</v>
      </c>
      <c r="Y16" s="67">
        <f t="shared" si="2"/>
        <v>29</v>
      </c>
      <c r="Z16" s="67">
        <f t="shared" si="2"/>
        <v>69</v>
      </c>
      <c r="AA16" s="167">
        <v>18</v>
      </c>
      <c r="AB16" s="167">
        <v>18</v>
      </c>
      <c r="AC16" s="167">
        <v>22</v>
      </c>
      <c r="AD16" s="167">
        <v>22</v>
      </c>
      <c r="AE16" s="167">
        <v>20</v>
      </c>
      <c r="AF16" s="167">
        <v>41</v>
      </c>
      <c r="AG16" s="67">
        <f t="shared" si="3"/>
        <v>60</v>
      </c>
      <c r="AH16" s="67">
        <f t="shared" si="3"/>
        <v>81</v>
      </c>
      <c r="AI16" s="167">
        <v>21</v>
      </c>
      <c r="AJ16" s="167"/>
      <c r="AK16" s="167">
        <v>20</v>
      </c>
      <c r="AL16" s="167"/>
      <c r="AM16" s="167">
        <v>20</v>
      </c>
      <c r="AN16" s="167"/>
      <c r="AO16" s="65">
        <f>AI16+AK16+AM16</f>
        <v>61</v>
      </c>
      <c r="AP16" s="65">
        <f>AJ16+AL16+AN16</f>
        <v>0</v>
      </c>
      <c r="AQ16" s="21">
        <f>Q16+Y16+AG16+AO16</f>
        <v>240</v>
      </c>
      <c r="AR16" s="69">
        <f>R16+Z16+AH16+AP16</f>
        <v>238</v>
      </c>
      <c r="AS16" s="289">
        <f t="shared" si="0"/>
        <v>0.9916666666666667</v>
      </c>
      <c r="AT16" s="66"/>
    </row>
    <row r="17" spans="2:46" ht="135">
      <c r="B17" s="748"/>
      <c r="C17" s="608"/>
      <c r="D17" s="516">
        <v>4256</v>
      </c>
      <c r="E17" s="517" t="s">
        <v>188</v>
      </c>
      <c r="F17" s="517" t="s">
        <v>134</v>
      </c>
      <c r="G17" s="523">
        <v>13535</v>
      </c>
      <c r="H17" s="517" t="s">
        <v>806</v>
      </c>
      <c r="I17" s="192" t="s">
        <v>135</v>
      </c>
      <c r="J17" s="524" t="s">
        <v>538</v>
      </c>
      <c r="K17" s="203">
        <v>660</v>
      </c>
      <c r="L17" s="203">
        <v>482</v>
      </c>
      <c r="M17" s="203">
        <v>860</v>
      </c>
      <c r="N17" s="203">
        <v>839</v>
      </c>
      <c r="O17" s="203">
        <v>860</v>
      </c>
      <c r="P17" s="203">
        <v>594</v>
      </c>
      <c r="Q17" s="65">
        <f t="shared" si="1"/>
        <v>2380</v>
      </c>
      <c r="R17" s="65">
        <f t="shared" si="1"/>
        <v>1915</v>
      </c>
      <c r="S17" s="515">
        <v>532</v>
      </c>
      <c r="T17" s="515">
        <v>199</v>
      </c>
      <c r="U17" s="515">
        <v>672</v>
      </c>
      <c r="V17" s="515">
        <v>128</v>
      </c>
      <c r="W17" s="515">
        <v>672</v>
      </c>
      <c r="X17" s="515">
        <v>150</v>
      </c>
      <c r="Y17" s="65">
        <f t="shared" si="2"/>
        <v>1876</v>
      </c>
      <c r="Z17" s="65">
        <f t="shared" si="2"/>
        <v>477</v>
      </c>
      <c r="AA17" s="515">
        <v>0</v>
      </c>
      <c r="AB17" s="515">
        <v>308</v>
      </c>
      <c r="AC17" s="515">
        <v>0</v>
      </c>
      <c r="AD17" s="515">
        <v>271</v>
      </c>
      <c r="AE17" s="515">
        <v>0</v>
      </c>
      <c r="AF17" s="515">
        <v>376</v>
      </c>
      <c r="AG17" s="65">
        <f t="shared" si="3"/>
        <v>0</v>
      </c>
      <c r="AH17" s="65">
        <f t="shared" si="3"/>
        <v>955</v>
      </c>
      <c r="AI17" s="515">
        <v>0</v>
      </c>
      <c r="AJ17" s="515"/>
      <c r="AK17" s="515">
        <v>0</v>
      </c>
      <c r="AL17" s="515"/>
      <c r="AM17" s="515">
        <v>0</v>
      </c>
      <c r="AN17" s="515"/>
      <c r="AO17" s="65">
        <f t="shared" si="4"/>
        <v>0</v>
      </c>
      <c r="AP17" s="65">
        <f t="shared" si="4"/>
        <v>0</v>
      </c>
      <c r="AQ17" s="19">
        <f t="shared" si="5"/>
        <v>4256</v>
      </c>
      <c r="AR17" s="70">
        <f t="shared" si="5"/>
        <v>3347</v>
      </c>
      <c r="AS17" s="289">
        <f t="shared" si="0"/>
        <v>0.78641917293233088</v>
      </c>
    </row>
    <row r="18" spans="2:46" ht="120">
      <c r="B18" s="748"/>
      <c r="C18" s="608"/>
      <c r="D18" s="516">
        <v>84525</v>
      </c>
      <c r="E18" s="517" t="s">
        <v>155</v>
      </c>
      <c r="F18" s="517" t="s">
        <v>136</v>
      </c>
      <c r="G18" s="523">
        <v>123426</v>
      </c>
      <c r="H18" s="517" t="s">
        <v>807</v>
      </c>
      <c r="I18" s="192" t="s">
        <v>137</v>
      </c>
      <c r="J18" s="519" t="s">
        <v>785</v>
      </c>
      <c r="K18" s="203">
        <v>7054</v>
      </c>
      <c r="L18" s="203">
        <v>7534</v>
      </c>
      <c r="M18" s="203">
        <v>9905</v>
      </c>
      <c r="N18" s="203">
        <v>10151</v>
      </c>
      <c r="O18" s="203">
        <v>10370</v>
      </c>
      <c r="P18" s="203">
        <v>7607</v>
      </c>
      <c r="Q18" s="65">
        <f t="shared" si="1"/>
        <v>27329</v>
      </c>
      <c r="R18" s="65">
        <f t="shared" si="1"/>
        <v>25292</v>
      </c>
      <c r="S18" s="515">
        <v>7190</v>
      </c>
      <c r="T18" s="515">
        <v>4960</v>
      </c>
      <c r="U18" s="515">
        <v>8115</v>
      </c>
      <c r="V18" s="515">
        <v>6670</v>
      </c>
      <c r="W18" s="515">
        <v>8185</v>
      </c>
      <c r="X18" s="515">
        <v>6988</v>
      </c>
      <c r="Y18" s="65">
        <f t="shared" si="2"/>
        <v>23490</v>
      </c>
      <c r="Z18" s="65">
        <f t="shared" si="2"/>
        <v>18618</v>
      </c>
      <c r="AA18" s="515">
        <v>6229</v>
      </c>
      <c r="AB18" s="515">
        <v>7866</v>
      </c>
      <c r="AC18" s="515">
        <v>6264</v>
      </c>
      <c r="AD18" s="515">
        <v>6400</v>
      </c>
      <c r="AE18" s="515">
        <v>5922</v>
      </c>
      <c r="AF18" s="515">
        <v>7729</v>
      </c>
      <c r="AG18" s="65">
        <f t="shared" si="3"/>
        <v>18415</v>
      </c>
      <c r="AH18" s="65">
        <f t="shared" si="3"/>
        <v>21995</v>
      </c>
      <c r="AI18" s="515">
        <v>5332</v>
      </c>
      <c r="AJ18" s="515"/>
      <c r="AK18" s="515">
        <v>5332</v>
      </c>
      <c r="AL18" s="515"/>
      <c r="AM18" s="515">
        <v>4627</v>
      </c>
      <c r="AN18" s="515"/>
      <c r="AO18" s="65">
        <f t="shared" si="4"/>
        <v>15291</v>
      </c>
      <c r="AP18" s="65">
        <f t="shared" si="4"/>
        <v>0</v>
      </c>
      <c r="AQ18" s="19">
        <f t="shared" si="5"/>
        <v>84525</v>
      </c>
      <c r="AR18" s="70">
        <f t="shared" si="5"/>
        <v>65905</v>
      </c>
      <c r="AS18" s="289">
        <f t="shared" si="0"/>
        <v>0.77971014492753621</v>
      </c>
      <c r="AT18" s="66"/>
    </row>
    <row r="19" spans="2:46" ht="120">
      <c r="B19" s="748"/>
      <c r="C19" s="608"/>
      <c r="D19" s="516">
        <v>21500</v>
      </c>
      <c r="E19" s="192" t="s">
        <v>155</v>
      </c>
      <c r="F19" s="192" t="s">
        <v>136</v>
      </c>
      <c r="G19" s="526">
        <v>34000</v>
      </c>
      <c r="H19" s="527" t="s">
        <v>788</v>
      </c>
      <c r="I19" s="192" t="s">
        <v>137</v>
      </c>
      <c r="J19" s="528" t="s">
        <v>535</v>
      </c>
      <c r="K19" s="130">
        <v>2500</v>
      </c>
      <c r="L19" s="130">
        <v>2055</v>
      </c>
      <c r="M19" s="130">
        <v>3000</v>
      </c>
      <c r="N19" s="130">
        <v>2930</v>
      </c>
      <c r="O19" s="130">
        <v>3000</v>
      </c>
      <c r="P19" s="130">
        <v>2362</v>
      </c>
      <c r="Q19" s="65">
        <f>K19+M19+O19</f>
        <v>8500</v>
      </c>
      <c r="R19" s="65">
        <f>L19+N19+P19</f>
        <v>7347</v>
      </c>
      <c r="S19" s="167">
        <v>1400</v>
      </c>
      <c r="T19" s="263">
        <v>1384</v>
      </c>
      <c r="U19" s="263">
        <v>1500</v>
      </c>
      <c r="V19" s="263">
        <v>1534</v>
      </c>
      <c r="W19" s="263">
        <f>+U19</f>
        <v>1500</v>
      </c>
      <c r="X19" s="263">
        <v>1378</v>
      </c>
      <c r="Y19" s="65">
        <f>S19+U19+W19</f>
        <v>4400</v>
      </c>
      <c r="Z19" s="65">
        <f>T19+V19+X19</f>
        <v>4296</v>
      </c>
      <c r="AA19" s="167">
        <v>1500</v>
      </c>
      <c r="AB19" s="167">
        <v>2142</v>
      </c>
      <c r="AC19" s="167">
        <v>1500</v>
      </c>
      <c r="AD19" s="167">
        <v>1858</v>
      </c>
      <c r="AE19" s="167">
        <v>1500</v>
      </c>
      <c r="AF19" s="167">
        <v>1875</v>
      </c>
      <c r="AG19" s="65">
        <f>AA19+AC19+AE19</f>
        <v>4500</v>
      </c>
      <c r="AH19" s="65">
        <f>AB19+AD19+AF19</f>
        <v>5875</v>
      </c>
      <c r="AI19" s="167">
        <v>1500</v>
      </c>
      <c r="AJ19" s="167"/>
      <c r="AK19" s="167">
        <v>1500</v>
      </c>
      <c r="AL19" s="167"/>
      <c r="AM19" s="167">
        <v>1100</v>
      </c>
      <c r="AN19" s="167"/>
      <c r="AO19" s="65">
        <f>AI19+AK19+AM19</f>
        <v>4100</v>
      </c>
      <c r="AP19" s="65">
        <f>AJ19+AL19+AN19</f>
        <v>0</v>
      </c>
      <c r="AQ19" s="19">
        <f>Q19+Y19+AG19+AO19</f>
        <v>21500</v>
      </c>
      <c r="AR19" s="70">
        <f>R19+Z19+AH19+AP19</f>
        <v>17518</v>
      </c>
      <c r="AS19" s="289">
        <f t="shared" si="0"/>
        <v>0.81479069767441858</v>
      </c>
      <c r="AT19" s="66"/>
    </row>
    <row r="20" spans="2:46" ht="120">
      <c r="B20" s="747"/>
      <c r="C20" s="608"/>
      <c r="D20" s="516">
        <v>16000</v>
      </c>
      <c r="E20" s="517" t="s">
        <v>155</v>
      </c>
      <c r="F20" s="517" t="s">
        <v>136</v>
      </c>
      <c r="G20" s="518">
        <v>20500</v>
      </c>
      <c r="H20" s="517" t="s">
        <v>808</v>
      </c>
      <c r="I20" s="192" t="s">
        <v>137</v>
      </c>
      <c r="J20" s="528" t="s">
        <v>534</v>
      </c>
      <c r="K20" s="130">
        <v>1500</v>
      </c>
      <c r="L20" s="130">
        <v>828</v>
      </c>
      <c r="M20" s="130">
        <v>1500</v>
      </c>
      <c r="N20" s="130">
        <v>1566</v>
      </c>
      <c r="O20" s="130">
        <v>1700</v>
      </c>
      <c r="P20" s="130">
        <v>1273</v>
      </c>
      <c r="Q20" s="65">
        <f>K20+M20+O20</f>
        <v>4700</v>
      </c>
      <c r="R20" s="65">
        <f>L20+N20+P20</f>
        <v>3667</v>
      </c>
      <c r="S20" s="167">
        <v>700</v>
      </c>
      <c r="T20" s="167">
        <v>1529</v>
      </c>
      <c r="U20" s="167">
        <v>770</v>
      </c>
      <c r="V20" s="167">
        <v>1548</v>
      </c>
      <c r="W20" s="167">
        <v>780</v>
      </c>
      <c r="X20" s="167">
        <v>1456</v>
      </c>
      <c r="Y20" s="65">
        <f>S20+U20+W20</f>
        <v>2250</v>
      </c>
      <c r="Z20" s="65">
        <f>T20+V20+X20</f>
        <v>4533</v>
      </c>
      <c r="AA20" s="167">
        <v>1800</v>
      </c>
      <c r="AB20" s="167">
        <v>1813</v>
      </c>
      <c r="AC20" s="167">
        <v>2000</v>
      </c>
      <c r="AD20" s="167">
        <v>2127</v>
      </c>
      <c r="AE20" s="167">
        <v>1500</v>
      </c>
      <c r="AF20" s="167">
        <v>1967</v>
      </c>
      <c r="AG20" s="65">
        <f>AA20+AC20+AE20</f>
        <v>5300</v>
      </c>
      <c r="AH20" s="65">
        <f>AB20+AD20+AF20</f>
        <v>5907</v>
      </c>
      <c r="AI20" s="167">
        <v>1500</v>
      </c>
      <c r="AJ20" s="167"/>
      <c r="AK20" s="167">
        <v>1500</v>
      </c>
      <c r="AL20" s="167"/>
      <c r="AM20" s="167">
        <v>750</v>
      </c>
      <c r="AN20" s="167"/>
      <c r="AO20" s="65">
        <f>AI20+AK20+AM20</f>
        <v>3750</v>
      </c>
      <c r="AP20" s="65">
        <f>AJ20+AL20+AN20</f>
        <v>0</v>
      </c>
      <c r="AQ20" s="19">
        <f>Q20+Y20+AG20+AO20</f>
        <v>16000</v>
      </c>
      <c r="AR20" s="70">
        <f>R20+Z20+AH20+AP20</f>
        <v>14107</v>
      </c>
      <c r="AS20" s="289">
        <f t="shared" si="0"/>
        <v>0.88168749999999996</v>
      </c>
      <c r="AT20" s="66"/>
    </row>
    <row r="21" spans="2:46" ht="195">
      <c r="B21" s="747"/>
      <c r="C21" s="608"/>
      <c r="D21" s="529" t="s">
        <v>147</v>
      </c>
      <c r="E21" s="196" t="s">
        <v>191</v>
      </c>
      <c r="F21" s="197" t="s">
        <v>148</v>
      </c>
      <c r="G21" s="198" t="s">
        <v>149</v>
      </c>
      <c r="H21" s="530" t="s">
        <v>150</v>
      </c>
      <c r="I21" s="192" t="s">
        <v>151</v>
      </c>
      <c r="J21" s="525" t="s">
        <v>539</v>
      </c>
      <c r="K21" s="362">
        <v>0.80000000000000016</v>
      </c>
      <c r="L21" s="358">
        <v>0.86399999999999999</v>
      </c>
      <c r="M21" s="362">
        <v>0.80000000000000016</v>
      </c>
      <c r="N21" s="358">
        <v>0.80500000000000005</v>
      </c>
      <c r="O21" s="362">
        <v>0.80000000000000016</v>
      </c>
      <c r="P21" s="358">
        <v>0.88200000000000001</v>
      </c>
      <c r="Q21" s="289">
        <f>AVERAGE(K21,M21,O21)</f>
        <v>0.80000000000000016</v>
      </c>
      <c r="R21" s="287">
        <f>IFERROR(IF(OR(AQ21="",AQ21=0),0,ROUNDDOWN(AVERAGE(L21,N21,P21),3)),0)</f>
        <v>0.85</v>
      </c>
      <c r="S21" s="378">
        <v>0.80000000000000016</v>
      </c>
      <c r="T21" s="351">
        <v>0.84699999999999998</v>
      </c>
      <c r="U21" s="378">
        <v>0.80000000000000016</v>
      </c>
      <c r="V21" s="351">
        <v>0.8</v>
      </c>
      <c r="W21" s="378">
        <v>0.80000000000000016</v>
      </c>
      <c r="X21" s="351">
        <v>0.85699999999999998</v>
      </c>
      <c r="Y21" s="289">
        <f>AVERAGE(S21,U21,W21)</f>
        <v>0.80000000000000016</v>
      </c>
      <c r="Z21" s="289">
        <f>IFERROR(AVERAGE(T21,V21,X21),0)</f>
        <v>0.83466666666666667</v>
      </c>
      <c r="AA21" s="378">
        <v>0.80000000000000016</v>
      </c>
      <c r="AB21" s="351">
        <f>108/129</f>
        <v>0.83720930232558144</v>
      </c>
      <c r="AC21" s="378">
        <v>0.80000000000000016</v>
      </c>
      <c r="AD21" s="351">
        <f>88/101</f>
        <v>0.87128712871287128</v>
      </c>
      <c r="AE21" s="378">
        <v>0.80000000000000016</v>
      </c>
      <c r="AF21" s="351">
        <f>70/85</f>
        <v>0.82352941176470584</v>
      </c>
      <c r="AG21" s="289">
        <f>AVERAGE(AA21,AC21,AE21)</f>
        <v>0.80000000000000016</v>
      </c>
      <c r="AH21" s="289">
        <f>IFERROR(AVERAGE(AB21,AD21,AF21),0)</f>
        <v>0.84400861426771956</v>
      </c>
      <c r="AI21" s="378">
        <v>0.80000000000000016</v>
      </c>
      <c r="AJ21" s="351"/>
      <c r="AK21" s="378">
        <v>0.80000000000000016</v>
      </c>
      <c r="AL21" s="351"/>
      <c r="AM21" s="378">
        <v>0.80000000000000016</v>
      </c>
      <c r="AN21" s="351"/>
      <c r="AO21" s="289">
        <f>AVERAGE(AI21,AK21,AM21)</f>
        <v>0.80000000000000016</v>
      </c>
      <c r="AP21" s="289">
        <f>IFERROR(AVERAGE(AJ21,AL21,AN21),0)</f>
        <v>0</v>
      </c>
      <c r="AQ21" s="289">
        <f>AVERAGE(Q21,Y21,AG21,AO21)</f>
        <v>0.80000000000000016</v>
      </c>
      <c r="AR21" s="289">
        <f>IFERROR(IF(OR(AQ21="",AQ21=0),0,ROUNDDOWN(AVERAGE(L21,N21,P21,T21,V21,X21,AB21,AD21,AF21,AJ21,AL21,AN21),3)),0)</f>
        <v>0.84299999999999997</v>
      </c>
      <c r="AS21" s="289">
        <f t="shared" ref="AS21:AS33" si="6">IF(AND(AR21&gt;0,AQ21&gt;0),AR21/AQ21,0)</f>
        <v>1.0537499999999997</v>
      </c>
      <c r="AT21" s="66"/>
    </row>
    <row r="22" spans="2:46" ht="90">
      <c r="B22" s="748"/>
      <c r="C22" s="189" t="s">
        <v>420</v>
      </c>
      <c r="D22" s="516">
        <v>7460</v>
      </c>
      <c r="E22" s="517" t="s">
        <v>189</v>
      </c>
      <c r="F22" s="517" t="s">
        <v>138</v>
      </c>
      <c r="G22" s="518">
        <v>17000</v>
      </c>
      <c r="H22" s="517" t="s">
        <v>809</v>
      </c>
      <c r="I22" s="192" t="s">
        <v>139</v>
      </c>
      <c r="J22" s="525" t="s">
        <v>140</v>
      </c>
      <c r="K22" s="203">
        <v>1300</v>
      </c>
      <c r="L22" s="203">
        <v>1357</v>
      </c>
      <c r="M22" s="203">
        <v>1500</v>
      </c>
      <c r="N22" s="203">
        <v>1282</v>
      </c>
      <c r="O22" s="203">
        <v>1300</v>
      </c>
      <c r="P22" s="203">
        <v>225</v>
      </c>
      <c r="Q22" s="67">
        <f t="shared" si="1"/>
        <v>4100</v>
      </c>
      <c r="R22" s="67">
        <f t="shared" si="1"/>
        <v>2864</v>
      </c>
      <c r="S22" s="515">
        <v>1120</v>
      </c>
      <c r="T22" s="515">
        <v>8</v>
      </c>
      <c r="U22" s="515">
        <v>1120</v>
      </c>
      <c r="V22" s="515">
        <v>14</v>
      </c>
      <c r="W22" s="515">
        <v>1120</v>
      </c>
      <c r="X22" s="515">
        <v>111</v>
      </c>
      <c r="Y22" s="67">
        <f t="shared" si="2"/>
        <v>3360</v>
      </c>
      <c r="Z22" s="67">
        <f t="shared" si="2"/>
        <v>133</v>
      </c>
      <c r="AA22" s="515">
        <v>0</v>
      </c>
      <c r="AB22" s="515">
        <v>99</v>
      </c>
      <c r="AC22" s="515">
        <v>0</v>
      </c>
      <c r="AD22" s="515">
        <v>131</v>
      </c>
      <c r="AE22" s="515">
        <v>0</v>
      </c>
      <c r="AF22" s="515">
        <v>412</v>
      </c>
      <c r="AG22" s="67">
        <f t="shared" si="3"/>
        <v>0</v>
      </c>
      <c r="AH22" s="67">
        <f t="shared" si="3"/>
        <v>642</v>
      </c>
      <c r="AI22" s="515">
        <v>0</v>
      </c>
      <c r="AJ22" s="515"/>
      <c r="AK22" s="515">
        <v>0</v>
      </c>
      <c r="AL22" s="515"/>
      <c r="AM22" s="515">
        <v>0</v>
      </c>
      <c r="AN22" s="515"/>
      <c r="AO22" s="67">
        <f t="shared" si="4"/>
        <v>0</v>
      </c>
      <c r="AP22" s="67">
        <f t="shared" si="4"/>
        <v>0</v>
      </c>
      <c r="AQ22" s="19">
        <f t="shared" si="5"/>
        <v>7460</v>
      </c>
      <c r="AR22" s="70">
        <f t="shared" si="5"/>
        <v>3639</v>
      </c>
      <c r="AS22" s="289">
        <f t="shared" si="6"/>
        <v>0.4878016085790885</v>
      </c>
    </row>
    <row r="23" spans="2:46" ht="105">
      <c r="B23" s="748"/>
      <c r="C23" s="195" t="s">
        <v>474</v>
      </c>
      <c r="D23" s="516">
        <v>1</v>
      </c>
      <c r="E23" s="192" t="s">
        <v>475</v>
      </c>
      <c r="F23" s="192" t="s">
        <v>476</v>
      </c>
      <c r="G23" s="191">
        <v>1</v>
      </c>
      <c r="H23" s="517" t="s">
        <v>477</v>
      </c>
      <c r="I23" s="192" t="s">
        <v>141</v>
      </c>
      <c r="J23" s="524" t="s">
        <v>538</v>
      </c>
      <c r="K23" s="203">
        <v>0</v>
      </c>
      <c r="L23" s="203">
        <v>0</v>
      </c>
      <c r="M23" s="203">
        <v>0</v>
      </c>
      <c r="N23" s="203">
        <v>0</v>
      </c>
      <c r="O23" s="203">
        <v>0</v>
      </c>
      <c r="P23" s="203">
        <v>0</v>
      </c>
      <c r="Q23" s="67">
        <f t="shared" si="1"/>
        <v>0</v>
      </c>
      <c r="R23" s="67">
        <f t="shared" si="1"/>
        <v>0</v>
      </c>
      <c r="S23" s="515">
        <v>0</v>
      </c>
      <c r="T23" s="515">
        <v>0</v>
      </c>
      <c r="U23" s="515">
        <v>0</v>
      </c>
      <c r="V23" s="515">
        <v>0</v>
      </c>
      <c r="W23" s="515">
        <v>0</v>
      </c>
      <c r="X23" s="515">
        <v>0</v>
      </c>
      <c r="Y23" s="67">
        <f t="shared" si="2"/>
        <v>0</v>
      </c>
      <c r="Z23" s="67">
        <f t="shared" si="2"/>
        <v>0</v>
      </c>
      <c r="AA23" s="515">
        <v>0</v>
      </c>
      <c r="AB23" s="515">
        <v>0</v>
      </c>
      <c r="AC23" s="515">
        <v>0</v>
      </c>
      <c r="AD23" s="515">
        <v>0</v>
      </c>
      <c r="AE23" s="515">
        <v>0</v>
      </c>
      <c r="AF23" s="515">
        <v>0</v>
      </c>
      <c r="AG23" s="67">
        <f t="shared" si="3"/>
        <v>0</v>
      </c>
      <c r="AH23" s="67">
        <f t="shared" si="3"/>
        <v>0</v>
      </c>
      <c r="AI23" s="515">
        <v>1</v>
      </c>
      <c r="AJ23" s="515"/>
      <c r="AK23" s="515">
        <v>0</v>
      </c>
      <c r="AL23" s="515"/>
      <c r="AM23" s="515">
        <v>0</v>
      </c>
      <c r="AN23" s="515"/>
      <c r="AO23" s="67">
        <f t="shared" si="4"/>
        <v>1</v>
      </c>
      <c r="AP23" s="67">
        <f t="shared" si="4"/>
        <v>0</v>
      </c>
      <c r="AQ23" s="19">
        <f t="shared" si="5"/>
        <v>1</v>
      </c>
      <c r="AR23" s="70">
        <f t="shared" si="5"/>
        <v>0</v>
      </c>
      <c r="AS23" s="289">
        <f t="shared" si="6"/>
        <v>0</v>
      </c>
    </row>
    <row r="24" spans="2:46" ht="113.25" customHeight="1">
      <c r="B24" s="748"/>
      <c r="C24" s="195" t="s">
        <v>421</v>
      </c>
      <c r="D24" s="520">
        <v>1</v>
      </c>
      <c r="E24" s="196" t="s">
        <v>190</v>
      </c>
      <c r="F24" s="196" t="s">
        <v>142</v>
      </c>
      <c r="G24" s="197">
        <v>1</v>
      </c>
      <c r="H24" s="530" t="s">
        <v>143</v>
      </c>
      <c r="I24" s="192" t="s">
        <v>144</v>
      </c>
      <c r="J24" s="531" t="s">
        <v>786</v>
      </c>
      <c r="K24" s="203">
        <v>0</v>
      </c>
      <c r="L24" s="203">
        <v>0</v>
      </c>
      <c r="M24" s="203">
        <v>0</v>
      </c>
      <c r="N24" s="203">
        <v>0</v>
      </c>
      <c r="O24" s="203">
        <v>0</v>
      </c>
      <c r="P24" s="203">
        <v>0</v>
      </c>
      <c r="Q24" s="67">
        <f t="shared" si="1"/>
        <v>0</v>
      </c>
      <c r="R24" s="67">
        <f t="shared" si="1"/>
        <v>0</v>
      </c>
      <c r="S24" s="515">
        <v>0</v>
      </c>
      <c r="T24" s="515">
        <v>0</v>
      </c>
      <c r="U24" s="515">
        <v>0</v>
      </c>
      <c r="V24" s="515">
        <v>0</v>
      </c>
      <c r="W24" s="515">
        <v>0</v>
      </c>
      <c r="X24" s="515">
        <v>0</v>
      </c>
      <c r="Y24" s="67">
        <f t="shared" si="2"/>
        <v>0</v>
      </c>
      <c r="Z24" s="67">
        <f t="shared" si="2"/>
        <v>0</v>
      </c>
      <c r="AA24" s="515">
        <v>0</v>
      </c>
      <c r="AB24" s="515">
        <v>0</v>
      </c>
      <c r="AC24" s="515">
        <v>0</v>
      </c>
      <c r="AD24" s="515">
        <v>0</v>
      </c>
      <c r="AE24" s="515">
        <v>0</v>
      </c>
      <c r="AF24" s="515">
        <v>0</v>
      </c>
      <c r="AG24" s="67">
        <f t="shared" si="3"/>
        <v>0</v>
      </c>
      <c r="AH24" s="67">
        <f t="shared" si="3"/>
        <v>0</v>
      </c>
      <c r="AI24" s="515">
        <v>0</v>
      </c>
      <c r="AJ24" s="515"/>
      <c r="AK24" s="515">
        <v>1</v>
      </c>
      <c r="AL24" s="515"/>
      <c r="AM24" s="515">
        <v>0</v>
      </c>
      <c r="AN24" s="515"/>
      <c r="AO24" s="67">
        <f t="shared" si="4"/>
        <v>1</v>
      </c>
      <c r="AP24" s="67">
        <f t="shared" si="4"/>
        <v>0</v>
      </c>
      <c r="AQ24" s="19">
        <f t="shared" si="5"/>
        <v>1</v>
      </c>
      <c r="AR24" s="70">
        <f t="shared" si="5"/>
        <v>0</v>
      </c>
      <c r="AS24" s="289">
        <f t="shared" si="6"/>
        <v>0</v>
      </c>
    </row>
    <row r="25" spans="2:46" ht="120">
      <c r="B25" s="748"/>
      <c r="C25" s="195" t="s">
        <v>478</v>
      </c>
      <c r="D25" s="516">
        <v>5</v>
      </c>
      <c r="E25" s="192" t="s">
        <v>479</v>
      </c>
      <c r="F25" s="192" t="s">
        <v>145</v>
      </c>
      <c r="G25" s="191">
        <v>5</v>
      </c>
      <c r="H25" s="517" t="s">
        <v>789</v>
      </c>
      <c r="I25" s="192" t="s">
        <v>480</v>
      </c>
      <c r="J25" s="525" t="s">
        <v>146</v>
      </c>
      <c r="K25" s="203">
        <v>0</v>
      </c>
      <c r="L25" s="203">
        <v>0</v>
      </c>
      <c r="M25" s="203">
        <v>0</v>
      </c>
      <c r="N25" s="203">
        <v>0</v>
      </c>
      <c r="O25" s="203">
        <v>1</v>
      </c>
      <c r="P25" s="203">
        <v>0</v>
      </c>
      <c r="Q25" s="67">
        <f t="shared" si="1"/>
        <v>1</v>
      </c>
      <c r="R25" s="67">
        <f t="shared" si="1"/>
        <v>0</v>
      </c>
      <c r="S25" s="515">
        <v>0</v>
      </c>
      <c r="T25" s="515">
        <v>0</v>
      </c>
      <c r="U25" s="515">
        <v>0</v>
      </c>
      <c r="V25" s="515">
        <v>0</v>
      </c>
      <c r="W25" s="515">
        <v>0</v>
      </c>
      <c r="X25" s="515">
        <v>0</v>
      </c>
      <c r="Y25" s="67">
        <f t="shared" si="2"/>
        <v>0</v>
      </c>
      <c r="Z25" s="67">
        <f t="shared" si="2"/>
        <v>0</v>
      </c>
      <c r="AA25" s="515">
        <v>0</v>
      </c>
      <c r="AB25" s="515">
        <v>0</v>
      </c>
      <c r="AC25" s="515">
        <v>2</v>
      </c>
      <c r="AD25" s="515">
        <v>0</v>
      </c>
      <c r="AE25" s="515">
        <v>1</v>
      </c>
      <c r="AF25" s="515">
        <v>0</v>
      </c>
      <c r="AG25" s="67">
        <f t="shared" si="3"/>
        <v>3</v>
      </c>
      <c r="AH25" s="67">
        <f t="shared" si="3"/>
        <v>0</v>
      </c>
      <c r="AI25" s="515">
        <v>1</v>
      </c>
      <c r="AJ25" s="515"/>
      <c r="AK25" s="515">
        <v>0</v>
      </c>
      <c r="AL25" s="515"/>
      <c r="AM25" s="515">
        <v>0</v>
      </c>
      <c r="AN25" s="515"/>
      <c r="AO25" s="67">
        <f t="shared" si="4"/>
        <v>1</v>
      </c>
      <c r="AP25" s="67">
        <f t="shared" si="4"/>
        <v>0</v>
      </c>
      <c r="AQ25" s="19">
        <f t="shared" si="5"/>
        <v>5</v>
      </c>
      <c r="AR25" s="70">
        <f t="shared" si="5"/>
        <v>0</v>
      </c>
      <c r="AS25" s="289">
        <f t="shared" si="6"/>
        <v>0</v>
      </c>
    </row>
    <row r="26" spans="2:46" ht="225">
      <c r="B26" s="748"/>
      <c r="C26" s="199" t="s">
        <v>466</v>
      </c>
      <c r="D26" s="465">
        <v>20</v>
      </c>
      <c r="E26" s="192" t="s">
        <v>193</v>
      </c>
      <c r="F26" s="190" t="s">
        <v>154</v>
      </c>
      <c r="G26" s="191">
        <v>34</v>
      </c>
      <c r="H26" s="467" t="s">
        <v>532</v>
      </c>
      <c r="I26" s="190" t="s">
        <v>481</v>
      </c>
      <c r="J26" s="363" t="s">
        <v>533</v>
      </c>
      <c r="K26" s="203">
        <v>0</v>
      </c>
      <c r="L26" s="203">
        <v>0</v>
      </c>
      <c r="M26" s="203">
        <v>0</v>
      </c>
      <c r="N26" s="203">
        <v>0</v>
      </c>
      <c r="O26" s="203">
        <v>0</v>
      </c>
      <c r="P26" s="203">
        <v>0</v>
      </c>
      <c r="Q26" s="67">
        <f t="shared" si="1"/>
        <v>0</v>
      </c>
      <c r="R26" s="67">
        <f t="shared" si="1"/>
        <v>0</v>
      </c>
      <c r="S26" s="515">
        <v>6</v>
      </c>
      <c r="T26" s="515">
        <v>3</v>
      </c>
      <c r="U26" s="515">
        <v>5</v>
      </c>
      <c r="V26" s="515">
        <v>0</v>
      </c>
      <c r="W26" s="515">
        <v>4</v>
      </c>
      <c r="X26" s="515">
        <v>7</v>
      </c>
      <c r="Y26" s="67">
        <f t="shared" si="2"/>
        <v>15</v>
      </c>
      <c r="Z26" s="67">
        <f t="shared" si="2"/>
        <v>10</v>
      </c>
      <c r="AA26" s="515">
        <v>2</v>
      </c>
      <c r="AB26" s="515">
        <v>3</v>
      </c>
      <c r="AC26" s="515">
        <v>2</v>
      </c>
      <c r="AD26" s="515">
        <v>3</v>
      </c>
      <c r="AE26" s="515">
        <v>0</v>
      </c>
      <c r="AF26" s="515">
        <v>1</v>
      </c>
      <c r="AG26" s="67">
        <f t="shared" si="3"/>
        <v>4</v>
      </c>
      <c r="AH26" s="67">
        <f t="shared" si="3"/>
        <v>7</v>
      </c>
      <c r="AI26" s="515">
        <v>1</v>
      </c>
      <c r="AJ26" s="515"/>
      <c r="AK26" s="515">
        <v>0</v>
      </c>
      <c r="AL26" s="515"/>
      <c r="AM26" s="515">
        <v>0</v>
      </c>
      <c r="AN26" s="515"/>
      <c r="AO26" s="67">
        <f t="shared" si="4"/>
        <v>1</v>
      </c>
      <c r="AP26" s="67">
        <f t="shared" si="4"/>
        <v>0</v>
      </c>
      <c r="AQ26" s="19">
        <f t="shared" ref="AQ26:AQ33" si="7">+Q26+Y26+AG26+AO26</f>
        <v>20</v>
      </c>
      <c r="AR26" s="70">
        <f t="shared" si="5"/>
        <v>17</v>
      </c>
      <c r="AS26" s="289">
        <f t="shared" si="6"/>
        <v>0.85</v>
      </c>
    </row>
    <row r="27" spans="2:46" ht="112.5" customHeight="1">
      <c r="B27" s="748"/>
      <c r="C27" s="195" t="s">
        <v>467</v>
      </c>
      <c r="D27" s="532">
        <v>20000</v>
      </c>
      <c r="E27" s="533" t="s">
        <v>156</v>
      </c>
      <c r="F27" s="534" t="s">
        <v>157</v>
      </c>
      <c r="G27" s="526">
        <v>18000</v>
      </c>
      <c r="H27" s="528" t="s">
        <v>158</v>
      </c>
      <c r="I27" s="535" t="s">
        <v>159</v>
      </c>
      <c r="J27" s="525" t="s">
        <v>535</v>
      </c>
      <c r="K27" s="130">
        <v>0</v>
      </c>
      <c r="L27" s="130">
        <v>825</v>
      </c>
      <c r="M27" s="130">
        <v>2000</v>
      </c>
      <c r="N27" s="130">
        <v>2089</v>
      </c>
      <c r="O27" s="130">
        <v>2000</v>
      </c>
      <c r="P27" s="130">
        <v>1335</v>
      </c>
      <c r="Q27" s="65">
        <f t="shared" si="1"/>
        <v>4000</v>
      </c>
      <c r="R27" s="65">
        <f t="shared" si="1"/>
        <v>4249</v>
      </c>
      <c r="S27" s="167">
        <v>2000</v>
      </c>
      <c r="T27" s="167">
        <v>507</v>
      </c>
      <c r="U27" s="167">
        <v>2000</v>
      </c>
      <c r="V27" s="167">
        <v>792</v>
      </c>
      <c r="W27" s="167">
        <v>2000</v>
      </c>
      <c r="X27" s="167">
        <v>1310</v>
      </c>
      <c r="Y27" s="65">
        <f t="shared" si="2"/>
        <v>6000</v>
      </c>
      <c r="Z27" s="65">
        <f t="shared" si="2"/>
        <v>2609</v>
      </c>
      <c r="AA27" s="167">
        <v>2000</v>
      </c>
      <c r="AB27" s="167">
        <v>1351</v>
      </c>
      <c r="AC27" s="167">
        <v>2000</v>
      </c>
      <c r="AD27" s="167">
        <v>2409</v>
      </c>
      <c r="AE27" s="167">
        <v>2000</v>
      </c>
      <c r="AF27" s="167">
        <v>1636</v>
      </c>
      <c r="AG27" s="65">
        <f t="shared" si="3"/>
        <v>6000</v>
      </c>
      <c r="AH27" s="65">
        <f t="shared" si="3"/>
        <v>5396</v>
      </c>
      <c r="AI27" s="167">
        <v>2000</v>
      </c>
      <c r="AJ27" s="167"/>
      <c r="AK27" s="167">
        <v>2000</v>
      </c>
      <c r="AL27" s="167"/>
      <c r="AM27" s="167">
        <v>0</v>
      </c>
      <c r="AN27" s="167"/>
      <c r="AO27" s="67">
        <f t="shared" ref="AO27:AP33" si="8">AI27+AK27+AM27</f>
        <v>4000</v>
      </c>
      <c r="AP27" s="67">
        <f t="shared" si="8"/>
        <v>0</v>
      </c>
      <c r="AQ27" s="19">
        <f t="shared" si="7"/>
        <v>20000</v>
      </c>
      <c r="AR27" s="70">
        <f t="shared" ref="AR27:AR33" si="9">R27+Z27+AH27+AP27</f>
        <v>12254</v>
      </c>
      <c r="AS27" s="289">
        <f t="shared" si="6"/>
        <v>0.61270000000000002</v>
      </c>
    </row>
    <row r="28" spans="2:46" ht="105" customHeight="1">
      <c r="B28" s="748"/>
      <c r="C28" s="195" t="s">
        <v>468</v>
      </c>
      <c r="D28" s="532">
        <v>5500</v>
      </c>
      <c r="E28" s="533" t="s">
        <v>160</v>
      </c>
      <c r="F28" s="534" t="s">
        <v>161</v>
      </c>
      <c r="G28" s="526">
        <v>5000</v>
      </c>
      <c r="H28" s="528" t="s">
        <v>162</v>
      </c>
      <c r="I28" s="535" t="s">
        <v>163</v>
      </c>
      <c r="J28" s="525" t="s">
        <v>535</v>
      </c>
      <c r="K28" s="130">
        <v>0</v>
      </c>
      <c r="L28" s="130">
        <v>202</v>
      </c>
      <c r="M28" s="130">
        <v>550</v>
      </c>
      <c r="N28" s="130">
        <v>636</v>
      </c>
      <c r="O28" s="130">
        <v>550</v>
      </c>
      <c r="P28" s="130">
        <v>367</v>
      </c>
      <c r="Q28" s="65">
        <f t="shared" si="1"/>
        <v>1100</v>
      </c>
      <c r="R28" s="65">
        <f t="shared" si="1"/>
        <v>1205</v>
      </c>
      <c r="S28" s="167">
        <v>550</v>
      </c>
      <c r="T28" s="167">
        <v>1</v>
      </c>
      <c r="U28" s="167">
        <v>550</v>
      </c>
      <c r="V28" s="167">
        <v>252</v>
      </c>
      <c r="W28" s="167">
        <v>550</v>
      </c>
      <c r="X28" s="167">
        <v>413</v>
      </c>
      <c r="Y28" s="65">
        <f t="shared" si="2"/>
        <v>1650</v>
      </c>
      <c r="Z28" s="65">
        <f t="shared" si="2"/>
        <v>666</v>
      </c>
      <c r="AA28" s="167">
        <v>550</v>
      </c>
      <c r="AB28" s="167">
        <v>555</v>
      </c>
      <c r="AC28" s="167">
        <v>550</v>
      </c>
      <c r="AD28" s="167">
        <v>734</v>
      </c>
      <c r="AE28" s="167">
        <v>550</v>
      </c>
      <c r="AF28" s="167">
        <v>838</v>
      </c>
      <c r="AG28" s="65">
        <f t="shared" si="3"/>
        <v>1650</v>
      </c>
      <c r="AH28" s="65">
        <f t="shared" si="3"/>
        <v>2127</v>
      </c>
      <c r="AI28" s="167">
        <v>550</v>
      </c>
      <c r="AJ28" s="167"/>
      <c r="AK28" s="167">
        <v>550</v>
      </c>
      <c r="AL28" s="167"/>
      <c r="AM28" s="167">
        <v>0</v>
      </c>
      <c r="AN28" s="167"/>
      <c r="AO28" s="67">
        <f t="shared" si="8"/>
        <v>1100</v>
      </c>
      <c r="AP28" s="67">
        <f t="shared" si="8"/>
        <v>0</v>
      </c>
      <c r="AQ28" s="19">
        <f t="shared" si="7"/>
        <v>5500</v>
      </c>
      <c r="AR28" s="70">
        <f t="shared" si="9"/>
        <v>3998</v>
      </c>
      <c r="AS28" s="289">
        <f t="shared" si="6"/>
        <v>0.72690909090909095</v>
      </c>
    </row>
    <row r="29" spans="2:46" ht="69.75" customHeight="1">
      <c r="B29" s="748"/>
      <c r="C29" s="195" t="s">
        <v>469</v>
      </c>
      <c r="D29" s="536">
        <v>8000</v>
      </c>
      <c r="E29" s="537" t="s">
        <v>771</v>
      </c>
      <c r="F29" s="537" t="s">
        <v>164</v>
      </c>
      <c r="G29" s="538">
        <v>6000</v>
      </c>
      <c r="H29" s="527" t="s">
        <v>810</v>
      </c>
      <c r="I29" s="535" t="s">
        <v>165</v>
      </c>
      <c r="J29" s="525" t="s">
        <v>535</v>
      </c>
      <c r="K29" s="130">
        <v>0</v>
      </c>
      <c r="L29" s="130">
        <v>0</v>
      </c>
      <c r="M29" s="130">
        <v>800</v>
      </c>
      <c r="N29" s="130">
        <v>1196</v>
      </c>
      <c r="O29" s="130">
        <v>800</v>
      </c>
      <c r="P29" s="130">
        <v>311</v>
      </c>
      <c r="Q29" s="67">
        <f t="shared" si="1"/>
        <v>1600</v>
      </c>
      <c r="R29" s="67">
        <f t="shared" si="1"/>
        <v>1507</v>
      </c>
      <c r="S29" s="167">
        <v>250</v>
      </c>
      <c r="T29" s="167">
        <v>124</v>
      </c>
      <c r="U29" s="167">
        <v>450</v>
      </c>
      <c r="V29" s="167">
        <v>1728</v>
      </c>
      <c r="W29" s="167">
        <f>+U29</f>
        <v>450</v>
      </c>
      <c r="X29" s="167">
        <v>981</v>
      </c>
      <c r="Y29" s="67">
        <f t="shared" si="2"/>
        <v>1150</v>
      </c>
      <c r="Z29" s="67">
        <f t="shared" si="2"/>
        <v>2833</v>
      </c>
      <c r="AA29" s="167">
        <v>50</v>
      </c>
      <c r="AB29" s="167">
        <v>69</v>
      </c>
      <c r="AC29" s="167">
        <v>3000</v>
      </c>
      <c r="AD29" s="167">
        <v>3282</v>
      </c>
      <c r="AE29" s="167">
        <v>800</v>
      </c>
      <c r="AF29" s="167">
        <v>1983</v>
      </c>
      <c r="AG29" s="67">
        <f t="shared" si="3"/>
        <v>3850</v>
      </c>
      <c r="AH29" s="67">
        <f t="shared" si="3"/>
        <v>5334</v>
      </c>
      <c r="AI29" s="167">
        <v>800</v>
      </c>
      <c r="AJ29" s="167"/>
      <c r="AK29" s="167">
        <v>600</v>
      </c>
      <c r="AL29" s="167"/>
      <c r="AM29" s="167">
        <v>0</v>
      </c>
      <c r="AN29" s="167"/>
      <c r="AO29" s="67">
        <f t="shared" si="8"/>
        <v>1400</v>
      </c>
      <c r="AP29" s="67">
        <f t="shared" si="8"/>
        <v>0</v>
      </c>
      <c r="AQ29" s="19">
        <f t="shared" si="7"/>
        <v>8000</v>
      </c>
      <c r="AR29" s="70">
        <f t="shared" si="9"/>
        <v>9674</v>
      </c>
      <c r="AS29" s="289">
        <f t="shared" si="6"/>
        <v>1.2092499999999999</v>
      </c>
    </row>
    <row r="30" spans="2:46" ht="76.5" customHeight="1">
      <c r="B30" s="748"/>
      <c r="C30" s="195" t="s">
        <v>470</v>
      </c>
      <c r="D30" s="532">
        <v>40</v>
      </c>
      <c r="E30" s="533" t="s">
        <v>166</v>
      </c>
      <c r="F30" s="534" t="s">
        <v>167</v>
      </c>
      <c r="G30" s="526" t="s">
        <v>168</v>
      </c>
      <c r="H30" s="527" t="s">
        <v>482</v>
      </c>
      <c r="I30" s="535" t="s">
        <v>169</v>
      </c>
      <c r="J30" s="525" t="s">
        <v>535</v>
      </c>
      <c r="K30" s="130">
        <v>0</v>
      </c>
      <c r="L30" s="130">
        <v>0</v>
      </c>
      <c r="M30" s="130">
        <v>0</v>
      </c>
      <c r="N30" s="130">
        <v>4</v>
      </c>
      <c r="O30" s="130">
        <v>0</v>
      </c>
      <c r="P30" s="130">
        <v>0</v>
      </c>
      <c r="Q30" s="67">
        <f t="shared" si="1"/>
        <v>0</v>
      </c>
      <c r="R30" s="67">
        <f t="shared" si="1"/>
        <v>4</v>
      </c>
      <c r="S30" s="167">
        <v>20</v>
      </c>
      <c r="T30" s="167">
        <v>10</v>
      </c>
      <c r="U30" s="167">
        <v>0</v>
      </c>
      <c r="V30" s="167">
        <v>3</v>
      </c>
      <c r="W30" s="167">
        <v>0</v>
      </c>
      <c r="X30" s="167">
        <v>11</v>
      </c>
      <c r="Y30" s="67">
        <f t="shared" si="2"/>
        <v>20</v>
      </c>
      <c r="Z30" s="67">
        <f t="shared" si="2"/>
        <v>24</v>
      </c>
      <c r="AA30" s="167">
        <v>0</v>
      </c>
      <c r="AB30" s="167">
        <v>7</v>
      </c>
      <c r="AC30" s="167">
        <v>20</v>
      </c>
      <c r="AD30" s="167">
        <v>1</v>
      </c>
      <c r="AE30" s="167">
        <v>0</v>
      </c>
      <c r="AF30" s="167">
        <v>8</v>
      </c>
      <c r="AG30" s="67">
        <f t="shared" si="3"/>
        <v>20</v>
      </c>
      <c r="AH30" s="67">
        <f t="shared" si="3"/>
        <v>16</v>
      </c>
      <c r="AI30" s="167">
        <v>0</v>
      </c>
      <c r="AJ30" s="167"/>
      <c r="AK30" s="167">
        <v>0</v>
      </c>
      <c r="AL30" s="167"/>
      <c r="AM30" s="167">
        <v>0</v>
      </c>
      <c r="AN30" s="167"/>
      <c r="AO30" s="67">
        <f t="shared" si="8"/>
        <v>0</v>
      </c>
      <c r="AP30" s="67">
        <f t="shared" si="8"/>
        <v>0</v>
      </c>
      <c r="AQ30" s="19">
        <f t="shared" si="7"/>
        <v>40</v>
      </c>
      <c r="AR30" s="70">
        <f t="shared" si="9"/>
        <v>44</v>
      </c>
      <c r="AS30" s="289">
        <f t="shared" si="6"/>
        <v>1.1000000000000001</v>
      </c>
    </row>
    <row r="31" spans="2:46" ht="111.75" customHeight="1">
      <c r="B31" s="748"/>
      <c r="C31" s="195" t="s">
        <v>471</v>
      </c>
      <c r="D31" s="536">
        <v>2000</v>
      </c>
      <c r="E31" s="494" t="s">
        <v>170</v>
      </c>
      <c r="F31" s="537" t="s">
        <v>164</v>
      </c>
      <c r="G31" s="538" t="s">
        <v>168</v>
      </c>
      <c r="H31" s="527" t="s">
        <v>811</v>
      </c>
      <c r="I31" s="535" t="s">
        <v>171</v>
      </c>
      <c r="J31" s="525" t="s">
        <v>535</v>
      </c>
      <c r="K31" s="130">
        <v>0</v>
      </c>
      <c r="L31" s="130">
        <v>0</v>
      </c>
      <c r="M31" s="130">
        <v>200</v>
      </c>
      <c r="N31" s="130">
        <v>57</v>
      </c>
      <c r="O31" s="130">
        <v>200</v>
      </c>
      <c r="P31" s="130">
        <v>95</v>
      </c>
      <c r="Q31" s="67">
        <f t="shared" ref="Q31:R33" si="10">K31+M31+O31</f>
        <v>400</v>
      </c>
      <c r="R31" s="67">
        <f t="shared" si="10"/>
        <v>152</v>
      </c>
      <c r="S31" s="167">
        <v>0</v>
      </c>
      <c r="T31" s="167">
        <v>97</v>
      </c>
      <c r="U31" s="167">
        <v>100</v>
      </c>
      <c r="V31" s="167">
        <v>108</v>
      </c>
      <c r="W31" s="167">
        <v>100</v>
      </c>
      <c r="X31" s="167">
        <v>417</v>
      </c>
      <c r="Y31" s="67">
        <f t="shared" ref="Y31:Z33" si="11">S31+U31+W31</f>
        <v>200</v>
      </c>
      <c r="Z31" s="67">
        <f t="shared" si="11"/>
        <v>622</v>
      </c>
      <c r="AA31" s="167">
        <v>150</v>
      </c>
      <c r="AB31" s="167">
        <v>153</v>
      </c>
      <c r="AC31" s="167">
        <v>600</v>
      </c>
      <c r="AD31" s="167">
        <v>722</v>
      </c>
      <c r="AE31" s="167">
        <v>200</v>
      </c>
      <c r="AF31" s="167">
        <v>244</v>
      </c>
      <c r="AG31" s="67">
        <f t="shared" ref="AG31:AH33" si="12">AA31+AC31+AE31</f>
        <v>950</v>
      </c>
      <c r="AH31" s="67">
        <f t="shared" si="12"/>
        <v>1119</v>
      </c>
      <c r="AI31" s="167">
        <v>200</v>
      </c>
      <c r="AJ31" s="167"/>
      <c r="AK31" s="167">
        <v>250</v>
      </c>
      <c r="AL31" s="167"/>
      <c r="AM31" s="167">
        <v>0</v>
      </c>
      <c r="AN31" s="167"/>
      <c r="AO31" s="67">
        <f t="shared" si="8"/>
        <v>450</v>
      </c>
      <c r="AP31" s="67">
        <f t="shared" si="8"/>
        <v>0</v>
      </c>
      <c r="AQ31" s="19">
        <f t="shared" si="7"/>
        <v>2000</v>
      </c>
      <c r="AR31" s="70">
        <f t="shared" si="9"/>
        <v>1893</v>
      </c>
      <c r="AS31" s="289">
        <f t="shared" si="6"/>
        <v>0.94650000000000001</v>
      </c>
    </row>
    <row r="32" spans="2:46" ht="81.75" customHeight="1">
      <c r="B32" s="748"/>
      <c r="C32" s="195" t="s">
        <v>472</v>
      </c>
      <c r="D32" s="539">
        <v>1000</v>
      </c>
      <c r="E32" s="540" t="s">
        <v>172</v>
      </c>
      <c r="F32" s="533" t="s">
        <v>173</v>
      </c>
      <c r="G32" s="526">
        <v>622</v>
      </c>
      <c r="H32" s="527" t="s">
        <v>557</v>
      </c>
      <c r="I32" s="535" t="s">
        <v>483</v>
      </c>
      <c r="J32" s="525" t="s">
        <v>535</v>
      </c>
      <c r="K32" s="130">
        <v>0</v>
      </c>
      <c r="L32" s="130">
        <v>61</v>
      </c>
      <c r="M32" s="130">
        <v>100</v>
      </c>
      <c r="N32" s="130">
        <v>91</v>
      </c>
      <c r="O32" s="130">
        <v>100</v>
      </c>
      <c r="P32" s="130">
        <v>94</v>
      </c>
      <c r="Q32" s="67">
        <f t="shared" si="10"/>
        <v>200</v>
      </c>
      <c r="R32" s="67">
        <f t="shared" si="10"/>
        <v>246</v>
      </c>
      <c r="S32" s="167">
        <v>100</v>
      </c>
      <c r="T32" s="167">
        <v>23</v>
      </c>
      <c r="U32" s="167">
        <v>100</v>
      </c>
      <c r="V32" s="167">
        <v>35</v>
      </c>
      <c r="W32" s="167">
        <v>100</v>
      </c>
      <c r="X32" s="167">
        <v>36</v>
      </c>
      <c r="Y32" s="67">
        <f t="shared" si="11"/>
        <v>300</v>
      </c>
      <c r="Z32" s="67">
        <f t="shared" si="11"/>
        <v>94</v>
      </c>
      <c r="AA32" s="167">
        <v>100</v>
      </c>
      <c r="AB32" s="167">
        <v>34</v>
      </c>
      <c r="AC32" s="167">
        <v>100</v>
      </c>
      <c r="AD32" s="167">
        <v>39</v>
      </c>
      <c r="AE32" s="167">
        <v>100</v>
      </c>
      <c r="AF32" s="167">
        <v>59</v>
      </c>
      <c r="AG32" s="67">
        <f t="shared" si="12"/>
        <v>300</v>
      </c>
      <c r="AH32" s="67">
        <f t="shared" si="12"/>
        <v>132</v>
      </c>
      <c r="AI32" s="167">
        <v>100</v>
      </c>
      <c r="AJ32" s="167"/>
      <c r="AK32" s="167">
        <v>100</v>
      </c>
      <c r="AL32" s="167"/>
      <c r="AM32" s="167">
        <v>0</v>
      </c>
      <c r="AN32" s="167"/>
      <c r="AO32" s="67">
        <f t="shared" si="8"/>
        <v>200</v>
      </c>
      <c r="AP32" s="67">
        <f t="shared" si="8"/>
        <v>0</v>
      </c>
      <c r="AQ32" s="19">
        <f t="shared" si="7"/>
        <v>1000</v>
      </c>
      <c r="AR32" s="70">
        <f t="shared" si="9"/>
        <v>472</v>
      </c>
      <c r="AS32" s="289">
        <f t="shared" si="6"/>
        <v>0.47199999999999998</v>
      </c>
    </row>
    <row r="33" spans="2:45" ht="126.75" customHeight="1">
      <c r="B33" s="748"/>
      <c r="C33" s="195" t="s">
        <v>473</v>
      </c>
      <c r="D33" s="539">
        <v>5000</v>
      </c>
      <c r="E33" s="540" t="s">
        <v>779</v>
      </c>
      <c r="F33" s="533" t="s">
        <v>174</v>
      </c>
      <c r="G33" s="526">
        <v>8800</v>
      </c>
      <c r="H33" s="527" t="s">
        <v>558</v>
      </c>
      <c r="I33" s="535" t="s">
        <v>484</v>
      </c>
      <c r="J33" s="525" t="s">
        <v>535</v>
      </c>
      <c r="K33" s="130">
        <v>0</v>
      </c>
      <c r="L33" s="130">
        <v>108</v>
      </c>
      <c r="M33" s="130">
        <v>900</v>
      </c>
      <c r="N33" s="130">
        <v>351</v>
      </c>
      <c r="O33" s="130">
        <v>900</v>
      </c>
      <c r="P33" s="130">
        <v>231</v>
      </c>
      <c r="Q33" s="67">
        <f t="shared" si="10"/>
        <v>1800</v>
      </c>
      <c r="R33" s="67">
        <f t="shared" si="10"/>
        <v>690</v>
      </c>
      <c r="S33" s="167">
        <v>500</v>
      </c>
      <c r="T33" s="167">
        <v>290</v>
      </c>
      <c r="U33" s="167">
        <v>400</v>
      </c>
      <c r="V33" s="167">
        <v>170</v>
      </c>
      <c r="W33" s="167">
        <v>400</v>
      </c>
      <c r="X33" s="167">
        <v>517</v>
      </c>
      <c r="Y33" s="67">
        <f t="shared" si="11"/>
        <v>1300</v>
      </c>
      <c r="Z33" s="67">
        <f t="shared" si="11"/>
        <v>977</v>
      </c>
      <c r="AA33" s="167">
        <v>400</v>
      </c>
      <c r="AB33" s="167">
        <v>523</v>
      </c>
      <c r="AC33" s="167">
        <v>400</v>
      </c>
      <c r="AD33" s="167">
        <v>454</v>
      </c>
      <c r="AE33" s="167">
        <v>400</v>
      </c>
      <c r="AF33" s="167">
        <v>730</v>
      </c>
      <c r="AG33" s="67">
        <f t="shared" si="12"/>
        <v>1200</v>
      </c>
      <c r="AH33" s="67">
        <f t="shared" si="12"/>
        <v>1707</v>
      </c>
      <c r="AI33" s="167">
        <v>400</v>
      </c>
      <c r="AJ33" s="167"/>
      <c r="AK33" s="167">
        <v>300</v>
      </c>
      <c r="AL33" s="167"/>
      <c r="AM33" s="167">
        <v>0</v>
      </c>
      <c r="AN33" s="167"/>
      <c r="AO33" s="67">
        <f t="shared" si="8"/>
        <v>700</v>
      </c>
      <c r="AP33" s="67">
        <f t="shared" si="8"/>
        <v>0</v>
      </c>
      <c r="AQ33" s="19">
        <f t="shared" si="7"/>
        <v>5000</v>
      </c>
      <c r="AR33" s="70">
        <f t="shared" si="9"/>
        <v>3374</v>
      </c>
      <c r="AS33" s="289">
        <f t="shared" si="6"/>
        <v>0.67479999999999996</v>
      </c>
    </row>
    <row r="34" spans="2:45" ht="23.25">
      <c r="B34" s="719" t="s">
        <v>23</v>
      </c>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1"/>
      <c r="AS34" s="360">
        <f>AVERAGE(AS13:AS33)</f>
        <v>0.71887971784158422</v>
      </c>
    </row>
    <row r="35" spans="2:45" ht="17.25">
      <c r="B35" s="6"/>
      <c r="C35" s="6"/>
      <c r="D35" s="12"/>
      <c r="E35" s="6"/>
      <c r="F35" s="6"/>
      <c r="G35" s="6"/>
      <c r="H35" s="6"/>
      <c r="I35" s="6"/>
      <c r="J35" s="7"/>
    </row>
    <row r="36" spans="2:45" ht="15.75">
      <c r="B36" s="58" t="s">
        <v>4</v>
      </c>
      <c r="C36" s="750"/>
      <c r="D36" s="736"/>
      <c r="E36" s="736"/>
      <c r="F36" s="736"/>
      <c r="G36" s="736"/>
      <c r="H36" s="736"/>
      <c r="I36" s="736"/>
      <c r="J36" s="737"/>
    </row>
    <row r="37" spans="2:45" ht="17.25">
      <c r="B37" s="6"/>
      <c r="C37" s="676"/>
      <c r="D37" s="676"/>
      <c r="E37" s="676"/>
      <c r="F37" s="676"/>
      <c r="G37" s="676"/>
      <c r="H37" s="676"/>
      <c r="I37" s="676"/>
      <c r="J37" s="676"/>
    </row>
    <row r="38" spans="2:45" ht="84.75" customHeight="1">
      <c r="B38" s="59" t="s">
        <v>111</v>
      </c>
      <c r="C38" s="683" t="s">
        <v>898</v>
      </c>
      <c r="D38" s="684"/>
      <c r="E38" s="6"/>
      <c r="F38" s="6"/>
      <c r="G38" s="57" t="s">
        <v>22</v>
      </c>
      <c r="H38" s="730" t="s">
        <v>552</v>
      </c>
      <c r="I38" s="731"/>
      <c r="J38" s="731"/>
    </row>
    <row r="39" spans="2:45" ht="17.25">
      <c r="B39" s="6"/>
      <c r="C39" s="6"/>
      <c r="D39" s="12"/>
      <c r="E39" s="6"/>
      <c r="F39" s="6"/>
      <c r="G39" s="6"/>
      <c r="H39" s="749"/>
      <c r="I39" s="749"/>
      <c r="J39" s="749"/>
      <c r="AS39" s="68"/>
    </row>
    <row r="40" spans="2:45" ht="17.25">
      <c r="B40" s="6"/>
      <c r="C40" s="6"/>
      <c r="D40" s="12"/>
      <c r="E40" s="6"/>
      <c r="F40" s="6"/>
      <c r="G40" s="6"/>
      <c r="H40" s="6"/>
      <c r="I40" s="6"/>
      <c r="J40" s="7"/>
    </row>
    <row r="41" spans="2:45" ht="17.25">
      <c r="B41" s="6"/>
      <c r="C41" s="6"/>
      <c r="D41" s="12"/>
      <c r="E41" s="6"/>
      <c r="F41" s="6"/>
      <c r="G41" s="6"/>
      <c r="H41" s="6"/>
      <c r="I41" s="6"/>
      <c r="J41" s="7"/>
    </row>
    <row r="42" spans="2:45" ht="17.25">
      <c r="B42" s="6"/>
      <c r="C42" s="6"/>
      <c r="D42" s="12"/>
      <c r="E42" s="6"/>
      <c r="F42" s="6"/>
      <c r="G42" s="6"/>
      <c r="H42" s="6"/>
      <c r="I42" s="6"/>
      <c r="J42" s="7"/>
    </row>
    <row r="43" spans="2:45" ht="17.25">
      <c r="B43" s="6"/>
      <c r="C43" s="6"/>
      <c r="D43" s="12"/>
      <c r="E43" s="687"/>
      <c r="F43" s="687"/>
      <c r="G43" s="687"/>
      <c r="H43" s="687"/>
      <c r="I43" s="60"/>
      <c r="J43" s="6"/>
    </row>
    <row r="44" spans="2:45" ht="17.25">
      <c r="B44" s="6"/>
      <c r="C44" s="6"/>
      <c r="D44" s="12"/>
      <c r="E44" s="6"/>
      <c r="F44" s="6"/>
      <c r="G44" s="6"/>
      <c r="H44" s="6"/>
      <c r="I44" s="6"/>
      <c r="J44" s="6"/>
    </row>
    <row r="45" spans="2:45" ht="17.25">
      <c r="B45" s="6"/>
      <c r="C45" s="6"/>
      <c r="D45" s="12"/>
      <c r="E45" s="687"/>
      <c r="F45" s="687"/>
      <c r="G45" s="687"/>
      <c r="H45" s="687"/>
      <c r="I45" s="60"/>
      <c r="J45" s="6"/>
    </row>
    <row r="46" spans="2:45" ht="17.25">
      <c r="B46" s="6"/>
      <c r="C46" s="6"/>
      <c r="D46" s="12"/>
      <c r="E46" s="6"/>
      <c r="F46" s="6"/>
      <c r="G46" s="6"/>
      <c r="H46" s="6"/>
      <c r="I46" s="6"/>
      <c r="J46" s="6"/>
    </row>
    <row r="47" spans="2:45" ht="17.25">
      <c r="B47" s="6"/>
      <c r="C47" s="6"/>
      <c r="D47" s="12"/>
      <c r="E47" s="687"/>
      <c r="F47" s="687"/>
      <c r="G47" s="687"/>
      <c r="H47" s="687"/>
      <c r="I47" s="60"/>
      <c r="J47" s="6"/>
    </row>
  </sheetData>
  <sheetProtection algorithmName="SHA-512" hashValue="Zgk6R20rZhMzhKdDZnmQkdj6cC44C3LYQdH/VGPqPydWzQvjImS8XTpMaeE2OC6CBogsYDfwCka77If3uQOTeQ==" saltValue="nJ2p8NSyEIR599syDkijzw==" spinCount="100000" sheet="1" objects="1" scenarios="1"/>
  <mergeCells count="52">
    <mergeCell ref="AG11:AH11"/>
    <mergeCell ref="AI11:AJ11"/>
    <mergeCell ref="E47:H47"/>
    <mergeCell ref="B13:B33"/>
    <mergeCell ref="C37:J37"/>
    <mergeCell ref="C38:D38"/>
    <mergeCell ref="H38:J38"/>
    <mergeCell ref="H39:J39"/>
    <mergeCell ref="E43:H43"/>
    <mergeCell ref="E45:H45"/>
    <mergeCell ref="B34:AR34"/>
    <mergeCell ref="C36:J36"/>
    <mergeCell ref="C15:C21"/>
    <mergeCell ref="C13:C14"/>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dataValidations count="1">
    <dataValidation type="list" allowBlank="1" showInputMessage="1" showErrorMessage="1" promptTitle="Objetivo Estratégico" sqref="B13:B14" xr:uid="{00000000-0002-0000-0800-000000000000}">
      <formula1>OBJE</formula1>
    </dataValidation>
  </dataValidations>
  <pageMargins left="0.7" right="0.7" top="0.75" bottom="0.75" header="0.3" footer="0.3"/>
  <pageSetup orientation="portrait" horizontalDpi="4294967295" verticalDpi="4294967295"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B1:AS31"/>
  <sheetViews>
    <sheetView showGridLines="0" zoomScale="70" zoomScaleNormal="70" workbookViewId="0">
      <selection activeCell="C24" sqref="C24"/>
    </sheetView>
  </sheetViews>
  <sheetFormatPr baseColWidth="10" defaultColWidth="17.28515625" defaultRowHeight="15" customHeight="1"/>
  <cols>
    <col min="1" max="1" width="4.28515625" style="4" customWidth="1"/>
    <col min="2" max="3" width="28.42578125" style="8" customWidth="1"/>
    <col min="4" max="4" width="21.42578125" style="13" customWidth="1"/>
    <col min="5" max="5" width="24.5703125" style="8" customWidth="1"/>
    <col min="6" max="6" width="24.28515625" style="8" customWidth="1"/>
    <col min="7" max="7" width="21.42578125" style="8" customWidth="1"/>
    <col min="8" max="8" width="28.42578125" style="8" customWidth="1"/>
    <col min="9" max="9" width="50" style="8" customWidth="1"/>
    <col min="10" max="10" width="28.42578125" style="10" customWidth="1"/>
    <col min="11" max="42" width="14.28515625" style="4" customWidth="1"/>
    <col min="43" max="43" width="22.140625" style="4" customWidth="1"/>
    <col min="44" max="44" width="16.5703125" style="4" customWidth="1"/>
    <col min="45" max="45" width="20.7109375" style="4" customWidth="1"/>
    <col min="46" max="16384" width="17.28515625" style="4"/>
  </cols>
  <sheetData>
    <row r="1" spans="2:45" ht="15" customHeight="1" thickBot="1"/>
    <row r="2" spans="2:45" ht="16.5" customHeight="1">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6.5" customHeight="1">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2:45" ht="16.5" customHeight="1">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6.5" customHeight="1">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2:45" ht="16.5" customHeight="1"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4.25" customHeight="1">
      <c r="B7" s="5"/>
      <c r="C7" s="5"/>
      <c r="D7" s="11"/>
      <c r="E7" s="5"/>
      <c r="F7" s="5"/>
      <c r="G7" s="5"/>
      <c r="H7" s="5"/>
      <c r="I7" s="5"/>
      <c r="J7" s="9"/>
      <c r="AR7" s="738"/>
      <c r="AS7" s="739"/>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3.5" customHeight="1">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2:45" ht="13.5" customHeight="1">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2:45" ht="17.2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2:45" ht="15.75" customHeight="1">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2:45" ht="150" customHeight="1">
      <c r="B13" s="716" t="s">
        <v>288</v>
      </c>
      <c r="C13" s="207" t="s">
        <v>422</v>
      </c>
      <c r="D13" s="470">
        <v>11</v>
      </c>
      <c r="E13" s="470" t="s">
        <v>194</v>
      </c>
      <c r="F13" s="470" t="s">
        <v>195</v>
      </c>
      <c r="G13" s="493">
        <v>25</v>
      </c>
      <c r="H13" s="468" t="s">
        <v>812</v>
      </c>
      <c r="I13" s="210" t="s">
        <v>486</v>
      </c>
      <c r="J13" s="129" t="s">
        <v>534</v>
      </c>
      <c r="K13" s="130">
        <v>0</v>
      </c>
      <c r="L13" s="130">
        <v>1</v>
      </c>
      <c r="M13" s="130">
        <v>0</v>
      </c>
      <c r="N13" s="130">
        <v>4</v>
      </c>
      <c r="O13" s="130">
        <v>2</v>
      </c>
      <c r="P13" s="130">
        <v>0</v>
      </c>
      <c r="Q13" s="65">
        <f t="shared" ref="Q13:R15" si="0">K13+M13+O13</f>
        <v>2</v>
      </c>
      <c r="R13" s="65">
        <f t="shared" si="0"/>
        <v>5</v>
      </c>
      <c r="S13" s="167">
        <v>3</v>
      </c>
      <c r="T13" s="167">
        <v>0</v>
      </c>
      <c r="U13" s="167">
        <v>0</v>
      </c>
      <c r="V13" s="167">
        <v>0</v>
      </c>
      <c r="W13" s="167">
        <v>0</v>
      </c>
      <c r="X13" s="167">
        <v>0</v>
      </c>
      <c r="Y13" s="65">
        <f t="shared" ref="Y13:Z15" si="1">S13+U13+W13</f>
        <v>3</v>
      </c>
      <c r="Z13" s="65">
        <f t="shared" si="1"/>
        <v>0</v>
      </c>
      <c r="AA13" s="167">
        <v>0</v>
      </c>
      <c r="AB13" s="167">
        <v>0</v>
      </c>
      <c r="AC13" s="167">
        <v>1</v>
      </c>
      <c r="AD13" s="167">
        <v>1</v>
      </c>
      <c r="AE13" s="167">
        <v>2</v>
      </c>
      <c r="AF13" s="167">
        <v>2</v>
      </c>
      <c r="AG13" s="65">
        <f t="shared" ref="AG13:AH15" si="2">AA13+AC13+AE13</f>
        <v>3</v>
      </c>
      <c r="AH13" s="65">
        <f t="shared" si="2"/>
        <v>3</v>
      </c>
      <c r="AI13" s="167">
        <v>2</v>
      </c>
      <c r="AJ13" s="167"/>
      <c r="AK13" s="167">
        <v>1</v>
      </c>
      <c r="AL13" s="167"/>
      <c r="AM13" s="167">
        <v>0</v>
      </c>
      <c r="AN13" s="167"/>
      <c r="AO13" s="65">
        <f t="shared" ref="AO13:AP15" si="3">AI13+AK13+AM13</f>
        <v>3</v>
      </c>
      <c r="AP13" s="65">
        <f t="shared" si="3"/>
        <v>0</v>
      </c>
      <c r="AQ13" s="21">
        <f t="shared" ref="AQ13:AR15" si="4">Q13+Y13+AG13+AO13</f>
        <v>11</v>
      </c>
      <c r="AR13" s="69">
        <f t="shared" si="4"/>
        <v>8</v>
      </c>
      <c r="AS13" s="289">
        <f t="shared" ref="AS13:AS18" si="5">IF(AND(AR13&gt;0,AQ13&gt;0),AR13/AQ13,0)</f>
        <v>0.72727272727272729</v>
      </c>
    </row>
    <row r="14" spans="2:45" ht="150" customHeight="1">
      <c r="B14" s="717"/>
      <c r="C14" s="207" t="s">
        <v>423</v>
      </c>
      <c r="D14" s="470">
        <v>96</v>
      </c>
      <c r="E14" s="208" t="s">
        <v>559</v>
      </c>
      <c r="F14" s="208" t="s">
        <v>196</v>
      </c>
      <c r="G14" s="209">
        <v>115</v>
      </c>
      <c r="H14" s="468" t="s">
        <v>790</v>
      </c>
      <c r="I14" s="210" t="s">
        <v>197</v>
      </c>
      <c r="J14" s="129" t="s">
        <v>534</v>
      </c>
      <c r="K14" s="130">
        <v>0</v>
      </c>
      <c r="L14" s="130">
        <v>0</v>
      </c>
      <c r="M14" s="130">
        <v>1</v>
      </c>
      <c r="N14" s="130">
        <v>1</v>
      </c>
      <c r="O14" s="130">
        <v>4</v>
      </c>
      <c r="P14" s="130">
        <v>2</v>
      </c>
      <c r="Q14" s="65">
        <f t="shared" si="0"/>
        <v>5</v>
      </c>
      <c r="R14" s="65">
        <f t="shared" si="0"/>
        <v>3</v>
      </c>
      <c r="S14" s="167">
        <v>2</v>
      </c>
      <c r="T14" s="167">
        <v>4</v>
      </c>
      <c r="U14" s="167">
        <v>6</v>
      </c>
      <c r="V14" s="167">
        <v>4</v>
      </c>
      <c r="W14" s="167">
        <v>14</v>
      </c>
      <c r="X14" s="167">
        <v>11</v>
      </c>
      <c r="Y14" s="65">
        <f t="shared" si="1"/>
        <v>22</v>
      </c>
      <c r="Z14" s="65">
        <f t="shared" si="1"/>
        <v>19</v>
      </c>
      <c r="AA14" s="167">
        <v>16</v>
      </c>
      <c r="AB14" s="167">
        <v>14</v>
      </c>
      <c r="AC14" s="167">
        <v>14</v>
      </c>
      <c r="AD14" s="167">
        <v>21</v>
      </c>
      <c r="AE14" s="167">
        <v>15</v>
      </c>
      <c r="AF14" s="167">
        <v>10</v>
      </c>
      <c r="AG14" s="65">
        <f t="shared" si="2"/>
        <v>45</v>
      </c>
      <c r="AH14" s="65">
        <f t="shared" si="2"/>
        <v>45</v>
      </c>
      <c r="AI14" s="167">
        <v>14</v>
      </c>
      <c r="AJ14" s="167"/>
      <c r="AK14" s="167">
        <v>9</v>
      </c>
      <c r="AL14" s="167"/>
      <c r="AM14" s="167">
        <v>1</v>
      </c>
      <c r="AN14" s="167"/>
      <c r="AO14" s="65">
        <f t="shared" si="3"/>
        <v>24</v>
      </c>
      <c r="AP14" s="65">
        <f t="shared" si="3"/>
        <v>0</v>
      </c>
      <c r="AQ14" s="21">
        <f t="shared" si="4"/>
        <v>96</v>
      </c>
      <c r="AR14" s="69">
        <f t="shared" si="4"/>
        <v>67</v>
      </c>
      <c r="AS14" s="289">
        <f t="shared" si="5"/>
        <v>0.69791666666666663</v>
      </c>
    </row>
    <row r="15" spans="2:45" ht="150" customHeight="1">
      <c r="B15" s="717"/>
      <c r="C15" s="207" t="s">
        <v>424</v>
      </c>
      <c r="D15" s="469">
        <v>46</v>
      </c>
      <c r="E15" s="208" t="s">
        <v>198</v>
      </c>
      <c r="F15" s="208" t="s">
        <v>176</v>
      </c>
      <c r="G15" s="209">
        <v>45</v>
      </c>
      <c r="H15" s="468" t="s">
        <v>791</v>
      </c>
      <c r="I15" s="210" t="s">
        <v>197</v>
      </c>
      <c r="J15" s="129" t="s">
        <v>534</v>
      </c>
      <c r="K15" s="130">
        <v>0</v>
      </c>
      <c r="L15" s="130">
        <v>0</v>
      </c>
      <c r="M15" s="130">
        <v>0</v>
      </c>
      <c r="N15" s="130">
        <v>0</v>
      </c>
      <c r="O15" s="130">
        <v>3</v>
      </c>
      <c r="P15" s="130">
        <v>1</v>
      </c>
      <c r="Q15" s="65">
        <f t="shared" si="0"/>
        <v>3</v>
      </c>
      <c r="R15" s="65">
        <f t="shared" si="0"/>
        <v>1</v>
      </c>
      <c r="S15" s="167">
        <v>1</v>
      </c>
      <c r="T15" s="167">
        <v>1</v>
      </c>
      <c r="U15" s="167">
        <v>4</v>
      </c>
      <c r="V15" s="167">
        <v>4</v>
      </c>
      <c r="W15" s="167">
        <v>16</v>
      </c>
      <c r="X15" s="167">
        <v>11</v>
      </c>
      <c r="Y15" s="65">
        <f t="shared" si="1"/>
        <v>21</v>
      </c>
      <c r="Z15" s="65">
        <f t="shared" si="1"/>
        <v>16</v>
      </c>
      <c r="AA15" s="167">
        <v>5</v>
      </c>
      <c r="AB15" s="167">
        <v>9</v>
      </c>
      <c r="AC15" s="167">
        <v>3</v>
      </c>
      <c r="AD15" s="167">
        <v>4</v>
      </c>
      <c r="AE15" s="167">
        <v>1</v>
      </c>
      <c r="AF15" s="167">
        <v>2</v>
      </c>
      <c r="AG15" s="65">
        <f t="shared" si="2"/>
        <v>9</v>
      </c>
      <c r="AH15" s="65">
        <f t="shared" si="2"/>
        <v>15</v>
      </c>
      <c r="AI15" s="167">
        <v>4</v>
      </c>
      <c r="AJ15" s="167"/>
      <c r="AK15" s="167">
        <v>6</v>
      </c>
      <c r="AL15" s="167"/>
      <c r="AM15" s="167">
        <v>3</v>
      </c>
      <c r="AN15" s="167"/>
      <c r="AO15" s="65">
        <f t="shared" si="3"/>
        <v>13</v>
      </c>
      <c r="AP15" s="65">
        <f t="shared" si="3"/>
        <v>0</v>
      </c>
      <c r="AQ15" s="21">
        <f t="shared" si="4"/>
        <v>46</v>
      </c>
      <c r="AR15" s="69">
        <f t="shared" si="4"/>
        <v>32</v>
      </c>
      <c r="AS15" s="289">
        <f t="shared" si="5"/>
        <v>0.69565217391304346</v>
      </c>
    </row>
    <row r="16" spans="2:45" ht="150" customHeight="1">
      <c r="B16" s="717"/>
      <c r="C16" s="199" t="s">
        <v>520</v>
      </c>
      <c r="D16" s="471">
        <v>60</v>
      </c>
      <c r="E16" s="71" t="s">
        <v>175</v>
      </c>
      <c r="F16" s="71" t="s">
        <v>176</v>
      </c>
      <c r="G16" s="194">
        <v>40</v>
      </c>
      <c r="H16" s="468" t="s">
        <v>177</v>
      </c>
      <c r="I16" s="185" t="s">
        <v>485</v>
      </c>
      <c r="J16" s="187" t="s">
        <v>535</v>
      </c>
      <c r="K16" s="130">
        <v>0</v>
      </c>
      <c r="L16" s="130">
        <v>0</v>
      </c>
      <c r="M16" s="130">
        <v>0</v>
      </c>
      <c r="N16" s="130">
        <v>0</v>
      </c>
      <c r="O16" s="130">
        <v>0</v>
      </c>
      <c r="P16" s="130">
        <v>0</v>
      </c>
      <c r="Q16" s="67">
        <f>K16+M16+O16</f>
        <v>0</v>
      </c>
      <c r="R16" s="67">
        <f>L16+N16+P16</f>
        <v>0</v>
      </c>
      <c r="S16" s="167">
        <v>20</v>
      </c>
      <c r="T16" s="167">
        <v>7</v>
      </c>
      <c r="U16" s="167">
        <v>0</v>
      </c>
      <c r="V16" s="167">
        <v>5</v>
      </c>
      <c r="W16" s="167">
        <v>0</v>
      </c>
      <c r="X16" s="167">
        <v>1</v>
      </c>
      <c r="Y16" s="67">
        <f>S16+U16+W16</f>
        <v>20</v>
      </c>
      <c r="Z16" s="67">
        <f>T16+V16+X16</f>
        <v>13</v>
      </c>
      <c r="AA16" s="167">
        <v>20</v>
      </c>
      <c r="AB16" s="167">
        <v>18</v>
      </c>
      <c r="AC16" s="167">
        <v>0</v>
      </c>
      <c r="AD16" s="167">
        <v>4</v>
      </c>
      <c r="AE16" s="167">
        <v>0</v>
      </c>
      <c r="AF16" s="167">
        <v>1</v>
      </c>
      <c r="AG16" s="67">
        <f>AA16+AC16+AE16</f>
        <v>20</v>
      </c>
      <c r="AH16" s="67">
        <f>AB16+AD16+AF16</f>
        <v>23</v>
      </c>
      <c r="AI16" s="167">
        <v>20</v>
      </c>
      <c r="AJ16" s="167"/>
      <c r="AK16" s="167">
        <v>0</v>
      </c>
      <c r="AL16" s="167"/>
      <c r="AM16" s="167">
        <v>0</v>
      </c>
      <c r="AN16" s="167"/>
      <c r="AO16" s="67">
        <f t="shared" ref="AO16:AP18" si="6">AI16+AK16+AM16</f>
        <v>20</v>
      </c>
      <c r="AP16" s="67">
        <f t="shared" si="6"/>
        <v>0</v>
      </c>
      <c r="AQ16" s="19">
        <f>+Q16+Y16+AG16+AO16</f>
        <v>60</v>
      </c>
      <c r="AR16" s="70">
        <f>R16+Z16+AH16+AP16</f>
        <v>36</v>
      </c>
      <c r="AS16" s="289">
        <f t="shared" si="5"/>
        <v>0.6</v>
      </c>
    </row>
    <row r="17" spans="2:45" ht="150" customHeight="1">
      <c r="B17" s="717"/>
      <c r="C17" s="199" t="s">
        <v>521</v>
      </c>
      <c r="D17" s="472">
        <v>1</v>
      </c>
      <c r="E17" s="200" t="s">
        <v>178</v>
      </c>
      <c r="F17" s="193" t="s">
        <v>179</v>
      </c>
      <c r="G17" s="194">
        <v>115</v>
      </c>
      <c r="H17" s="474" t="s">
        <v>180</v>
      </c>
      <c r="I17" s="185" t="s">
        <v>181</v>
      </c>
      <c r="J17" s="187" t="s">
        <v>535</v>
      </c>
      <c r="K17" s="354">
        <v>1</v>
      </c>
      <c r="L17" s="358">
        <v>1</v>
      </c>
      <c r="M17" s="354">
        <v>1</v>
      </c>
      <c r="N17" s="358">
        <v>1</v>
      </c>
      <c r="O17" s="354">
        <v>1</v>
      </c>
      <c r="P17" s="358">
        <v>1</v>
      </c>
      <c r="Q17" s="355">
        <f>(K17+M17+O17)/3</f>
        <v>1</v>
      </c>
      <c r="R17" s="287">
        <f>IFERROR(IF(OR($AQ$17="",$AQ$17=0),0,ROUNDDOWN(AVERAGE(L17,N17,P17),3)),0)</f>
        <v>1</v>
      </c>
      <c r="S17" s="351">
        <v>1</v>
      </c>
      <c r="T17" s="351">
        <v>1</v>
      </c>
      <c r="U17" s="351">
        <v>1</v>
      </c>
      <c r="V17" s="351">
        <v>1</v>
      </c>
      <c r="W17" s="351">
        <v>1</v>
      </c>
      <c r="X17" s="351">
        <v>1</v>
      </c>
      <c r="Y17" s="289">
        <v>1</v>
      </c>
      <c r="Z17" s="287">
        <f>IFERROR(IF(OR($AQ$17="",$AQ$17=0),0,ROUNDDOWN(AVERAGE(T17,V17,X17),3)),0)</f>
        <v>1</v>
      </c>
      <c r="AA17" s="351">
        <v>1</v>
      </c>
      <c r="AB17" s="351">
        <v>1</v>
      </c>
      <c r="AC17" s="351">
        <v>1</v>
      </c>
      <c r="AD17" s="351">
        <v>1</v>
      </c>
      <c r="AE17" s="351">
        <v>1</v>
      </c>
      <c r="AF17" s="351">
        <v>1</v>
      </c>
      <c r="AG17" s="289">
        <v>1</v>
      </c>
      <c r="AH17" s="287">
        <f>IFERROR(IF(OR($AQ$17="",$AQ$17=0),0,ROUNDDOWN(AVERAGE(AB17,AD17,AF17),3)),0)</f>
        <v>1</v>
      </c>
      <c r="AI17" s="351">
        <v>1</v>
      </c>
      <c r="AJ17" s="351"/>
      <c r="AK17" s="351">
        <v>1</v>
      </c>
      <c r="AL17" s="351"/>
      <c r="AM17" s="351">
        <v>1</v>
      </c>
      <c r="AN17" s="351"/>
      <c r="AO17" s="355">
        <f>(AI17+AK17+AM17)/3</f>
        <v>1</v>
      </c>
      <c r="AP17" s="364">
        <v>0</v>
      </c>
      <c r="AQ17" s="355">
        <f>(Q17+Y17+AG17+AO17)/4</f>
        <v>1</v>
      </c>
      <c r="AR17" s="179">
        <f>IFERROR(IF(OR(AQ17="",AQ17=0),0,ROUNDDOWN(AVERAGE(L17,N17,P17,T17,V17,X17,AB17,AD17,AF17,AJ17,AL17,AN17),3)),0)</f>
        <v>1</v>
      </c>
      <c r="AS17" s="289">
        <f t="shared" si="5"/>
        <v>1</v>
      </c>
    </row>
    <row r="18" spans="2:45" ht="150" customHeight="1">
      <c r="B18" s="717"/>
      <c r="C18" s="199" t="s">
        <v>522</v>
      </c>
      <c r="D18" s="473">
        <v>800</v>
      </c>
      <c r="E18" s="193" t="s">
        <v>182</v>
      </c>
      <c r="F18" s="193" t="s">
        <v>183</v>
      </c>
      <c r="G18" s="194">
        <v>800</v>
      </c>
      <c r="H18" s="468" t="s">
        <v>184</v>
      </c>
      <c r="I18" s="185" t="s">
        <v>185</v>
      </c>
      <c r="J18" s="187" t="s">
        <v>535</v>
      </c>
      <c r="K18" s="130">
        <v>20</v>
      </c>
      <c r="L18" s="130">
        <v>16</v>
      </c>
      <c r="M18" s="130">
        <v>75</v>
      </c>
      <c r="N18" s="130">
        <v>43</v>
      </c>
      <c r="O18" s="130">
        <v>75</v>
      </c>
      <c r="P18" s="130">
        <v>44</v>
      </c>
      <c r="Q18" s="67">
        <f>K18+M18+O18</f>
        <v>170</v>
      </c>
      <c r="R18" s="67">
        <f>L18+N18+P18</f>
        <v>103</v>
      </c>
      <c r="S18" s="167">
        <v>75</v>
      </c>
      <c r="T18" s="167">
        <v>75</v>
      </c>
      <c r="U18" s="167">
        <v>75</v>
      </c>
      <c r="V18" s="167">
        <v>66</v>
      </c>
      <c r="W18" s="167">
        <v>75</v>
      </c>
      <c r="X18" s="167">
        <v>91</v>
      </c>
      <c r="Y18" s="67">
        <f>S18+U18+W18</f>
        <v>225</v>
      </c>
      <c r="Z18" s="67">
        <f>T18+V18+X18</f>
        <v>232</v>
      </c>
      <c r="AA18" s="167">
        <v>75</v>
      </c>
      <c r="AB18" s="167">
        <v>70</v>
      </c>
      <c r="AC18" s="167">
        <v>75</v>
      </c>
      <c r="AD18" s="167">
        <v>64</v>
      </c>
      <c r="AE18" s="167">
        <v>75</v>
      </c>
      <c r="AF18" s="167">
        <v>63</v>
      </c>
      <c r="AG18" s="67">
        <f>AA18+AC18+AE18</f>
        <v>225</v>
      </c>
      <c r="AH18" s="67">
        <f>AB18+AD18+AF18</f>
        <v>197</v>
      </c>
      <c r="AI18" s="167">
        <v>75</v>
      </c>
      <c r="AJ18" s="167"/>
      <c r="AK18" s="167">
        <v>75</v>
      </c>
      <c r="AL18" s="167"/>
      <c r="AM18" s="167">
        <v>30</v>
      </c>
      <c r="AN18" s="167"/>
      <c r="AO18" s="67">
        <f t="shared" si="6"/>
        <v>180</v>
      </c>
      <c r="AP18" s="67">
        <f t="shared" si="6"/>
        <v>0</v>
      </c>
      <c r="AQ18" s="19">
        <f>+Q18+Y18+AG18+AO18</f>
        <v>800</v>
      </c>
      <c r="AR18" s="70">
        <f>R18+Z18+AH18+AP18</f>
        <v>532</v>
      </c>
      <c r="AS18" s="289">
        <f t="shared" si="5"/>
        <v>0.66500000000000004</v>
      </c>
    </row>
    <row r="19" spans="2:45" ht="23.25">
      <c r="B19" s="719" t="s">
        <v>23</v>
      </c>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1"/>
      <c r="AS19" s="360">
        <f>AVERAGE(AS13:AS18)</f>
        <v>0.73097359464207301</v>
      </c>
    </row>
    <row r="20" spans="2:45" ht="17.25">
      <c r="B20" s="6"/>
      <c r="C20" s="6"/>
      <c r="D20" s="12"/>
      <c r="E20" s="6"/>
      <c r="F20" s="6"/>
      <c r="G20" s="6"/>
      <c r="H20" s="6"/>
      <c r="I20" s="6"/>
      <c r="J20" s="7"/>
    </row>
    <row r="21" spans="2:45" ht="30.75" customHeight="1">
      <c r="B21" s="58" t="s">
        <v>4</v>
      </c>
      <c r="C21" s="750" t="s">
        <v>200</v>
      </c>
      <c r="D21" s="736"/>
      <c r="E21" s="736"/>
      <c r="F21" s="736"/>
      <c r="G21" s="736"/>
      <c r="H21" s="736"/>
      <c r="I21" s="736"/>
      <c r="J21" s="737"/>
    </row>
    <row r="22" spans="2:45" ht="17.25">
      <c r="B22" s="6"/>
      <c r="C22" s="676"/>
      <c r="D22" s="676"/>
      <c r="E22" s="676"/>
      <c r="F22" s="676"/>
      <c r="G22" s="676"/>
      <c r="H22" s="676"/>
      <c r="I22" s="676"/>
      <c r="J22" s="676"/>
    </row>
    <row r="23" spans="2:45" ht="75" customHeight="1">
      <c r="B23" s="59" t="s">
        <v>32</v>
      </c>
      <c r="C23" s="683" t="s">
        <v>898</v>
      </c>
      <c r="D23" s="684"/>
      <c r="E23" s="6"/>
      <c r="F23" s="6"/>
      <c r="G23" s="57" t="s">
        <v>22</v>
      </c>
      <c r="H23" s="730" t="s">
        <v>553</v>
      </c>
      <c r="I23" s="754"/>
      <c r="J23" s="754"/>
    </row>
    <row r="24" spans="2:45" ht="13.5" customHeight="1">
      <c r="B24" s="6"/>
      <c r="C24" s="6"/>
      <c r="D24" s="12"/>
      <c r="E24" s="6"/>
      <c r="F24" s="6"/>
      <c r="G24" s="6"/>
      <c r="H24" s="6"/>
      <c r="I24" s="6"/>
      <c r="J24" s="7"/>
    </row>
    <row r="25" spans="2:45" ht="15" customHeight="1">
      <c r="B25" s="6"/>
      <c r="C25" s="6"/>
      <c r="D25" s="12"/>
      <c r="E25" s="6"/>
      <c r="F25" s="6"/>
      <c r="G25" s="6"/>
      <c r="H25" s="6"/>
      <c r="I25" s="6"/>
      <c r="J25" s="7"/>
    </row>
    <row r="26" spans="2:45" ht="17.25">
      <c r="B26" s="6"/>
      <c r="C26" s="6"/>
      <c r="D26" s="12"/>
      <c r="E26" s="6"/>
      <c r="F26" s="6"/>
      <c r="G26" s="6"/>
      <c r="H26" s="6"/>
      <c r="I26" s="6"/>
      <c r="J26" s="7"/>
    </row>
    <row r="27" spans="2:45" ht="15" customHeight="1">
      <c r="B27" s="6"/>
      <c r="C27" s="6"/>
      <c r="D27" s="12"/>
      <c r="E27" s="687"/>
      <c r="F27" s="687"/>
      <c r="G27" s="687"/>
      <c r="H27" s="687"/>
      <c r="I27" s="61"/>
      <c r="J27" s="6"/>
    </row>
    <row r="28" spans="2:45" ht="15" customHeight="1">
      <c r="B28" s="6"/>
      <c r="C28" s="6"/>
      <c r="D28" s="12"/>
      <c r="E28" s="6"/>
      <c r="F28" s="6"/>
      <c r="G28" s="7"/>
      <c r="H28" s="6"/>
      <c r="I28" s="6"/>
      <c r="J28" s="6"/>
    </row>
    <row r="29" spans="2:45" ht="15" customHeight="1">
      <c r="B29" s="6"/>
      <c r="C29" s="6"/>
      <c r="D29" s="12"/>
      <c r="E29" s="687"/>
      <c r="F29" s="687"/>
      <c r="G29" s="687"/>
      <c r="H29" s="687"/>
      <c r="I29" s="61"/>
      <c r="J29" s="6"/>
    </row>
    <row r="30" spans="2:45" ht="15" customHeight="1">
      <c r="B30" s="6"/>
      <c r="C30" s="6"/>
      <c r="D30" s="12"/>
      <c r="E30" s="6"/>
      <c r="F30" s="6"/>
      <c r="G30" s="7"/>
      <c r="H30" s="6"/>
      <c r="I30" s="6"/>
      <c r="J30" s="6"/>
    </row>
    <row r="31" spans="2:45" ht="15" customHeight="1">
      <c r="B31" s="6"/>
      <c r="C31" s="6"/>
      <c r="D31" s="12"/>
      <c r="E31" s="687"/>
      <c r="F31" s="687"/>
      <c r="G31" s="687"/>
      <c r="H31" s="687"/>
      <c r="I31" s="61"/>
      <c r="J31" s="6"/>
    </row>
  </sheetData>
  <sheetProtection algorithmName="SHA-512" hashValue="EBosms0HwAHalSCWG5K36Rc3BJsqcPBagA6jXAtfCNCh9v/P+2TsJnThaeWA5IZMLT+RJhwjvDriDKV25pmiyA==" saltValue="Hs9RBEVYlXnY75JC9tTY5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AM11:AN11"/>
    <mergeCell ref="AO11:AP11"/>
    <mergeCell ref="B19:AR19"/>
    <mergeCell ref="C21:J21"/>
    <mergeCell ref="C22:J22"/>
    <mergeCell ref="AA11:AB11"/>
    <mergeCell ref="AC11:AD11"/>
    <mergeCell ref="AE11:AF11"/>
    <mergeCell ref="AG11:AH11"/>
    <mergeCell ref="AI11:AJ11"/>
    <mergeCell ref="AK11:AL11"/>
    <mergeCell ref="O11:P11"/>
    <mergeCell ref="Q11:R11"/>
    <mergeCell ref="S11:T11"/>
    <mergeCell ref="U11:V11"/>
    <mergeCell ref="W11:X11"/>
    <mergeCell ref="B13:B18"/>
    <mergeCell ref="C23:D23"/>
    <mergeCell ref="H23:J23"/>
    <mergeCell ref="E27:H27"/>
    <mergeCell ref="E29:H29"/>
    <mergeCell ref="E31:H3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B1:AS29"/>
  <sheetViews>
    <sheetView showGridLines="0" zoomScale="55" zoomScaleNormal="55" workbookViewId="0">
      <selection activeCell="C22" sqref="C22"/>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3.28515625" style="8" customWidth="1"/>
    <col min="7" max="7" width="27.140625" style="8" customWidth="1"/>
    <col min="8" max="8" width="28.5703125" style="8" customWidth="1"/>
    <col min="9" max="9" width="50" style="8" customWidth="1"/>
    <col min="10" max="10" width="32.42578125" style="10" customWidth="1"/>
    <col min="11" max="42" width="14.28515625" style="4" customWidth="1"/>
    <col min="43" max="45" width="20"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2:45">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738"/>
      <c r="AS7" s="73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2:45" ht="15.75">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2:45" ht="15.7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2:45" ht="13.5">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2:45" ht="135" customHeight="1">
      <c r="B13" s="756" t="s">
        <v>217</v>
      </c>
      <c r="C13" s="607" t="s">
        <v>425</v>
      </c>
      <c r="D13" s="466">
        <v>20</v>
      </c>
      <c r="E13" s="212" t="s">
        <v>201</v>
      </c>
      <c r="F13" s="213" t="s">
        <v>202</v>
      </c>
      <c r="G13" s="214">
        <v>48</v>
      </c>
      <c r="H13" s="213" t="s">
        <v>203</v>
      </c>
      <c r="I13" s="215" t="s">
        <v>204</v>
      </c>
      <c r="J13" s="216" t="s">
        <v>542</v>
      </c>
      <c r="K13" s="130">
        <v>0</v>
      </c>
      <c r="L13" s="130">
        <v>0</v>
      </c>
      <c r="M13" s="130">
        <v>0</v>
      </c>
      <c r="N13" s="130">
        <v>2</v>
      </c>
      <c r="O13" s="130">
        <v>0</v>
      </c>
      <c r="P13" s="130">
        <v>1</v>
      </c>
      <c r="Q13" s="65">
        <f>K13+M13+O13</f>
        <v>0</v>
      </c>
      <c r="R13" s="65">
        <f>L13+N13+P13</f>
        <v>3</v>
      </c>
      <c r="S13" s="167">
        <v>0</v>
      </c>
      <c r="T13" s="167">
        <v>0</v>
      </c>
      <c r="U13" s="167">
        <v>0</v>
      </c>
      <c r="V13" s="167">
        <v>0</v>
      </c>
      <c r="W13" s="167">
        <v>0</v>
      </c>
      <c r="X13" s="167">
        <v>0</v>
      </c>
      <c r="Y13" s="65">
        <f>S13+U13+W13</f>
        <v>0</v>
      </c>
      <c r="Z13" s="65">
        <f>T13+V13+X13</f>
        <v>0</v>
      </c>
      <c r="AA13" s="167">
        <v>0</v>
      </c>
      <c r="AB13" s="167">
        <v>0</v>
      </c>
      <c r="AC13" s="167">
        <v>0</v>
      </c>
      <c r="AD13" s="167">
        <v>0</v>
      </c>
      <c r="AE13" s="167">
        <v>0</v>
      </c>
      <c r="AF13" s="167">
        <v>1</v>
      </c>
      <c r="AG13" s="65">
        <f>AA13+AC13+AE13</f>
        <v>0</v>
      </c>
      <c r="AH13" s="65">
        <f>AB13+AD13+AF13</f>
        <v>1</v>
      </c>
      <c r="AI13" s="167">
        <v>5</v>
      </c>
      <c r="AJ13" s="167"/>
      <c r="AK13" s="167">
        <v>8</v>
      </c>
      <c r="AL13" s="167"/>
      <c r="AM13" s="167">
        <v>7</v>
      </c>
      <c r="AN13" s="167"/>
      <c r="AO13" s="65">
        <f>AI13+AK13+AM13</f>
        <v>20</v>
      </c>
      <c r="AP13" s="65">
        <f>AJ13+AL13+AN13</f>
        <v>0</v>
      </c>
      <c r="AQ13" s="21">
        <f>Q13+Y13+AG13+AO13</f>
        <v>20</v>
      </c>
      <c r="AR13" s="69">
        <f>R13+Z13+AH13+AP13</f>
        <v>4</v>
      </c>
      <c r="AS13" s="289">
        <f>IF(AND(AR13&gt;0,AQ13&gt;0),AR13/AQ13,0)</f>
        <v>0.2</v>
      </c>
    </row>
    <row r="14" spans="2:45" ht="105">
      <c r="B14" s="757"/>
      <c r="C14" s="755"/>
      <c r="D14" s="466">
        <v>10</v>
      </c>
      <c r="E14" s="267" t="s">
        <v>205</v>
      </c>
      <c r="F14" s="268" t="s">
        <v>206</v>
      </c>
      <c r="G14" s="214">
        <v>31</v>
      </c>
      <c r="H14" s="213" t="s">
        <v>207</v>
      </c>
      <c r="I14" s="215" t="s">
        <v>208</v>
      </c>
      <c r="J14" s="216" t="s">
        <v>542</v>
      </c>
      <c r="K14" s="130">
        <v>0</v>
      </c>
      <c r="L14" s="130">
        <v>0</v>
      </c>
      <c r="M14" s="130">
        <v>0</v>
      </c>
      <c r="N14" s="130">
        <v>0</v>
      </c>
      <c r="O14" s="130">
        <v>0</v>
      </c>
      <c r="P14" s="130">
        <v>0</v>
      </c>
      <c r="Q14" s="65">
        <f t="shared" ref="Q14:R16" si="0">K14+M14+O14</f>
        <v>0</v>
      </c>
      <c r="R14" s="65">
        <f t="shared" si="0"/>
        <v>0</v>
      </c>
      <c r="S14" s="167">
        <v>0</v>
      </c>
      <c r="T14" s="167">
        <v>0</v>
      </c>
      <c r="U14" s="167">
        <v>0</v>
      </c>
      <c r="V14" s="167">
        <v>0</v>
      </c>
      <c r="W14" s="167">
        <v>0</v>
      </c>
      <c r="X14" s="167">
        <v>0</v>
      </c>
      <c r="Y14" s="65">
        <f t="shared" ref="Y14:Z16" si="1">S14+U14+W14</f>
        <v>0</v>
      </c>
      <c r="Z14" s="65">
        <f t="shared" si="1"/>
        <v>0</v>
      </c>
      <c r="AA14" s="167">
        <v>0</v>
      </c>
      <c r="AB14" s="167">
        <v>0</v>
      </c>
      <c r="AC14" s="167">
        <v>0</v>
      </c>
      <c r="AD14" s="167">
        <v>0</v>
      </c>
      <c r="AE14" s="167">
        <v>0</v>
      </c>
      <c r="AF14" s="167">
        <v>0</v>
      </c>
      <c r="AG14" s="65">
        <f t="shared" ref="AG14:AH16" si="2">AA14+AC14+AE14</f>
        <v>0</v>
      </c>
      <c r="AH14" s="65">
        <f t="shared" si="2"/>
        <v>0</v>
      </c>
      <c r="AI14" s="167">
        <v>0</v>
      </c>
      <c r="AJ14" s="167"/>
      <c r="AK14" s="167">
        <v>0</v>
      </c>
      <c r="AL14" s="167"/>
      <c r="AM14" s="167">
        <v>10</v>
      </c>
      <c r="AN14" s="167"/>
      <c r="AO14" s="65">
        <f t="shared" ref="AO14:AP16" si="3">AI14+AK14+AM14</f>
        <v>10</v>
      </c>
      <c r="AP14" s="65">
        <f t="shared" si="3"/>
        <v>0</v>
      </c>
      <c r="AQ14" s="21">
        <f t="shared" ref="AQ14:AR16" si="4">Q14+Y14+AG14+AO14</f>
        <v>10</v>
      </c>
      <c r="AR14" s="69">
        <f t="shared" si="4"/>
        <v>0</v>
      </c>
      <c r="AS14" s="289">
        <f>IF(AND(AR14&gt;0,AQ14&gt;0),AR14/AQ14,0)</f>
        <v>0</v>
      </c>
    </row>
    <row r="15" spans="2:45" ht="105">
      <c r="B15" s="757"/>
      <c r="C15" s="201" t="s">
        <v>426</v>
      </c>
      <c r="D15" s="466">
        <v>50</v>
      </c>
      <c r="E15" s="212" t="s">
        <v>209</v>
      </c>
      <c r="F15" s="213" t="s">
        <v>565</v>
      </c>
      <c r="G15" s="214">
        <v>70</v>
      </c>
      <c r="H15" s="213" t="s">
        <v>211</v>
      </c>
      <c r="I15" s="215" t="s">
        <v>212</v>
      </c>
      <c r="J15" s="216" t="s">
        <v>542</v>
      </c>
      <c r="K15" s="130">
        <v>2</v>
      </c>
      <c r="L15" s="130">
        <v>12</v>
      </c>
      <c r="M15" s="130">
        <v>3</v>
      </c>
      <c r="N15" s="130">
        <v>9</v>
      </c>
      <c r="O15" s="130">
        <v>3</v>
      </c>
      <c r="P15" s="130">
        <v>6</v>
      </c>
      <c r="Q15" s="65">
        <f t="shared" si="0"/>
        <v>8</v>
      </c>
      <c r="R15" s="65">
        <f t="shared" si="0"/>
        <v>27</v>
      </c>
      <c r="S15" s="167">
        <v>0</v>
      </c>
      <c r="T15" s="167">
        <v>0</v>
      </c>
      <c r="U15" s="167">
        <v>0</v>
      </c>
      <c r="V15" s="167">
        <v>0</v>
      </c>
      <c r="W15" s="167">
        <v>0</v>
      </c>
      <c r="X15" s="167">
        <v>0</v>
      </c>
      <c r="Y15" s="65">
        <f t="shared" si="1"/>
        <v>0</v>
      </c>
      <c r="Z15" s="65">
        <f t="shared" si="1"/>
        <v>0</v>
      </c>
      <c r="AA15" s="167">
        <v>0</v>
      </c>
      <c r="AB15" s="167">
        <v>0</v>
      </c>
      <c r="AC15" s="167">
        <v>0</v>
      </c>
      <c r="AD15" s="167">
        <v>0</v>
      </c>
      <c r="AE15" s="167">
        <v>0</v>
      </c>
      <c r="AF15" s="167">
        <v>5</v>
      </c>
      <c r="AG15" s="65">
        <f t="shared" si="2"/>
        <v>0</v>
      </c>
      <c r="AH15" s="65">
        <f t="shared" si="2"/>
        <v>5</v>
      </c>
      <c r="AI15" s="167">
        <v>8</v>
      </c>
      <c r="AJ15" s="167"/>
      <c r="AK15" s="167">
        <v>15</v>
      </c>
      <c r="AL15" s="167"/>
      <c r="AM15" s="167">
        <v>19</v>
      </c>
      <c r="AN15" s="167"/>
      <c r="AO15" s="65">
        <f t="shared" si="3"/>
        <v>42</v>
      </c>
      <c r="AP15" s="65">
        <f t="shared" si="3"/>
        <v>0</v>
      </c>
      <c r="AQ15" s="21">
        <f t="shared" si="4"/>
        <v>50</v>
      </c>
      <c r="AR15" s="69">
        <f t="shared" si="4"/>
        <v>32</v>
      </c>
      <c r="AS15" s="289">
        <f>IF(AND(AR15&gt;0,AQ15&gt;0),AR15/AQ15,0)</f>
        <v>0.64</v>
      </c>
    </row>
    <row r="16" spans="2:45" ht="128.25">
      <c r="B16" s="758"/>
      <c r="C16" s="201" t="s">
        <v>427</v>
      </c>
      <c r="D16" s="466">
        <v>900</v>
      </c>
      <c r="E16" s="212" t="s">
        <v>213</v>
      </c>
      <c r="F16" s="213" t="s">
        <v>214</v>
      </c>
      <c r="G16" s="214">
        <v>1800</v>
      </c>
      <c r="H16" s="213" t="s">
        <v>215</v>
      </c>
      <c r="I16" s="215" t="s">
        <v>216</v>
      </c>
      <c r="J16" s="216" t="s">
        <v>542</v>
      </c>
      <c r="K16" s="130">
        <v>62</v>
      </c>
      <c r="L16" s="130">
        <v>184</v>
      </c>
      <c r="M16" s="130">
        <v>87</v>
      </c>
      <c r="N16" s="130">
        <v>98</v>
      </c>
      <c r="O16" s="130">
        <v>95</v>
      </c>
      <c r="P16" s="130">
        <v>46</v>
      </c>
      <c r="Q16" s="67">
        <f t="shared" si="0"/>
        <v>244</v>
      </c>
      <c r="R16" s="67">
        <f t="shared" si="0"/>
        <v>328</v>
      </c>
      <c r="S16" s="167">
        <v>0</v>
      </c>
      <c r="T16" s="167">
        <v>0</v>
      </c>
      <c r="U16" s="167">
        <v>0</v>
      </c>
      <c r="V16" s="167">
        <v>0</v>
      </c>
      <c r="W16" s="167">
        <v>0</v>
      </c>
      <c r="X16" s="167">
        <v>0</v>
      </c>
      <c r="Y16" s="67">
        <f t="shared" si="1"/>
        <v>0</v>
      </c>
      <c r="Z16" s="67">
        <f t="shared" si="1"/>
        <v>0</v>
      </c>
      <c r="AA16" s="167">
        <v>0</v>
      </c>
      <c r="AB16" s="167">
        <v>0</v>
      </c>
      <c r="AC16" s="167">
        <v>0</v>
      </c>
      <c r="AD16" s="167">
        <v>0</v>
      </c>
      <c r="AE16" s="167">
        <v>0</v>
      </c>
      <c r="AF16" s="167">
        <v>230</v>
      </c>
      <c r="AG16" s="67">
        <f t="shared" si="2"/>
        <v>0</v>
      </c>
      <c r="AH16" s="67">
        <f t="shared" si="2"/>
        <v>230</v>
      </c>
      <c r="AI16" s="167">
        <v>189</v>
      </c>
      <c r="AJ16" s="167"/>
      <c r="AK16" s="167">
        <v>234</v>
      </c>
      <c r="AL16" s="167"/>
      <c r="AM16" s="167">
        <v>233</v>
      </c>
      <c r="AN16" s="167"/>
      <c r="AO16" s="67">
        <f t="shared" si="3"/>
        <v>656</v>
      </c>
      <c r="AP16" s="67">
        <f t="shared" si="3"/>
        <v>0</v>
      </c>
      <c r="AQ16" s="19">
        <f t="shared" si="4"/>
        <v>900</v>
      </c>
      <c r="AR16" s="70">
        <f t="shared" si="4"/>
        <v>558</v>
      </c>
      <c r="AS16" s="289">
        <f>IF(AND(AR16&gt;0,AQ16&gt;0),AR16/AQ16,0)</f>
        <v>0.62</v>
      </c>
    </row>
    <row r="17" spans="2:45" ht="23.25">
      <c r="B17" s="719" t="s">
        <v>23</v>
      </c>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1"/>
      <c r="AS17" s="360">
        <f>AVERAGE(AS13:AS16)</f>
        <v>0.36499999999999999</v>
      </c>
    </row>
    <row r="18" spans="2:45" ht="17.25">
      <c r="B18" s="6"/>
      <c r="C18" s="6"/>
      <c r="D18" s="12"/>
      <c r="E18" s="6"/>
      <c r="F18" s="6"/>
      <c r="G18" s="6"/>
      <c r="H18" s="6"/>
      <c r="I18" s="6"/>
      <c r="J18" s="7"/>
    </row>
    <row r="19" spans="2:45" ht="15.75">
      <c r="B19" s="58" t="s">
        <v>4</v>
      </c>
      <c r="C19" s="750"/>
      <c r="D19" s="736"/>
      <c r="E19" s="736"/>
      <c r="F19" s="736"/>
      <c r="G19" s="736"/>
      <c r="H19" s="736"/>
      <c r="I19" s="736"/>
      <c r="J19" s="737"/>
    </row>
    <row r="20" spans="2:45" ht="17.25">
      <c r="B20" s="6"/>
      <c r="C20" s="676"/>
      <c r="D20" s="676"/>
      <c r="E20" s="676"/>
      <c r="F20" s="676"/>
      <c r="G20" s="676"/>
      <c r="H20" s="676"/>
      <c r="I20" s="676"/>
      <c r="J20" s="676"/>
    </row>
    <row r="21" spans="2:45" ht="72" customHeight="1">
      <c r="B21" s="59" t="s">
        <v>32</v>
      </c>
      <c r="C21" s="683" t="s">
        <v>899</v>
      </c>
      <c r="D21" s="684"/>
      <c r="E21" s="6"/>
      <c r="F21" s="6"/>
      <c r="G21" s="57" t="s">
        <v>22</v>
      </c>
      <c r="H21" s="730" t="s">
        <v>554</v>
      </c>
      <c r="I21" s="731"/>
      <c r="J21" s="731"/>
    </row>
    <row r="22" spans="2:45" ht="17.25">
      <c r="B22" s="6"/>
      <c r="C22" s="6"/>
      <c r="D22" s="12"/>
      <c r="E22" s="6"/>
      <c r="F22" s="6"/>
      <c r="G22" s="6"/>
      <c r="H22" s="6"/>
      <c r="I22" s="6"/>
      <c r="J22" s="7"/>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87"/>
      <c r="F25" s="687"/>
      <c r="G25" s="687"/>
      <c r="H25" s="687"/>
      <c r="I25" s="72"/>
      <c r="J25" s="6"/>
    </row>
    <row r="26" spans="2:45" ht="17.25">
      <c r="B26" s="6"/>
      <c r="C26" s="6"/>
      <c r="D26" s="12"/>
      <c r="E26" s="6"/>
      <c r="F26" s="6"/>
      <c r="G26" s="7"/>
      <c r="H26" s="6"/>
      <c r="I26" s="6"/>
      <c r="J26" s="6"/>
    </row>
    <row r="27" spans="2:45" ht="17.25">
      <c r="B27" s="6"/>
      <c r="C27" s="6"/>
      <c r="D27" s="12"/>
      <c r="E27" s="687"/>
      <c r="F27" s="687"/>
      <c r="G27" s="687"/>
      <c r="H27" s="687"/>
      <c r="I27" s="72"/>
      <c r="J27" s="6"/>
    </row>
    <row r="28" spans="2:45" ht="17.25">
      <c r="B28" s="6"/>
      <c r="C28" s="6"/>
      <c r="D28" s="12"/>
      <c r="E28" s="6"/>
      <c r="F28" s="6"/>
      <c r="G28" s="7"/>
      <c r="H28" s="6"/>
      <c r="I28" s="6"/>
      <c r="J28" s="6"/>
    </row>
    <row r="29" spans="2:45" ht="17.25">
      <c r="B29" s="6"/>
      <c r="C29" s="6"/>
      <c r="D29" s="12"/>
      <c r="E29" s="687"/>
      <c r="F29" s="687"/>
      <c r="G29" s="687"/>
      <c r="H29" s="687"/>
      <c r="I29" s="72"/>
      <c r="J29" s="6"/>
    </row>
  </sheetData>
  <sheetProtection algorithmName="SHA-512" hashValue="Pt0BWreW8srNetoj37JK4fQMgZQgkpCbda1JLjchM/amTfK+a8z7J4AHn6Mt+XTOvxb2MGGvSl6ns7IC0aS0eQ==" saltValue="wZRSQrttJdbCth0ctyshNg==" spinCount="100000" sheet="1" objects="1" scenarios="1"/>
  <mergeCells count="50">
    <mergeCell ref="B17:AR17"/>
    <mergeCell ref="C19:J19"/>
    <mergeCell ref="B13:B16"/>
    <mergeCell ref="AA11:AB11"/>
    <mergeCell ref="AC11:AD11"/>
    <mergeCell ref="AE11:AF11"/>
    <mergeCell ref="AG11:AH11"/>
    <mergeCell ref="AI11:AJ11"/>
    <mergeCell ref="AK11:AL11"/>
    <mergeCell ref="O11:P11"/>
    <mergeCell ref="Q11:R11"/>
    <mergeCell ref="S11:T11"/>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sheetPr>
  <dimension ref="B1:AS36"/>
  <sheetViews>
    <sheetView showGridLines="0" zoomScale="60" zoomScaleNormal="60" workbookViewId="0">
      <selection activeCell="F37" sqref="F37"/>
    </sheetView>
  </sheetViews>
  <sheetFormatPr baseColWidth="10" defaultColWidth="17.28515625" defaultRowHeight="15" customHeight="1"/>
  <cols>
    <col min="1" max="1" width="4.28515625" style="78" customWidth="1"/>
    <col min="2" max="2" width="41.7109375" style="75" bestFit="1" customWidth="1"/>
    <col min="3" max="3" width="28.5703125" style="75" customWidth="1"/>
    <col min="4" max="4" width="23.28515625" style="76" customWidth="1"/>
    <col min="5" max="5" width="25" style="75" customWidth="1"/>
    <col min="6" max="6" width="33.28515625" style="75" bestFit="1" customWidth="1"/>
    <col min="7" max="7" width="24" style="75" customWidth="1"/>
    <col min="8" max="8" width="42.85546875" style="75" customWidth="1"/>
    <col min="9" max="9" width="108.140625" style="75" customWidth="1"/>
    <col min="10" max="10" width="27.28515625" style="77" customWidth="1"/>
    <col min="11" max="11" width="14.28515625" style="78" customWidth="1"/>
    <col min="12" max="12" width="16.140625" style="78" customWidth="1"/>
    <col min="13" max="15" width="14.28515625" style="78" customWidth="1"/>
    <col min="16" max="16" width="15.5703125" style="78" customWidth="1"/>
    <col min="17" max="42" width="14.28515625" style="78" customWidth="1"/>
    <col min="43" max="43" width="17.42578125" style="78" customWidth="1"/>
    <col min="44" max="44" width="19.7109375" style="78" customWidth="1"/>
    <col min="45" max="45" width="20.42578125" style="78" customWidth="1"/>
    <col min="46" max="16384" width="17.28515625" style="78"/>
  </cols>
  <sheetData>
    <row r="1" spans="2:45" ht="15" customHeight="1" thickBot="1"/>
    <row r="2" spans="2:45" ht="16.5" customHeight="1">
      <c r="B2" s="698"/>
      <c r="C2" s="761" t="s">
        <v>59</v>
      </c>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3"/>
      <c r="AR2" s="770" t="s">
        <v>219</v>
      </c>
      <c r="AS2" s="771"/>
    </row>
    <row r="3" spans="2:45" ht="16.5" customHeight="1">
      <c r="B3" s="699"/>
      <c r="C3" s="764"/>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5"/>
      <c r="AQ3" s="766"/>
      <c r="AR3" s="79" t="s">
        <v>36</v>
      </c>
      <c r="AS3" s="80" t="s">
        <v>37</v>
      </c>
    </row>
    <row r="4" spans="2:45" ht="16.5" customHeight="1">
      <c r="B4" s="699"/>
      <c r="C4" s="764"/>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6"/>
      <c r="AR4" s="81">
        <v>3</v>
      </c>
      <c r="AS4" s="82" t="s">
        <v>102</v>
      </c>
    </row>
    <row r="5" spans="2:45" ht="16.5" customHeight="1">
      <c r="B5" s="699"/>
      <c r="C5" s="764"/>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6"/>
      <c r="AR5" s="772" t="s">
        <v>38</v>
      </c>
      <c r="AS5" s="773"/>
    </row>
    <row r="6" spans="2:45" ht="16.5" customHeight="1" thickBot="1">
      <c r="B6" s="700"/>
      <c r="C6" s="767"/>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9"/>
      <c r="AR6" s="774" t="s">
        <v>100</v>
      </c>
      <c r="AS6" s="775"/>
    </row>
    <row r="7" spans="2:45" ht="14.25" customHeight="1">
      <c r="B7" s="83"/>
      <c r="C7" s="83"/>
      <c r="D7" s="84"/>
      <c r="E7" s="83"/>
      <c r="F7" s="83"/>
      <c r="G7" s="83"/>
      <c r="H7" s="83"/>
      <c r="I7" s="83"/>
      <c r="J7" s="85"/>
      <c r="AR7" s="759"/>
      <c r="AS7" s="760"/>
    </row>
    <row r="8" spans="2:45" ht="15" customHeight="1">
      <c r="B8" s="17"/>
      <c r="C8" s="18"/>
      <c r="D8" s="18"/>
      <c r="E8" s="318"/>
      <c r="F8" s="18"/>
      <c r="G8" s="18"/>
      <c r="H8" s="18"/>
      <c r="I8" s="18"/>
      <c r="J8" s="3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3.5" customHeight="1">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2:45" ht="13.5" customHeight="1">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2:45" ht="17.2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2:45" ht="15.75" customHeight="1" thickBot="1">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2:45" ht="270.75">
      <c r="B13" s="781" t="s">
        <v>220</v>
      </c>
      <c r="C13" s="217" t="s">
        <v>455</v>
      </c>
      <c r="D13" s="218">
        <v>1</v>
      </c>
      <c r="E13" s="219" t="s">
        <v>221</v>
      </c>
      <c r="F13" s="219" t="s">
        <v>492</v>
      </c>
      <c r="G13" s="220">
        <v>1</v>
      </c>
      <c r="H13" s="221" t="s">
        <v>222</v>
      </c>
      <c r="I13" s="222" t="s">
        <v>493</v>
      </c>
      <c r="J13" s="221" t="s">
        <v>223</v>
      </c>
      <c r="K13" s="223">
        <v>1</v>
      </c>
      <c r="L13" s="223">
        <v>1</v>
      </c>
      <c r="M13" s="223">
        <v>1</v>
      </c>
      <c r="N13" s="223">
        <v>1</v>
      </c>
      <c r="O13" s="223">
        <v>1</v>
      </c>
      <c r="P13" s="223">
        <v>1</v>
      </c>
      <c r="Q13" s="230">
        <f>(K13+M13+O13)/3</f>
        <v>1</v>
      </c>
      <c r="R13" s="287">
        <f>IFERROR(IF(OR($AQ$13="",$AQ$13=0),0,ROUNDDOWN(AVERAGE(L13,N13,P13),3)),0)</f>
        <v>1</v>
      </c>
      <c r="S13" s="223">
        <v>1</v>
      </c>
      <c r="T13" s="223">
        <v>1</v>
      </c>
      <c r="U13" s="223">
        <v>1</v>
      </c>
      <c r="V13" s="223">
        <v>1</v>
      </c>
      <c r="W13" s="223">
        <v>1</v>
      </c>
      <c r="X13" s="223">
        <v>1</v>
      </c>
      <c r="Y13" s="230">
        <f t="shared" ref="Y13:Y18" si="0">(S13+U13+W13)/3</f>
        <v>1</v>
      </c>
      <c r="Z13" s="287">
        <f t="shared" ref="Z13:Z18" si="1">IFERROR(IF(OR($AQ13="",$AQ13=0),0,ROUNDDOWN(AVERAGE(T13,V13,X13),3)),0)</f>
        <v>1</v>
      </c>
      <c r="AA13" s="223">
        <v>1</v>
      </c>
      <c r="AB13" s="223">
        <v>1</v>
      </c>
      <c r="AC13" s="223">
        <v>1</v>
      </c>
      <c r="AD13" s="223">
        <v>1</v>
      </c>
      <c r="AE13" s="223">
        <v>1</v>
      </c>
      <c r="AF13" s="223">
        <v>1</v>
      </c>
      <c r="AG13" s="230">
        <f t="shared" ref="AG13:AG18" si="2">(AA13+AC13+AE13)/3</f>
        <v>1</v>
      </c>
      <c r="AH13" s="287">
        <f t="shared" ref="AH13:AH18" si="3">IFERROR(IF(OR($AQ13="",$AQ13=0),0,ROUNDDOWN(AVERAGE(AB13,AD13,AF13),3)),0)</f>
        <v>1</v>
      </c>
      <c r="AI13" s="223">
        <v>1</v>
      </c>
      <c r="AJ13" s="131"/>
      <c r="AK13" s="223">
        <v>1</v>
      </c>
      <c r="AL13" s="131"/>
      <c r="AM13" s="223">
        <v>1</v>
      </c>
      <c r="AN13" s="131"/>
      <c r="AO13" s="230">
        <f t="shared" ref="AO13:AO18" si="4">(AI13+AK13+AM13)/3</f>
        <v>1</v>
      </c>
      <c r="AP13" s="287">
        <f t="shared" ref="AP13:AP18" si="5">IFERROR(IF(OR($AQ13="",$AQ13=0),0,ROUNDDOWN(AVERAGE(AJ13,AL13,AN13),3)),0)</f>
        <v>0</v>
      </c>
      <c r="AQ13" s="230">
        <f t="shared" ref="AQ13:AQ18" si="6">(Q13+Y13+AG13+AO13)/4</f>
        <v>1</v>
      </c>
      <c r="AR13" s="179">
        <f t="shared" ref="AR13:AR18" si="7">IFERROR(IF(OR(AQ13="",AQ13=0),0,ROUNDDOWN(AVERAGE(L13,N13,P13,T13,V13,X13,AB13,AD13,AF13,AJ13,AL13,AN13),3)),0)</f>
        <v>1</v>
      </c>
      <c r="AS13" s="290">
        <f t="shared" ref="AS13:AS25" si="8">IF(AND(AR13&gt;0,AQ13&gt;0),AR13/AQ13,0)</f>
        <v>1</v>
      </c>
    </row>
    <row r="14" spans="2:45" ht="156.75">
      <c r="B14" s="782"/>
      <c r="C14" s="217" t="s">
        <v>524</v>
      </c>
      <c r="D14" s="218">
        <v>0.9</v>
      </c>
      <c r="E14" s="224" t="s">
        <v>224</v>
      </c>
      <c r="F14" s="225" t="s">
        <v>225</v>
      </c>
      <c r="G14" s="226">
        <v>0.9</v>
      </c>
      <c r="H14" s="206" t="s">
        <v>226</v>
      </c>
      <c r="I14" s="227" t="s">
        <v>227</v>
      </c>
      <c r="J14" s="206" t="s">
        <v>228</v>
      </c>
      <c r="K14" s="223">
        <v>0.9</v>
      </c>
      <c r="L14" s="223">
        <v>0.75</v>
      </c>
      <c r="M14" s="223">
        <v>0.9</v>
      </c>
      <c r="N14" s="223">
        <v>0.92</v>
      </c>
      <c r="O14" s="223">
        <v>0.9</v>
      </c>
      <c r="P14" s="369">
        <v>0.57099999999999995</v>
      </c>
      <c r="Q14" s="230">
        <f t="shared" ref="Q14:Q17" si="9">(K14+M14+O14)/3</f>
        <v>0.9</v>
      </c>
      <c r="R14" s="287">
        <f t="shared" ref="R14:R18" si="10">IFERROR(IF(OR(AQ14="",AQ14=0),0,ROUNDDOWN(AVERAGE(L14,N14,P14),3)),0)</f>
        <v>0.747</v>
      </c>
      <c r="S14" s="223">
        <v>0.9</v>
      </c>
      <c r="T14" s="542">
        <v>1</v>
      </c>
      <c r="U14" s="223">
        <v>0.9</v>
      </c>
      <c r="V14" s="542">
        <v>1</v>
      </c>
      <c r="W14" s="223">
        <v>0.9</v>
      </c>
      <c r="X14" s="359">
        <v>0.83299999999999996</v>
      </c>
      <c r="Y14" s="230">
        <f t="shared" si="0"/>
        <v>0.9</v>
      </c>
      <c r="Z14" s="287">
        <f t="shared" si="1"/>
        <v>0.94399999999999995</v>
      </c>
      <c r="AA14" s="223">
        <v>0.9</v>
      </c>
      <c r="AB14" s="223">
        <v>1</v>
      </c>
      <c r="AC14" s="223">
        <v>0.9</v>
      </c>
      <c r="AD14" s="223">
        <v>1</v>
      </c>
      <c r="AE14" s="223">
        <v>0.9</v>
      </c>
      <c r="AF14" s="223">
        <v>0.9</v>
      </c>
      <c r="AG14" s="230">
        <f t="shared" si="2"/>
        <v>0.9</v>
      </c>
      <c r="AH14" s="287">
        <f t="shared" si="3"/>
        <v>0.96599999999999997</v>
      </c>
      <c r="AI14" s="223">
        <v>0.9</v>
      </c>
      <c r="AJ14" s="131"/>
      <c r="AK14" s="223">
        <v>0.9</v>
      </c>
      <c r="AL14" s="131"/>
      <c r="AM14" s="223">
        <v>0.9</v>
      </c>
      <c r="AN14" s="131"/>
      <c r="AO14" s="230">
        <f t="shared" si="4"/>
        <v>0.9</v>
      </c>
      <c r="AP14" s="287">
        <f t="shared" si="5"/>
        <v>0</v>
      </c>
      <c r="AQ14" s="230">
        <f t="shared" si="6"/>
        <v>0.9</v>
      </c>
      <c r="AR14" s="179">
        <f>IFERROR(IF(OR(AQ14="",AQ14=0),0,ROUNDDOWN(AVERAGE(L14,N14,P14,T14,V14,X14,AB14,AD14,AF14,AJ14,AL14,AN14),3)),0)</f>
        <v>0.88600000000000001</v>
      </c>
      <c r="AS14" s="290">
        <f t="shared" si="8"/>
        <v>0.98444444444444446</v>
      </c>
    </row>
    <row r="15" spans="2:45" ht="162" customHeight="1">
      <c r="B15" s="782"/>
      <c r="C15" s="778" t="s">
        <v>456</v>
      </c>
      <c r="D15" s="218">
        <v>0.82</v>
      </c>
      <c r="E15" s="224" t="s">
        <v>229</v>
      </c>
      <c r="F15" s="225" t="s">
        <v>230</v>
      </c>
      <c r="G15" s="226">
        <v>1</v>
      </c>
      <c r="H15" s="206" t="s">
        <v>231</v>
      </c>
      <c r="I15" s="227" t="s">
        <v>232</v>
      </c>
      <c r="J15" s="206" t="s">
        <v>228</v>
      </c>
      <c r="K15" s="223">
        <v>1</v>
      </c>
      <c r="L15" s="223">
        <v>1</v>
      </c>
      <c r="M15" s="223">
        <v>1</v>
      </c>
      <c r="N15" s="223">
        <v>1</v>
      </c>
      <c r="O15" s="223">
        <v>1</v>
      </c>
      <c r="P15" s="369">
        <v>0.40100000000000002</v>
      </c>
      <c r="Q15" s="230">
        <f t="shared" si="9"/>
        <v>1</v>
      </c>
      <c r="R15" s="287">
        <f t="shared" si="10"/>
        <v>0.8</v>
      </c>
      <c r="S15" s="223">
        <v>1</v>
      </c>
      <c r="T15" s="542">
        <v>1</v>
      </c>
      <c r="U15" s="223">
        <v>1</v>
      </c>
      <c r="V15" s="542">
        <v>1</v>
      </c>
      <c r="W15" s="223">
        <v>1</v>
      </c>
      <c r="X15" s="359">
        <v>0.79500000000000004</v>
      </c>
      <c r="Y15" s="230">
        <f t="shared" si="0"/>
        <v>1</v>
      </c>
      <c r="Z15" s="287">
        <f t="shared" si="1"/>
        <v>0.93100000000000005</v>
      </c>
      <c r="AA15" s="223">
        <v>0.8</v>
      </c>
      <c r="AB15" s="223">
        <v>0.9</v>
      </c>
      <c r="AC15" s="223">
        <v>0.26</v>
      </c>
      <c r="AD15" s="223">
        <v>0.3</v>
      </c>
      <c r="AE15" s="223">
        <v>0.7</v>
      </c>
      <c r="AF15" s="365">
        <v>0.61813186813186816</v>
      </c>
      <c r="AG15" s="230">
        <f t="shared" si="2"/>
        <v>0.58666666666666667</v>
      </c>
      <c r="AH15" s="287">
        <f t="shared" si="3"/>
        <v>0.60599999999999998</v>
      </c>
      <c r="AI15" s="223">
        <v>0.7</v>
      </c>
      <c r="AJ15" s="131"/>
      <c r="AK15" s="223">
        <v>0.7</v>
      </c>
      <c r="AL15" s="131"/>
      <c r="AM15" s="223">
        <v>0.7</v>
      </c>
      <c r="AN15" s="131"/>
      <c r="AO15" s="230">
        <f t="shared" si="4"/>
        <v>0.69999999999999984</v>
      </c>
      <c r="AP15" s="287">
        <f t="shared" si="5"/>
        <v>0</v>
      </c>
      <c r="AQ15" s="230">
        <f t="shared" si="6"/>
        <v>0.82166666666666666</v>
      </c>
      <c r="AR15" s="179">
        <f>IFERROR(IF(OR(AQ15="",AQ15=0),0,ROUNDDOWN(AVERAGE(L15,N15,P15,T15,V15,X15,AB15,AD15,AF15,AJ15,AL15,AN15),3)),0)</f>
        <v>0.77900000000000003</v>
      </c>
      <c r="AS15" s="290">
        <f t="shared" si="8"/>
        <v>0.94807302231237323</v>
      </c>
    </row>
    <row r="16" spans="2:45" ht="150.75" thickBot="1">
      <c r="B16" s="782"/>
      <c r="C16" s="779"/>
      <c r="D16" s="218">
        <v>1</v>
      </c>
      <c r="E16" s="224" t="s">
        <v>233</v>
      </c>
      <c r="F16" s="225" t="s">
        <v>234</v>
      </c>
      <c r="G16" s="226">
        <v>1</v>
      </c>
      <c r="H16" s="206" t="s">
        <v>231</v>
      </c>
      <c r="I16" s="227" t="s">
        <v>232</v>
      </c>
      <c r="J16" s="206" t="s">
        <v>228</v>
      </c>
      <c r="K16" s="365">
        <v>1</v>
      </c>
      <c r="L16" s="365">
        <v>1</v>
      </c>
      <c r="M16" s="365">
        <v>1</v>
      </c>
      <c r="N16" s="365">
        <v>1</v>
      </c>
      <c r="O16" s="365">
        <v>1</v>
      </c>
      <c r="P16" s="365">
        <v>1</v>
      </c>
      <c r="Q16" s="366">
        <f t="shared" si="9"/>
        <v>1</v>
      </c>
      <c r="R16" s="287">
        <f t="shared" si="10"/>
        <v>1</v>
      </c>
      <c r="S16" s="365">
        <v>1</v>
      </c>
      <c r="T16" s="365">
        <v>1</v>
      </c>
      <c r="U16" s="365">
        <v>1</v>
      </c>
      <c r="V16" s="365">
        <v>1</v>
      </c>
      <c r="W16" s="365">
        <v>1</v>
      </c>
      <c r="X16" s="365">
        <v>1</v>
      </c>
      <c r="Y16" s="366">
        <f t="shared" si="0"/>
        <v>1</v>
      </c>
      <c r="Z16" s="287">
        <f t="shared" si="1"/>
        <v>1</v>
      </c>
      <c r="AA16" s="365">
        <v>1</v>
      </c>
      <c r="AB16" s="365">
        <v>1</v>
      </c>
      <c r="AC16" s="365">
        <v>1</v>
      </c>
      <c r="AD16" s="365">
        <v>1</v>
      </c>
      <c r="AE16" s="365">
        <v>1</v>
      </c>
      <c r="AF16" s="365">
        <v>1</v>
      </c>
      <c r="AG16" s="366">
        <f t="shared" si="2"/>
        <v>1</v>
      </c>
      <c r="AH16" s="287">
        <f t="shared" si="3"/>
        <v>1</v>
      </c>
      <c r="AI16" s="365">
        <v>1</v>
      </c>
      <c r="AJ16" s="365"/>
      <c r="AK16" s="365">
        <v>1</v>
      </c>
      <c r="AL16" s="365"/>
      <c r="AM16" s="365">
        <v>1</v>
      </c>
      <c r="AN16" s="365"/>
      <c r="AO16" s="366">
        <f t="shared" si="4"/>
        <v>1</v>
      </c>
      <c r="AP16" s="287">
        <f t="shared" si="5"/>
        <v>0</v>
      </c>
      <c r="AQ16" s="366">
        <f t="shared" si="6"/>
        <v>1</v>
      </c>
      <c r="AR16" s="179">
        <f t="shared" si="7"/>
        <v>1</v>
      </c>
      <c r="AS16" s="290">
        <f t="shared" si="8"/>
        <v>1</v>
      </c>
    </row>
    <row r="17" spans="2:45" ht="159" customHeight="1" thickTop="1">
      <c r="B17" s="782"/>
      <c r="C17" s="776" t="s">
        <v>523</v>
      </c>
      <c r="D17" s="218">
        <v>0.85</v>
      </c>
      <c r="E17" s="224" t="s">
        <v>457</v>
      </c>
      <c r="F17" s="225" t="s">
        <v>235</v>
      </c>
      <c r="G17" s="226">
        <v>1</v>
      </c>
      <c r="H17" s="206" t="s">
        <v>236</v>
      </c>
      <c r="I17" s="227" t="s">
        <v>237</v>
      </c>
      <c r="J17" s="206" t="s">
        <v>228</v>
      </c>
      <c r="K17" s="365">
        <v>1</v>
      </c>
      <c r="L17" s="365">
        <v>0.96899999999999997</v>
      </c>
      <c r="M17" s="365">
        <v>1</v>
      </c>
      <c r="N17" s="365">
        <v>0.98299999999999998</v>
      </c>
      <c r="O17" s="365">
        <v>1</v>
      </c>
      <c r="P17" s="365">
        <v>1</v>
      </c>
      <c r="Q17" s="366">
        <f t="shared" si="9"/>
        <v>1</v>
      </c>
      <c r="R17" s="287">
        <f t="shared" si="10"/>
        <v>0.98399999999999999</v>
      </c>
      <c r="S17" s="365">
        <v>1</v>
      </c>
      <c r="T17" s="365">
        <v>0.91</v>
      </c>
      <c r="U17" s="365">
        <v>1</v>
      </c>
      <c r="V17" s="365">
        <v>0.879</v>
      </c>
      <c r="W17" s="365">
        <v>1</v>
      </c>
      <c r="X17" s="365">
        <v>0.64900000000000002</v>
      </c>
      <c r="Y17" s="366">
        <f t="shared" si="0"/>
        <v>1</v>
      </c>
      <c r="Z17" s="287">
        <f t="shared" si="1"/>
        <v>0.81200000000000006</v>
      </c>
      <c r="AA17" s="365">
        <v>0.7</v>
      </c>
      <c r="AB17" s="365">
        <v>0.94407894736842102</v>
      </c>
      <c r="AC17" s="365">
        <v>0.7</v>
      </c>
      <c r="AD17" s="365">
        <v>0.9874476987447699</v>
      </c>
      <c r="AE17" s="365">
        <v>0.7</v>
      </c>
      <c r="AF17" s="365">
        <v>0.95154185022026427</v>
      </c>
      <c r="AG17" s="366">
        <f t="shared" si="2"/>
        <v>0.69999999999999984</v>
      </c>
      <c r="AH17" s="287">
        <f t="shared" si="3"/>
        <v>0.96099999999999997</v>
      </c>
      <c r="AI17" s="365">
        <v>0.7</v>
      </c>
      <c r="AJ17" s="365"/>
      <c r="AK17" s="365">
        <v>0.7</v>
      </c>
      <c r="AL17" s="365"/>
      <c r="AM17" s="365">
        <v>0.7</v>
      </c>
      <c r="AN17" s="365"/>
      <c r="AO17" s="366">
        <f t="shared" si="4"/>
        <v>0.69999999999999984</v>
      </c>
      <c r="AP17" s="287">
        <f t="shared" si="5"/>
        <v>0</v>
      </c>
      <c r="AQ17" s="366">
        <f t="shared" si="6"/>
        <v>0.84999999999999987</v>
      </c>
      <c r="AR17" s="179">
        <f t="shared" si="7"/>
        <v>0.91900000000000004</v>
      </c>
      <c r="AS17" s="290">
        <f t="shared" si="8"/>
        <v>1.0811764705882354</v>
      </c>
    </row>
    <row r="18" spans="2:45" ht="163.5" customHeight="1">
      <c r="B18" s="782"/>
      <c r="C18" s="777"/>
      <c r="D18" s="475">
        <v>0.77500000000000013</v>
      </c>
      <c r="E18" s="224" t="s">
        <v>458</v>
      </c>
      <c r="F18" s="225" t="s">
        <v>238</v>
      </c>
      <c r="G18" s="226">
        <v>0.7</v>
      </c>
      <c r="H18" s="206" t="s">
        <v>236</v>
      </c>
      <c r="I18" s="227" t="s">
        <v>237</v>
      </c>
      <c r="J18" s="206" t="s">
        <v>228</v>
      </c>
      <c r="K18" s="365">
        <v>0.7</v>
      </c>
      <c r="L18" s="365">
        <v>0.84199999999999997</v>
      </c>
      <c r="M18" s="365">
        <v>0.7</v>
      </c>
      <c r="N18" s="365">
        <v>0.94799999999999995</v>
      </c>
      <c r="O18" s="365">
        <v>0.7</v>
      </c>
      <c r="P18" s="365">
        <v>0.98299999999999998</v>
      </c>
      <c r="Q18" s="366">
        <f>(K18+M18+O18)/3</f>
        <v>0.69999999999999984</v>
      </c>
      <c r="R18" s="287">
        <f t="shared" si="10"/>
        <v>0.92400000000000004</v>
      </c>
      <c r="S18" s="365">
        <v>0.8</v>
      </c>
      <c r="T18" s="365">
        <v>0.91</v>
      </c>
      <c r="U18" s="365">
        <v>0.8</v>
      </c>
      <c r="V18" s="365">
        <v>0.84399999999999997</v>
      </c>
      <c r="W18" s="365">
        <v>0.8</v>
      </c>
      <c r="X18" s="365">
        <v>0.64900000000000002</v>
      </c>
      <c r="Y18" s="366">
        <f t="shared" si="0"/>
        <v>0.80000000000000016</v>
      </c>
      <c r="Z18" s="287">
        <f t="shared" si="1"/>
        <v>0.80100000000000005</v>
      </c>
      <c r="AA18" s="365">
        <v>0.8</v>
      </c>
      <c r="AB18" s="365">
        <v>0.94407894736842102</v>
      </c>
      <c r="AC18" s="365">
        <v>0.8</v>
      </c>
      <c r="AD18" s="365">
        <v>0.9874476987447699</v>
      </c>
      <c r="AE18" s="365">
        <v>0.8</v>
      </c>
      <c r="AF18" s="365">
        <v>0.95154185022026427</v>
      </c>
      <c r="AG18" s="366">
        <f t="shared" si="2"/>
        <v>0.80000000000000016</v>
      </c>
      <c r="AH18" s="287">
        <f t="shared" si="3"/>
        <v>0.96099999999999997</v>
      </c>
      <c r="AI18" s="365">
        <v>0.8</v>
      </c>
      <c r="AJ18" s="365"/>
      <c r="AK18" s="365">
        <v>0.8</v>
      </c>
      <c r="AL18" s="365"/>
      <c r="AM18" s="365">
        <v>0.8</v>
      </c>
      <c r="AN18" s="365"/>
      <c r="AO18" s="366">
        <f t="shared" si="4"/>
        <v>0.80000000000000016</v>
      </c>
      <c r="AP18" s="287">
        <f t="shared" si="5"/>
        <v>0</v>
      </c>
      <c r="AQ18" s="366">
        <f t="shared" si="6"/>
        <v>0.77500000000000013</v>
      </c>
      <c r="AR18" s="179">
        <f t="shared" si="7"/>
        <v>0.89500000000000002</v>
      </c>
      <c r="AS18" s="290">
        <f t="shared" si="8"/>
        <v>1.1548387096774191</v>
      </c>
    </row>
    <row r="19" spans="2:45" ht="150" customHeight="1">
      <c r="B19" s="782"/>
      <c r="C19" s="217" t="s">
        <v>459</v>
      </c>
      <c r="D19" s="218">
        <v>1</v>
      </c>
      <c r="E19" s="224" t="s">
        <v>239</v>
      </c>
      <c r="F19" s="228" t="s">
        <v>240</v>
      </c>
      <c r="G19" s="226">
        <v>1</v>
      </c>
      <c r="H19" s="206" t="s">
        <v>241</v>
      </c>
      <c r="I19" s="227" t="s">
        <v>242</v>
      </c>
      <c r="J19" s="206" t="s">
        <v>243</v>
      </c>
      <c r="K19" s="359">
        <v>0</v>
      </c>
      <c r="L19" s="365">
        <v>0.3</v>
      </c>
      <c r="M19" s="359">
        <v>0</v>
      </c>
      <c r="N19" s="365">
        <v>0.05</v>
      </c>
      <c r="O19" s="359">
        <v>0</v>
      </c>
      <c r="P19" s="365">
        <v>7.0000000000000007E-2</v>
      </c>
      <c r="Q19" s="366">
        <f t="shared" ref="Q19:R22" si="11">(K19+M19+O19)</f>
        <v>0</v>
      </c>
      <c r="R19" s="366">
        <f t="shared" si="11"/>
        <v>0.42</v>
      </c>
      <c r="S19" s="365">
        <v>0.4</v>
      </c>
      <c r="T19" s="365">
        <v>0.11</v>
      </c>
      <c r="U19" s="359">
        <v>0</v>
      </c>
      <c r="V19" s="365">
        <v>0.03</v>
      </c>
      <c r="W19" s="359">
        <v>0</v>
      </c>
      <c r="X19" s="365">
        <v>0.06</v>
      </c>
      <c r="Y19" s="366">
        <f t="shared" ref="Y19:Z22" si="12">(S19+U19+W19)</f>
        <v>0.4</v>
      </c>
      <c r="Z19" s="366">
        <f t="shared" si="12"/>
        <v>0.2</v>
      </c>
      <c r="AA19" s="359">
        <v>0.22500000000000001</v>
      </c>
      <c r="AB19" s="365">
        <v>5.0000000000000001E-3</v>
      </c>
      <c r="AC19" s="359">
        <v>5.0000000000000001E-3</v>
      </c>
      <c r="AD19" s="365">
        <v>5.0000000000000001E-3</v>
      </c>
      <c r="AE19" s="365">
        <v>7.0000000000000007E-2</v>
      </c>
      <c r="AF19" s="365">
        <v>0.14000000000000001</v>
      </c>
      <c r="AG19" s="366">
        <f t="shared" ref="AG19:AH22" si="13">(AA19+AC19+AE19)</f>
        <v>0.30000000000000004</v>
      </c>
      <c r="AH19" s="366">
        <f t="shared" si="13"/>
        <v>0.15000000000000002</v>
      </c>
      <c r="AI19" s="359">
        <v>0.05</v>
      </c>
      <c r="AJ19" s="365"/>
      <c r="AK19" s="359">
        <v>0.05</v>
      </c>
      <c r="AL19" s="365"/>
      <c r="AM19" s="365">
        <v>0.2</v>
      </c>
      <c r="AN19" s="365"/>
      <c r="AO19" s="366">
        <f t="shared" ref="AO19:AP22" si="14">(AI19+AK19+AM19)</f>
        <v>0.30000000000000004</v>
      </c>
      <c r="AP19" s="366">
        <f t="shared" si="14"/>
        <v>0</v>
      </c>
      <c r="AQ19" s="366">
        <f>(Q19+Y19+AG19+AO19)</f>
        <v>1</v>
      </c>
      <c r="AR19" s="230">
        <f>(R19+Z19+AH19+AP19)</f>
        <v>0.77</v>
      </c>
      <c r="AS19" s="290">
        <f t="shared" si="8"/>
        <v>0.77</v>
      </c>
    </row>
    <row r="20" spans="2:45" ht="180">
      <c r="B20" s="782"/>
      <c r="C20" s="217" t="s">
        <v>460</v>
      </c>
      <c r="D20" s="218">
        <v>1</v>
      </c>
      <c r="E20" s="224" t="s">
        <v>244</v>
      </c>
      <c r="F20" s="228" t="s">
        <v>245</v>
      </c>
      <c r="G20" s="226">
        <v>1</v>
      </c>
      <c r="H20" s="206" t="s">
        <v>246</v>
      </c>
      <c r="I20" s="227" t="s">
        <v>247</v>
      </c>
      <c r="J20" s="206" t="s">
        <v>243</v>
      </c>
      <c r="K20" s="359">
        <v>0</v>
      </c>
      <c r="L20" s="365">
        <v>0.33</v>
      </c>
      <c r="M20" s="359">
        <v>0</v>
      </c>
      <c r="N20" s="365">
        <v>0.03</v>
      </c>
      <c r="O20" s="359">
        <v>0</v>
      </c>
      <c r="P20" s="365">
        <v>0.12</v>
      </c>
      <c r="Q20" s="366">
        <f t="shared" si="11"/>
        <v>0</v>
      </c>
      <c r="R20" s="366">
        <f t="shared" si="11"/>
        <v>0.48</v>
      </c>
      <c r="S20" s="365">
        <v>0.4</v>
      </c>
      <c r="T20" s="365">
        <v>0.05</v>
      </c>
      <c r="U20" s="359">
        <v>0</v>
      </c>
      <c r="V20" s="365">
        <v>0.02</v>
      </c>
      <c r="W20" s="359">
        <v>0</v>
      </c>
      <c r="X20" s="365">
        <v>0.02</v>
      </c>
      <c r="Y20" s="366">
        <f t="shared" si="12"/>
        <v>0.4</v>
      </c>
      <c r="Z20" s="366">
        <f t="shared" si="12"/>
        <v>9.0000000000000011E-2</v>
      </c>
      <c r="AA20" s="495">
        <v>0.19500000000000001</v>
      </c>
      <c r="AB20" s="365">
        <v>0.1</v>
      </c>
      <c r="AC20" s="495">
        <v>2.5000000000000001E-2</v>
      </c>
      <c r="AD20" s="365">
        <v>0.02</v>
      </c>
      <c r="AE20" s="496">
        <v>0.05</v>
      </c>
      <c r="AF20" s="365">
        <v>0.04</v>
      </c>
      <c r="AG20" s="366">
        <f t="shared" si="13"/>
        <v>0.27</v>
      </c>
      <c r="AH20" s="366">
        <f t="shared" si="13"/>
        <v>0.16</v>
      </c>
      <c r="AI20" s="359">
        <v>0.05</v>
      </c>
      <c r="AJ20" s="365"/>
      <c r="AK20" s="359">
        <v>0.04</v>
      </c>
      <c r="AL20" s="365"/>
      <c r="AM20" s="365">
        <v>0.24</v>
      </c>
      <c r="AN20" s="365"/>
      <c r="AO20" s="366">
        <f t="shared" si="14"/>
        <v>0.32999999999999996</v>
      </c>
      <c r="AP20" s="366">
        <f t="shared" si="14"/>
        <v>0</v>
      </c>
      <c r="AQ20" s="366">
        <f>(Q20+Y20+AG20+AO20)</f>
        <v>1</v>
      </c>
      <c r="AR20" s="230">
        <f>(R20+Z20+AH20+AP20)</f>
        <v>0.73</v>
      </c>
      <c r="AS20" s="290">
        <f t="shared" si="8"/>
        <v>0.73</v>
      </c>
    </row>
    <row r="21" spans="2:45" ht="180">
      <c r="B21" s="782"/>
      <c r="C21" s="217" t="s">
        <v>461</v>
      </c>
      <c r="D21" s="218">
        <v>1</v>
      </c>
      <c r="E21" s="224" t="s">
        <v>248</v>
      </c>
      <c r="F21" s="228" t="s">
        <v>249</v>
      </c>
      <c r="G21" s="226">
        <v>1</v>
      </c>
      <c r="H21" s="206" t="s">
        <v>246</v>
      </c>
      <c r="I21" s="227" t="s">
        <v>250</v>
      </c>
      <c r="J21" s="206" t="s">
        <v>243</v>
      </c>
      <c r="K21" s="359">
        <v>0</v>
      </c>
      <c r="L21" s="365">
        <v>0.32</v>
      </c>
      <c r="M21" s="359">
        <v>0</v>
      </c>
      <c r="N21" s="365">
        <v>0.09</v>
      </c>
      <c r="O21" s="359">
        <v>0</v>
      </c>
      <c r="P21" s="365">
        <v>7.0000000000000007E-2</v>
      </c>
      <c r="Q21" s="366">
        <f t="shared" si="11"/>
        <v>0</v>
      </c>
      <c r="R21" s="366">
        <f t="shared" si="11"/>
        <v>0.48000000000000004</v>
      </c>
      <c r="S21" s="365">
        <v>0.4</v>
      </c>
      <c r="T21" s="365">
        <v>0.01</v>
      </c>
      <c r="U21" s="359">
        <v>0</v>
      </c>
      <c r="V21" s="365">
        <v>0.06</v>
      </c>
      <c r="W21" s="359">
        <v>0</v>
      </c>
      <c r="X21" s="365">
        <v>7.0000000000000007E-2</v>
      </c>
      <c r="Y21" s="366">
        <f t="shared" si="12"/>
        <v>0.4</v>
      </c>
      <c r="Z21" s="366">
        <f t="shared" si="12"/>
        <v>0.14000000000000001</v>
      </c>
      <c r="AA21" s="495">
        <v>0.23</v>
      </c>
      <c r="AB21" s="365">
        <v>0.05</v>
      </c>
      <c r="AC21" s="495">
        <v>0.01</v>
      </c>
      <c r="AD21" s="365">
        <v>0.03</v>
      </c>
      <c r="AE21" s="496">
        <v>0</v>
      </c>
      <c r="AF21" s="365">
        <v>0</v>
      </c>
      <c r="AG21" s="366">
        <f t="shared" si="13"/>
        <v>0.24000000000000002</v>
      </c>
      <c r="AH21" s="366">
        <f t="shared" si="13"/>
        <v>0.08</v>
      </c>
      <c r="AI21" s="359">
        <v>0.04</v>
      </c>
      <c r="AJ21" s="365"/>
      <c r="AK21" s="359">
        <v>0.08</v>
      </c>
      <c r="AL21" s="365"/>
      <c r="AM21" s="365">
        <v>0.24</v>
      </c>
      <c r="AN21" s="365"/>
      <c r="AO21" s="366">
        <f t="shared" si="14"/>
        <v>0.36</v>
      </c>
      <c r="AP21" s="366">
        <f t="shared" si="14"/>
        <v>0</v>
      </c>
      <c r="AQ21" s="366">
        <f>Q21+Y21+AG21+AO21</f>
        <v>1</v>
      </c>
      <c r="AR21" s="230">
        <f>R21+Z21+AH21+AP21</f>
        <v>0.70000000000000007</v>
      </c>
      <c r="AS21" s="290">
        <f t="shared" si="8"/>
        <v>0.70000000000000007</v>
      </c>
    </row>
    <row r="22" spans="2:45" ht="198.75" customHeight="1">
      <c r="B22" s="782"/>
      <c r="C22" s="217" t="s">
        <v>462</v>
      </c>
      <c r="D22" s="218">
        <v>1</v>
      </c>
      <c r="E22" s="224" t="s">
        <v>251</v>
      </c>
      <c r="F22" s="228" t="s">
        <v>252</v>
      </c>
      <c r="G22" s="226">
        <v>1</v>
      </c>
      <c r="H22" s="206" t="s">
        <v>253</v>
      </c>
      <c r="I22" s="227" t="s">
        <v>254</v>
      </c>
      <c r="J22" s="206" t="s">
        <v>243</v>
      </c>
      <c r="K22" s="359">
        <v>0</v>
      </c>
      <c r="L22" s="365">
        <v>0.43</v>
      </c>
      <c r="M22" s="359">
        <v>0</v>
      </c>
      <c r="N22" s="365">
        <v>0.04</v>
      </c>
      <c r="O22" s="359">
        <v>0</v>
      </c>
      <c r="P22" s="365">
        <v>0.05</v>
      </c>
      <c r="Q22" s="366">
        <f t="shared" si="11"/>
        <v>0</v>
      </c>
      <c r="R22" s="366">
        <f t="shared" si="11"/>
        <v>0.52</v>
      </c>
      <c r="S22" s="365">
        <v>0.4</v>
      </c>
      <c r="T22" s="365">
        <v>0.01</v>
      </c>
      <c r="U22" s="359">
        <v>0</v>
      </c>
      <c r="V22" s="365">
        <v>0.01</v>
      </c>
      <c r="W22" s="359">
        <v>0</v>
      </c>
      <c r="X22" s="365">
        <v>0.05</v>
      </c>
      <c r="Y22" s="366">
        <f t="shared" si="12"/>
        <v>0.4</v>
      </c>
      <c r="Z22" s="366">
        <f t="shared" si="12"/>
        <v>7.0000000000000007E-2</v>
      </c>
      <c r="AA22" s="495">
        <v>0.215</v>
      </c>
      <c r="AB22" s="365">
        <v>0.02</v>
      </c>
      <c r="AC22" s="495">
        <v>1.4999999999999999E-2</v>
      </c>
      <c r="AD22" s="365">
        <v>0.01</v>
      </c>
      <c r="AE22" s="496">
        <v>0.05</v>
      </c>
      <c r="AF22" s="365">
        <v>0.05</v>
      </c>
      <c r="AG22" s="366">
        <f t="shared" si="13"/>
        <v>0.27999999999999997</v>
      </c>
      <c r="AH22" s="366">
        <f t="shared" si="13"/>
        <v>0.08</v>
      </c>
      <c r="AI22" s="359">
        <v>2.5000000000000001E-2</v>
      </c>
      <c r="AJ22" s="365"/>
      <c r="AK22" s="359">
        <v>2.5000000000000001E-2</v>
      </c>
      <c r="AL22" s="365"/>
      <c r="AM22" s="365">
        <v>0.27</v>
      </c>
      <c r="AN22" s="365"/>
      <c r="AO22" s="366">
        <f t="shared" si="14"/>
        <v>0.32</v>
      </c>
      <c r="AP22" s="366">
        <f t="shared" si="14"/>
        <v>0</v>
      </c>
      <c r="AQ22" s="366">
        <f>(Q22+Y22+AG22+AO22)</f>
        <v>1</v>
      </c>
      <c r="AR22" s="230">
        <f>(R22+Z22+AH22+AP22)</f>
        <v>0.67</v>
      </c>
      <c r="AS22" s="290">
        <f t="shared" si="8"/>
        <v>0.67</v>
      </c>
    </row>
    <row r="23" spans="2:45" ht="316.5" customHeight="1">
      <c r="B23" s="782"/>
      <c r="C23" s="217" t="s">
        <v>463</v>
      </c>
      <c r="D23" s="228">
        <v>32</v>
      </c>
      <c r="E23" s="224" t="s">
        <v>255</v>
      </c>
      <c r="F23" s="225" t="s">
        <v>256</v>
      </c>
      <c r="G23" s="228">
        <v>62</v>
      </c>
      <c r="H23" s="206" t="s">
        <v>551</v>
      </c>
      <c r="I23" s="227" t="s">
        <v>257</v>
      </c>
      <c r="J23" s="206" t="s">
        <v>223</v>
      </c>
      <c r="K23" s="131">
        <v>0</v>
      </c>
      <c r="L23" s="131">
        <v>0</v>
      </c>
      <c r="M23" s="131">
        <v>0</v>
      </c>
      <c r="N23" s="131">
        <v>12</v>
      </c>
      <c r="O23" s="131">
        <v>19</v>
      </c>
      <c r="P23" s="131">
        <v>0</v>
      </c>
      <c r="Q23" s="231">
        <f>K23+M23+O23</f>
        <v>19</v>
      </c>
      <c r="R23" s="232">
        <f>L23+N23+P23</f>
        <v>12</v>
      </c>
      <c r="S23" s="131">
        <v>0</v>
      </c>
      <c r="T23" s="131">
        <v>0</v>
      </c>
      <c r="U23" s="131">
        <v>0</v>
      </c>
      <c r="V23" s="131">
        <v>0</v>
      </c>
      <c r="W23" s="131">
        <v>0</v>
      </c>
      <c r="X23" s="131">
        <v>0</v>
      </c>
      <c r="Y23" s="231">
        <f>S23+U23+W23</f>
        <v>0</v>
      </c>
      <c r="Z23" s="232">
        <f>T23+V23+X23</f>
        <v>0</v>
      </c>
      <c r="AA23" s="131">
        <v>0</v>
      </c>
      <c r="AB23" s="131">
        <v>16</v>
      </c>
      <c r="AC23" s="131">
        <v>0</v>
      </c>
      <c r="AD23" s="131">
        <v>0</v>
      </c>
      <c r="AE23" s="131">
        <v>10</v>
      </c>
      <c r="AF23" s="131">
        <v>1</v>
      </c>
      <c r="AG23" s="231">
        <f>AA23+AC23+AE23</f>
        <v>10</v>
      </c>
      <c r="AH23" s="232">
        <f>AB23+AD23+AF23</f>
        <v>17</v>
      </c>
      <c r="AI23" s="131">
        <v>0</v>
      </c>
      <c r="AJ23" s="131"/>
      <c r="AK23" s="131">
        <v>0</v>
      </c>
      <c r="AL23" s="131"/>
      <c r="AM23" s="131">
        <v>3</v>
      </c>
      <c r="AN23" s="131"/>
      <c r="AO23" s="231">
        <f>AI23+AK23+AM23</f>
        <v>3</v>
      </c>
      <c r="AP23" s="232">
        <f>AJ23+AL23+AN23</f>
        <v>0</v>
      </c>
      <c r="AQ23" s="233">
        <f>Q23+Y23+AG23+AO23</f>
        <v>32</v>
      </c>
      <c r="AR23" s="234">
        <f>R23+Z23+AH23+AP23</f>
        <v>29</v>
      </c>
      <c r="AS23" s="290">
        <f t="shared" si="8"/>
        <v>0.90625</v>
      </c>
    </row>
    <row r="24" spans="2:45" ht="354.75" customHeight="1">
      <c r="B24" s="782"/>
      <c r="C24" s="217" t="s">
        <v>464</v>
      </c>
      <c r="D24" s="218">
        <v>0.9</v>
      </c>
      <c r="E24" s="224" t="s">
        <v>258</v>
      </c>
      <c r="F24" s="229" t="s">
        <v>259</v>
      </c>
      <c r="G24" s="218">
        <v>0.9</v>
      </c>
      <c r="H24" s="206" t="s">
        <v>260</v>
      </c>
      <c r="I24" s="227" t="s">
        <v>261</v>
      </c>
      <c r="J24" s="206" t="s">
        <v>228</v>
      </c>
      <c r="K24" s="365">
        <v>0.9</v>
      </c>
      <c r="L24" s="365">
        <v>1.0589999999999999</v>
      </c>
      <c r="M24" s="365">
        <v>0.9</v>
      </c>
      <c r="N24" s="365">
        <v>0.95499999999999996</v>
      </c>
      <c r="O24" s="365">
        <v>0.9</v>
      </c>
      <c r="P24" s="365">
        <v>1.0349999999999999</v>
      </c>
      <c r="Q24" s="366">
        <f>(K24+M24+O24)/3</f>
        <v>0.9</v>
      </c>
      <c r="R24" s="287">
        <f>IFERROR(IF(OR(AQ24="",AQ24=0),0,ROUNDDOWN(AVERAGE(L24,N24,P24),3)),0)</f>
        <v>1.016</v>
      </c>
      <c r="S24" s="365">
        <v>0.9</v>
      </c>
      <c r="T24" s="365">
        <v>0.99299999999999999</v>
      </c>
      <c r="U24" s="365">
        <v>0.9</v>
      </c>
      <c r="V24" s="365">
        <v>1</v>
      </c>
      <c r="W24" s="365">
        <v>0.9</v>
      </c>
      <c r="X24" s="365">
        <v>0.98899999999999999</v>
      </c>
      <c r="Y24" s="366">
        <f>(S24+U24+W24)/3</f>
        <v>0.9</v>
      </c>
      <c r="Z24" s="287">
        <f>IFERROR(IF(OR($AQ24="",$AQ24=0),0,ROUNDDOWN(AVERAGE(T24,V24,X24),3)),0)</f>
        <v>0.99399999999999999</v>
      </c>
      <c r="AA24" s="365">
        <v>0.9</v>
      </c>
      <c r="AB24" s="365">
        <v>0.90204081632653066</v>
      </c>
      <c r="AC24" s="365">
        <v>0.9</v>
      </c>
      <c r="AD24" s="365">
        <v>0.94599999999999995</v>
      </c>
      <c r="AE24" s="365">
        <v>0.9</v>
      </c>
      <c r="AF24" s="365">
        <v>0.92028985507246375</v>
      </c>
      <c r="AG24" s="366">
        <f>(AA24+AC24+AE24)/3</f>
        <v>0.9</v>
      </c>
      <c r="AH24" s="287">
        <f>IFERROR(IF(OR($AQ24="",$AQ24=0),0,ROUNDDOWN(AVERAGE(AB24,AD24,AF24),3)),0)</f>
        <v>0.92200000000000004</v>
      </c>
      <c r="AI24" s="365">
        <v>0.9</v>
      </c>
      <c r="AJ24" s="365"/>
      <c r="AK24" s="365">
        <v>0.9</v>
      </c>
      <c r="AL24" s="365"/>
      <c r="AM24" s="365">
        <v>0.9</v>
      </c>
      <c r="AN24" s="365"/>
      <c r="AO24" s="366">
        <f>(AI24+AK24+AM24)/3</f>
        <v>0.9</v>
      </c>
      <c r="AP24" s="287">
        <f>IFERROR(IF(OR($AQ24="",$AQ24=0),0,ROUNDDOWN(AVERAGE(AJ24,AL24,AN24),3)),0)</f>
        <v>0</v>
      </c>
      <c r="AQ24" s="366">
        <f>(Q24+Y24+AG24+AO24)/4</f>
        <v>0.9</v>
      </c>
      <c r="AR24" s="179">
        <f>IFERROR(IF(OR(AQ24="",AQ24=0),0,ROUNDDOWN(AVERAGE(L24,N24,P24,T24,V24,X24,AB24,AD24,AF24,AJ24,AL24,AN24),3)),0)</f>
        <v>0.97699999999999998</v>
      </c>
      <c r="AS24" s="290">
        <f t="shared" si="8"/>
        <v>1.0855555555555556</v>
      </c>
    </row>
    <row r="25" spans="2:45" ht="198">
      <c r="B25" s="783"/>
      <c r="C25" s="217" t="s">
        <v>465</v>
      </c>
      <c r="D25" s="218">
        <v>1</v>
      </c>
      <c r="E25" s="224" t="s">
        <v>262</v>
      </c>
      <c r="F25" s="225" t="s">
        <v>263</v>
      </c>
      <c r="G25" s="226">
        <v>1</v>
      </c>
      <c r="H25" s="206" t="s">
        <v>264</v>
      </c>
      <c r="I25" s="227" t="s">
        <v>265</v>
      </c>
      <c r="J25" s="206" t="s">
        <v>228</v>
      </c>
      <c r="K25" s="367">
        <v>1</v>
      </c>
      <c r="L25" s="367">
        <v>0.79800000000000004</v>
      </c>
      <c r="M25" s="367">
        <v>1</v>
      </c>
      <c r="N25" s="367">
        <v>0.79800000000000004</v>
      </c>
      <c r="O25" s="367">
        <v>1</v>
      </c>
      <c r="P25" s="367">
        <v>0.79800000000000004</v>
      </c>
      <c r="Q25" s="368">
        <f>(K25+M25+O25)/3</f>
        <v>1</v>
      </c>
      <c r="R25" s="291">
        <f>IFERROR(IF(OR(AQ25="",AQ25=0),0,ROUNDDOWN(AVERAGE(L25,N25,P25),3)),0)</f>
        <v>0.79800000000000004</v>
      </c>
      <c r="S25" s="367">
        <v>1</v>
      </c>
      <c r="T25" s="367">
        <v>0.79800000000000004</v>
      </c>
      <c r="U25" s="367">
        <v>1</v>
      </c>
      <c r="V25" s="367">
        <v>0.79800000000000004</v>
      </c>
      <c r="W25" s="367">
        <v>1</v>
      </c>
      <c r="X25" s="367">
        <v>0.79800000000000004</v>
      </c>
      <c r="Y25" s="368">
        <f>(S25+U25+W25)/3</f>
        <v>1</v>
      </c>
      <c r="Z25" s="287">
        <f>IFERROR(IF(OR($AQ25="",$AQ25=0),0,ROUNDDOWN(AVERAGE(T25,V25,X25),3)),0)</f>
        <v>0.79800000000000004</v>
      </c>
      <c r="AA25" s="367">
        <v>1</v>
      </c>
      <c r="AB25" s="367">
        <v>0.95348837209302328</v>
      </c>
      <c r="AC25" s="367">
        <v>1</v>
      </c>
      <c r="AD25" s="367">
        <v>0.95348837209302328</v>
      </c>
      <c r="AE25" s="367">
        <v>1</v>
      </c>
      <c r="AF25" s="367">
        <v>0.95348837209302328</v>
      </c>
      <c r="AG25" s="368">
        <f>(AA25+AC25+AE25)/3</f>
        <v>1</v>
      </c>
      <c r="AH25" s="287">
        <f>IFERROR(IF(OR($AQ25="",$AQ25=0),0,ROUNDDOWN(AVERAGE(AB25,AD25,AF25),3)),0)</f>
        <v>0.95299999999999996</v>
      </c>
      <c r="AI25" s="367">
        <v>1</v>
      </c>
      <c r="AJ25" s="367"/>
      <c r="AK25" s="367">
        <v>1</v>
      </c>
      <c r="AL25" s="367"/>
      <c r="AM25" s="367">
        <v>1</v>
      </c>
      <c r="AN25" s="367"/>
      <c r="AO25" s="368">
        <f>(AI25+AK25+AM25)/3</f>
        <v>1</v>
      </c>
      <c r="AP25" s="287">
        <f>IFERROR(IF(OR($AQ25="",$AQ25=0),0,ROUNDDOWN(AVERAGE(AJ25,AL25,AN25),3)),0)</f>
        <v>0</v>
      </c>
      <c r="AQ25" s="368">
        <f>(Q25+Y25+AG25+AO25)/4</f>
        <v>1</v>
      </c>
      <c r="AR25" s="292">
        <f>IFERROR(IF(OR(AQ25="",AQ25=0),0,ROUNDDOWN(AVERAGE(L25,N25,P25,T25,V25,X25,AB25,AD25,AF25,AJ25,AL25,AN25),3)),0)</f>
        <v>0.84899999999999998</v>
      </c>
      <c r="AS25" s="293">
        <f t="shared" si="8"/>
        <v>0.84899999999999998</v>
      </c>
    </row>
    <row r="26" spans="2:45" s="4" customFormat="1" ht="23.25">
      <c r="B26" s="719" t="s">
        <v>23</v>
      </c>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1"/>
      <c r="AS26" s="360">
        <f>AVERAGE(AS13:AS25)</f>
        <v>0.91379524635215581</v>
      </c>
    </row>
    <row r="27" spans="2:45" ht="17.25">
      <c r="B27" s="86"/>
      <c r="C27" s="784"/>
      <c r="D27" s="784"/>
      <c r="E27" s="784"/>
      <c r="F27" s="784"/>
      <c r="G27" s="784"/>
      <c r="H27" s="784"/>
      <c r="I27" s="784"/>
      <c r="J27" s="784"/>
    </row>
    <row r="28" spans="2:45" ht="45" customHeight="1">
      <c r="B28" s="89" t="s">
        <v>32</v>
      </c>
      <c r="C28" s="785" t="s">
        <v>899</v>
      </c>
      <c r="D28" s="786"/>
      <c r="E28" s="86"/>
      <c r="F28" s="86"/>
      <c r="G28" s="90" t="s">
        <v>22</v>
      </c>
      <c r="H28" s="787" t="s">
        <v>266</v>
      </c>
      <c r="I28" s="788"/>
      <c r="J28" s="788"/>
    </row>
    <row r="29" spans="2:45" ht="13.5" customHeight="1">
      <c r="B29" s="86"/>
      <c r="C29" s="86"/>
      <c r="D29" s="87"/>
      <c r="E29" s="86"/>
      <c r="F29" s="86"/>
      <c r="G29" s="86"/>
      <c r="H29" s="86"/>
      <c r="I29" s="86"/>
      <c r="J29" s="88"/>
    </row>
    <row r="30" spans="2:45" ht="15" customHeight="1">
      <c r="B30" s="86"/>
      <c r="C30" s="86"/>
      <c r="D30" s="87"/>
      <c r="E30" s="86"/>
      <c r="F30" s="86"/>
      <c r="G30" s="86"/>
      <c r="H30" s="86"/>
      <c r="I30" s="86"/>
      <c r="J30" s="88"/>
    </row>
    <row r="31" spans="2:45" ht="17.25">
      <c r="B31" s="86"/>
      <c r="C31" s="86"/>
      <c r="D31" s="87"/>
      <c r="E31" s="86"/>
      <c r="F31" s="86"/>
      <c r="G31" s="86"/>
      <c r="H31" s="86"/>
      <c r="I31" s="86"/>
      <c r="J31" s="88"/>
    </row>
    <row r="32" spans="2:45" ht="15" customHeight="1">
      <c r="B32" s="86"/>
      <c r="C32" s="86"/>
      <c r="D32" s="87"/>
      <c r="E32" s="780"/>
      <c r="F32" s="780"/>
      <c r="G32" s="780"/>
      <c r="H32" s="780"/>
      <c r="I32" s="91"/>
      <c r="J32" s="86"/>
    </row>
    <row r="33" spans="2:10" ht="15" customHeight="1">
      <c r="B33" s="86"/>
      <c r="C33" s="86"/>
      <c r="D33" s="87"/>
      <c r="E33" s="86"/>
      <c r="F33" s="86"/>
      <c r="G33" s="88"/>
      <c r="H33" s="86"/>
      <c r="I33" s="86"/>
      <c r="J33" s="86"/>
    </row>
    <row r="34" spans="2:10" ht="15" customHeight="1">
      <c r="B34" s="86"/>
      <c r="C34" s="86"/>
      <c r="D34" s="87"/>
      <c r="E34" s="780"/>
      <c r="F34" s="780"/>
      <c r="G34" s="780"/>
      <c r="H34" s="780"/>
      <c r="I34" s="91"/>
      <c r="J34" s="86"/>
    </row>
    <row r="35" spans="2:10" ht="15" customHeight="1">
      <c r="B35" s="86"/>
      <c r="C35" s="86"/>
      <c r="D35" s="87"/>
      <c r="E35" s="86"/>
      <c r="F35" s="86"/>
      <c r="G35" s="88"/>
      <c r="H35" s="86"/>
      <c r="I35" s="86"/>
      <c r="J35" s="86"/>
    </row>
    <row r="36" spans="2:10" ht="15" customHeight="1">
      <c r="B36" s="86"/>
      <c r="C36" s="86"/>
      <c r="D36" s="87"/>
      <c r="E36" s="780"/>
      <c r="F36" s="780"/>
      <c r="G36" s="780"/>
      <c r="H36" s="780"/>
      <c r="I36" s="91"/>
      <c r="J36" s="86"/>
    </row>
  </sheetData>
  <sheetProtection algorithmName="SHA-512" hashValue="HWTUhIaaheobwx4JwT2yXVOtNDeBxm629CDxYyUm6pKV7I88+nwJlpq57eblIZetYeiEdlR/NQwqSvPlmjj4qA==" saltValue="P/s72Ak7VLFSPzqSq9ZPUw==" spinCount="100000" sheet="1" objects="1" scenarios="1"/>
  <mergeCells count="50">
    <mergeCell ref="E32:H32"/>
    <mergeCell ref="E34:H34"/>
    <mergeCell ref="E36:H36"/>
    <mergeCell ref="B13:B25"/>
    <mergeCell ref="C27:J27"/>
    <mergeCell ref="C28:D28"/>
    <mergeCell ref="H28:J28"/>
    <mergeCell ref="O11:P11"/>
    <mergeCell ref="Q11:R11"/>
    <mergeCell ref="S11:T11"/>
    <mergeCell ref="U11:V11"/>
    <mergeCell ref="W11:X11"/>
    <mergeCell ref="I9:I12"/>
    <mergeCell ref="J9:J12"/>
    <mergeCell ref="C17:C18"/>
    <mergeCell ref="C15:C16"/>
    <mergeCell ref="B26:AR26"/>
    <mergeCell ref="K9:AP9"/>
    <mergeCell ref="AQ9:AQ12"/>
    <mergeCell ref="AR9:AR12"/>
    <mergeCell ref="AM11:AN11"/>
    <mergeCell ref="Y11:Z11"/>
    <mergeCell ref="AC11:AD11"/>
    <mergeCell ref="AE11:AF11"/>
    <mergeCell ref="AG11:AH11"/>
    <mergeCell ref="AI11:AJ11"/>
    <mergeCell ref="AK11:AL11"/>
    <mergeCell ref="AA11:AB1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AO11:AP11"/>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1:AS31"/>
  <sheetViews>
    <sheetView showGridLines="0" zoomScale="55" zoomScaleNormal="55" workbookViewId="0">
      <selection activeCell="C24" sqref="C24"/>
    </sheetView>
  </sheetViews>
  <sheetFormatPr baseColWidth="10" defaultColWidth="17.28515625" defaultRowHeight="15" customHeight="1"/>
  <cols>
    <col min="1" max="1" width="3" style="4" customWidth="1"/>
    <col min="2" max="2" width="28.42578125" style="8" customWidth="1"/>
    <col min="3" max="3" width="28.5703125" style="8" customWidth="1"/>
    <col min="4" max="5" width="21.42578125" style="13" customWidth="1"/>
    <col min="6" max="7" width="21.42578125" style="8" customWidth="1"/>
    <col min="8" max="8" width="28.5703125" style="8" customWidth="1"/>
    <col min="9" max="9" width="52.28515625" style="8" customWidth="1"/>
    <col min="10" max="10" width="33.28515625" style="93" customWidth="1"/>
    <col min="11" max="42" width="14.28515625" style="4" customWidth="1"/>
    <col min="43" max="45" width="19.7109375" style="4" customWidth="1"/>
    <col min="46" max="16384" width="17.28515625" style="4"/>
  </cols>
  <sheetData>
    <row r="1" spans="1:45" ht="18" thickBot="1"/>
    <row r="2" spans="1: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1:45" ht="15.75">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1:45">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1:45" ht="15.75">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1: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1:45" ht="17.25">
      <c r="B7" s="5"/>
      <c r="C7" s="5"/>
      <c r="D7" s="11"/>
      <c r="E7" s="11"/>
      <c r="F7" s="5"/>
      <c r="G7" s="5"/>
      <c r="H7" s="5"/>
      <c r="I7" s="5"/>
      <c r="J7" s="94"/>
      <c r="AR7" s="738"/>
      <c r="AS7" s="739"/>
    </row>
    <row r="8" spans="1:45" ht="13.5">
      <c r="B8" s="17"/>
      <c r="C8" s="18"/>
      <c r="D8" s="18"/>
      <c r="E8" s="74"/>
      <c r="F8" s="18"/>
      <c r="G8" s="18"/>
      <c r="H8" s="18"/>
      <c r="I8" s="18"/>
      <c r="J8" s="74"/>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1:45" ht="15.75">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1:45" ht="15.75">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1:45" ht="15.7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1:45" ht="13.5">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1:45" ht="142.5">
      <c r="A13" s="95"/>
      <c r="B13" s="789" t="s">
        <v>286</v>
      </c>
      <c r="C13" s="235" t="s">
        <v>428</v>
      </c>
      <c r="D13" s="181">
        <v>0.91</v>
      </c>
      <c r="E13" s="236" t="s">
        <v>267</v>
      </c>
      <c r="F13" s="211" t="s">
        <v>268</v>
      </c>
      <c r="G13" s="198">
        <v>0.85</v>
      </c>
      <c r="H13" s="237" t="s">
        <v>269</v>
      </c>
      <c r="I13" s="238" t="s">
        <v>270</v>
      </c>
      <c r="J13" s="214" t="s">
        <v>547</v>
      </c>
      <c r="K13" s="370">
        <v>0.87</v>
      </c>
      <c r="L13" s="373">
        <v>1</v>
      </c>
      <c r="M13" s="370">
        <v>0.87</v>
      </c>
      <c r="N13" s="373">
        <v>0.93799999999999994</v>
      </c>
      <c r="O13" s="370">
        <v>0.87</v>
      </c>
      <c r="P13" s="373">
        <v>0.78700000000000003</v>
      </c>
      <c r="Q13" s="371">
        <f t="shared" ref="Q13:Q18" si="0">(K13+M13+O13)/3</f>
        <v>0.87</v>
      </c>
      <c r="R13" s="294">
        <f>IFERROR(IF(OR($AQ13="",$AQ13=0),0,ROUNDDOWN(AVERAGE(L13,N13,P13),3)),0)</f>
        <v>0.90800000000000003</v>
      </c>
      <c r="S13" s="370">
        <v>0.87</v>
      </c>
      <c r="T13" s="373">
        <v>1</v>
      </c>
      <c r="U13" s="370">
        <v>0.87</v>
      </c>
      <c r="V13" s="373">
        <v>1</v>
      </c>
      <c r="W13" s="370">
        <v>0.87</v>
      </c>
      <c r="X13" s="373">
        <v>1</v>
      </c>
      <c r="Y13" s="371">
        <f t="shared" ref="Y13:Y18" si="1">(S13+U13+W13)/3</f>
        <v>0.87</v>
      </c>
      <c r="Z13" s="294">
        <f>IFERROR(IF(OR($AQ13="",$AQ13=0),0,ROUNDDOWN(AVERAGE(T13,V13,X13),3)),0)</f>
        <v>1</v>
      </c>
      <c r="AA13" s="370">
        <v>0.95</v>
      </c>
      <c r="AB13" s="373">
        <v>1</v>
      </c>
      <c r="AC13" s="370">
        <v>0.95</v>
      </c>
      <c r="AD13" s="373">
        <v>1</v>
      </c>
      <c r="AE13" s="370">
        <v>0.95</v>
      </c>
      <c r="AF13" s="373">
        <v>1</v>
      </c>
      <c r="AG13" s="371">
        <f t="shared" ref="AG13:AG18" si="2">(AA13+AC13+AE13)/3</f>
        <v>0.94999999999999984</v>
      </c>
      <c r="AH13" s="294">
        <f>IFERROR(IF(OR($AQ13="",$AQ13=0),0,ROUNDDOWN(AVERAGE(AB13,AD13,AF13),3)),0)</f>
        <v>1</v>
      </c>
      <c r="AI13" s="370">
        <v>0.95</v>
      </c>
      <c r="AJ13" s="373"/>
      <c r="AK13" s="370">
        <v>0.95</v>
      </c>
      <c r="AL13" s="373"/>
      <c r="AM13" s="370">
        <v>0.95</v>
      </c>
      <c r="AN13" s="373"/>
      <c r="AO13" s="371">
        <f t="shared" ref="AO13:AO18" si="3">(AI13+AK13+AM13)/3</f>
        <v>0.94999999999999984</v>
      </c>
      <c r="AP13" s="294">
        <f>IFERROR(IF(OR($AQ13="",$AQ13=0),0,ROUNDDOWN(AVERAGE(AJ13,AL13,AN13),3)),0)</f>
        <v>0</v>
      </c>
      <c r="AQ13" s="355">
        <f t="shared" ref="AQ13:AQ18" si="4">(Q13+Y13+AG13+AO13)/4</f>
        <v>0.90999999999999992</v>
      </c>
      <c r="AR13" s="292">
        <f t="shared" ref="AR13:AR18" si="5">IFERROR(IF(OR(AQ13="",AQ13=0),0,ROUNDDOWN(AVERAGE(L13,N13,P13,T13,V13,X13,AB13,AD13,AF13,AJ13,AL13,AN13),3)),0)</f>
        <v>0.96899999999999997</v>
      </c>
      <c r="AS13" s="289">
        <f t="shared" ref="AS13:AS18" si="6">IF(AND(AR13&gt;0,AQ13&gt;0),AR13/AQ13,0)</f>
        <v>1.0648351648351648</v>
      </c>
    </row>
    <row r="14" spans="1:45" ht="90">
      <c r="A14" s="95"/>
      <c r="B14" s="790"/>
      <c r="C14" s="235" t="s">
        <v>429</v>
      </c>
      <c r="D14" s="218">
        <v>0.95</v>
      </c>
      <c r="E14" s="236" t="s">
        <v>271</v>
      </c>
      <c r="F14" s="211" t="s">
        <v>272</v>
      </c>
      <c r="G14" s="198">
        <v>0.95</v>
      </c>
      <c r="H14" s="237" t="s">
        <v>269</v>
      </c>
      <c r="I14" s="238" t="s">
        <v>494</v>
      </c>
      <c r="J14" s="214" t="s">
        <v>547</v>
      </c>
      <c r="K14" s="372">
        <v>0.95</v>
      </c>
      <c r="L14" s="374">
        <v>1</v>
      </c>
      <c r="M14" s="372">
        <v>0.95</v>
      </c>
      <c r="N14" s="374">
        <v>1</v>
      </c>
      <c r="O14" s="372">
        <v>0.95</v>
      </c>
      <c r="P14" s="374">
        <v>1</v>
      </c>
      <c r="Q14" s="371">
        <f t="shared" si="0"/>
        <v>0.94999999999999984</v>
      </c>
      <c r="R14" s="294">
        <f t="shared" ref="R14:R18" si="7">IFERROR(IF(OR(AQ14="",AQ14=0),0,ROUNDDOWN(AVERAGE(L14,N14,P14),3)),0)</f>
        <v>1</v>
      </c>
      <c r="S14" s="372">
        <v>0.95</v>
      </c>
      <c r="T14" s="374">
        <v>1</v>
      </c>
      <c r="U14" s="372">
        <v>0.95</v>
      </c>
      <c r="V14" s="374">
        <v>1</v>
      </c>
      <c r="W14" s="372">
        <v>0.95</v>
      </c>
      <c r="X14" s="374">
        <v>1</v>
      </c>
      <c r="Y14" s="371">
        <f t="shared" si="1"/>
        <v>0.94999999999999984</v>
      </c>
      <c r="Z14" s="294">
        <f t="shared" ref="Z14:Z18" si="8">IFERROR(IF(OR($AQ14="",$AQ14=0),0,ROUNDDOWN(AVERAGE(T14,V14,X14),3)),0)</f>
        <v>1</v>
      </c>
      <c r="AA14" s="372">
        <v>0.95</v>
      </c>
      <c r="AB14" s="374">
        <v>1</v>
      </c>
      <c r="AC14" s="372">
        <v>0.95</v>
      </c>
      <c r="AD14" s="374">
        <v>1</v>
      </c>
      <c r="AE14" s="372">
        <v>0.95</v>
      </c>
      <c r="AF14" s="374">
        <v>1</v>
      </c>
      <c r="AG14" s="371">
        <f t="shared" si="2"/>
        <v>0.94999999999999984</v>
      </c>
      <c r="AH14" s="294">
        <f t="shared" ref="AH14:AH18" si="9">IFERROR(IF(OR($AQ14="",$AQ14=0),0,ROUNDDOWN(AVERAGE(AB14,AD14,AF14),3)),0)</f>
        <v>1</v>
      </c>
      <c r="AI14" s="372">
        <v>0.95</v>
      </c>
      <c r="AJ14" s="374"/>
      <c r="AK14" s="372">
        <v>0.95</v>
      </c>
      <c r="AL14" s="374"/>
      <c r="AM14" s="372">
        <v>0.95</v>
      </c>
      <c r="AN14" s="374"/>
      <c r="AO14" s="371">
        <f t="shared" si="3"/>
        <v>0.94999999999999984</v>
      </c>
      <c r="AP14" s="294">
        <f t="shared" ref="AP14:AP18" si="10">IFERROR(IF(OR($AQ14="",$AQ14=0),0,ROUNDDOWN(AVERAGE(AJ14,AL14,AN14),3)),0)</f>
        <v>0</v>
      </c>
      <c r="AQ14" s="355">
        <f t="shared" si="4"/>
        <v>0.94999999999999984</v>
      </c>
      <c r="AR14" s="292">
        <f t="shared" si="5"/>
        <v>1</v>
      </c>
      <c r="AS14" s="289">
        <f t="shared" si="6"/>
        <v>1.0526315789473686</v>
      </c>
    </row>
    <row r="15" spans="1:45" ht="105">
      <c r="A15" s="95"/>
      <c r="B15" s="790"/>
      <c r="C15" s="235" t="s">
        <v>430</v>
      </c>
      <c r="D15" s="181">
        <v>0.95</v>
      </c>
      <c r="E15" s="236" t="s">
        <v>273</v>
      </c>
      <c r="F15" s="211" t="s">
        <v>274</v>
      </c>
      <c r="G15" s="198">
        <v>0.95</v>
      </c>
      <c r="H15" s="237" t="s">
        <v>269</v>
      </c>
      <c r="I15" s="239" t="s">
        <v>275</v>
      </c>
      <c r="J15" s="214" t="s">
        <v>547</v>
      </c>
      <c r="K15" s="370">
        <v>0.95</v>
      </c>
      <c r="L15" s="373">
        <v>1</v>
      </c>
      <c r="M15" s="372">
        <v>0.95</v>
      </c>
      <c r="N15" s="373">
        <v>0.99299999999999999</v>
      </c>
      <c r="O15" s="372">
        <v>0.95</v>
      </c>
      <c r="P15" s="373">
        <v>0.98799999999999999</v>
      </c>
      <c r="Q15" s="371">
        <f t="shared" si="0"/>
        <v>0.94999999999999984</v>
      </c>
      <c r="R15" s="294">
        <f t="shared" si="7"/>
        <v>0.99299999999999999</v>
      </c>
      <c r="S15" s="372">
        <v>0.95</v>
      </c>
      <c r="T15" s="373">
        <v>1</v>
      </c>
      <c r="U15" s="372">
        <v>0.95</v>
      </c>
      <c r="V15" s="373">
        <v>0.998</v>
      </c>
      <c r="W15" s="372">
        <v>0.95</v>
      </c>
      <c r="X15" s="373">
        <v>1</v>
      </c>
      <c r="Y15" s="371">
        <f t="shared" si="1"/>
        <v>0.94999999999999984</v>
      </c>
      <c r="Z15" s="294">
        <f t="shared" si="8"/>
        <v>0.999</v>
      </c>
      <c r="AA15" s="372">
        <v>0.95</v>
      </c>
      <c r="AB15" s="373">
        <v>1</v>
      </c>
      <c r="AC15" s="372">
        <v>0.95</v>
      </c>
      <c r="AD15" s="373">
        <v>1</v>
      </c>
      <c r="AE15" s="372">
        <v>0.95</v>
      </c>
      <c r="AF15" s="373">
        <v>0.99429657794676807</v>
      </c>
      <c r="AG15" s="371">
        <f t="shared" si="2"/>
        <v>0.94999999999999984</v>
      </c>
      <c r="AH15" s="294">
        <f t="shared" si="9"/>
        <v>0.998</v>
      </c>
      <c r="AI15" s="372">
        <v>0.95</v>
      </c>
      <c r="AJ15" s="373"/>
      <c r="AK15" s="372">
        <v>0.95</v>
      </c>
      <c r="AL15" s="373"/>
      <c r="AM15" s="372">
        <v>0.95</v>
      </c>
      <c r="AN15" s="373"/>
      <c r="AO15" s="371">
        <f t="shared" si="3"/>
        <v>0.94999999999999984</v>
      </c>
      <c r="AP15" s="294">
        <f t="shared" si="10"/>
        <v>0</v>
      </c>
      <c r="AQ15" s="355">
        <f t="shared" si="4"/>
        <v>0.94999999999999984</v>
      </c>
      <c r="AR15" s="292">
        <f t="shared" si="5"/>
        <v>0.997</v>
      </c>
      <c r="AS15" s="289">
        <f t="shared" si="6"/>
        <v>1.0494736842105266</v>
      </c>
    </row>
    <row r="16" spans="1:45" ht="138" customHeight="1">
      <c r="A16" s="95"/>
      <c r="B16" s="790"/>
      <c r="C16" s="235" t="s">
        <v>431</v>
      </c>
      <c r="D16" s="181">
        <v>0.95</v>
      </c>
      <c r="E16" s="236" t="s">
        <v>276</v>
      </c>
      <c r="F16" s="211" t="s">
        <v>277</v>
      </c>
      <c r="G16" s="198">
        <v>0.95</v>
      </c>
      <c r="H16" s="237" t="s">
        <v>269</v>
      </c>
      <c r="I16" s="239" t="s">
        <v>278</v>
      </c>
      <c r="J16" s="214" t="s">
        <v>547</v>
      </c>
      <c r="K16" s="370">
        <v>0.95</v>
      </c>
      <c r="L16" s="373">
        <v>1</v>
      </c>
      <c r="M16" s="372">
        <v>0.95</v>
      </c>
      <c r="N16" s="373">
        <v>1</v>
      </c>
      <c r="O16" s="372">
        <v>0.95</v>
      </c>
      <c r="P16" s="373">
        <v>1</v>
      </c>
      <c r="Q16" s="371">
        <f t="shared" si="0"/>
        <v>0.94999999999999984</v>
      </c>
      <c r="R16" s="294">
        <f t="shared" si="7"/>
        <v>1</v>
      </c>
      <c r="S16" s="372">
        <v>0.95</v>
      </c>
      <c r="T16" s="373">
        <v>1</v>
      </c>
      <c r="U16" s="372">
        <v>0.95</v>
      </c>
      <c r="V16" s="373">
        <v>1</v>
      </c>
      <c r="W16" s="372">
        <v>0.95</v>
      </c>
      <c r="X16" s="373">
        <v>1</v>
      </c>
      <c r="Y16" s="371">
        <f t="shared" si="1"/>
        <v>0.94999999999999984</v>
      </c>
      <c r="Z16" s="294">
        <f t="shared" si="8"/>
        <v>1</v>
      </c>
      <c r="AA16" s="372">
        <v>0.95</v>
      </c>
      <c r="AB16" s="373">
        <v>1</v>
      </c>
      <c r="AC16" s="372">
        <v>0.95</v>
      </c>
      <c r="AD16" s="373">
        <v>1</v>
      </c>
      <c r="AE16" s="372">
        <v>0.95</v>
      </c>
      <c r="AF16" s="373">
        <v>1</v>
      </c>
      <c r="AG16" s="371">
        <f t="shared" si="2"/>
        <v>0.94999999999999984</v>
      </c>
      <c r="AH16" s="294">
        <f t="shared" si="9"/>
        <v>1</v>
      </c>
      <c r="AI16" s="372">
        <v>0.95</v>
      </c>
      <c r="AJ16" s="373"/>
      <c r="AK16" s="372">
        <v>0.95</v>
      </c>
      <c r="AL16" s="373"/>
      <c r="AM16" s="372">
        <v>0.95</v>
      </c>
      <c r="AN16" s="373"/>
      <c r="AO16" s="371">
        <f t="shared" si="3"/>
        <v>0.94999999999999984</v>
      </c>
      <c r="AP16" s="294">
        <f t="shared" si="10"/>
        <v>0</v>
      </c>
      <c r="AQ16" s="355">
        <f t="shared" si="4"/>
        <v>0.94999999999999984</v>
      </c>
      <c r="AR16" s="292">
        <f t="shared" si="5"/>
        <v>1</v>
      </c>
      <c r="AS16" s="289">
        <f t="shared" si="6"/>
        <v>1.0526315789473686</v>
      </c>
    </row>
    <row r="17" spans="1:45" ht="117" customHeight="1">
      <c r="A17" s="95"/>
      <c r="B17" s="790"/>
      <c r="C17" s="235" t="s">
        <v>495</v>
      </c>
      <c r="D17" s="181">
        <v>0.9</v>
      </c>
      <c r="E17" s="236" t="s">
        <v>279</v>
      </c>
      <c r="F17" s="211" t="s">
        <v>567</v>
      </c>
      <c r="G17" s="198">
        <v>0.95</v>
      </c>
      <c r="H17" s="237" t="s">
        <v>280</v>
      </c>
      <c r="I17" s="239" t="s">
        <v>281</v>
      </c>
      <c r="J17" s="214" t="s">
        <v>547</v>
      </c>
      <c r="K17" s="370">
        <v>0.95</v>
      </c>
      <c r="L17" s="373">
        <v>1</v>
      </c>
      <c r="M17" s="372">
        <v>0.95</v>
      </c>
      <c r="N17" s="373">
        <v>0.46100000000000002</v>
      </c>
      <c r="O17" s="372">
        <v>0.95</v>
      </c>
      <c r="P17" s="373">
        <v>0.46600000000000003</v>
      </c>
      <c r="Q17" s="371">
        <f t="shared" si="0"/>
        <v>0.94999999999999984</v>
      </c>
      <c r="R17" s="294">
        <f t="shared" si="7"/>
        <v>0.64200000000000002</v>
      </c>
      <c r="S17" s="372">
        <v>0.95</v>
      </c>
      <c r="T17" s="373">
        <v>0.8</v>
      </c>
      <c r="U17" s="372">
        <v>0.95</v>
      </c>
      <c r="V17" s="373">
        <v>0.8</v>
      </c>
      <c r="W17" s="372">
        <v>0.95</v>
      </c>
      <c r="X17" s="373">
        <v>0.73299999999999998</v>
      </c>
      <c r="Y17" s="371">
        <f t="shared" si="1"/>
        <v>0.94999999999999984</v>
      </c>
      <c r="Z17" s="294">
        <f t="shared" si="8"/>
        <v>0.77700000000000002</v>
      </c>
      <c r="AA17" s="372">
        <v>0.85</v>
      </c>
      <c r="AB17" s="373">
        <v>3</v>
      </c>
      <c r="AC17" s="372">
        <v>0.85</v>
      </c>
      <c r="AD17" s="373">
        <v>1</v>
      </c>
      <c r="AE17" s="372">
        <v>0.85</v>
      </c>
      <c r="AF17" s="373">
        <v>1</v>
      </c>
      <c r="AG17" s="371">
        <f t="shared" si="2"/>
        <v>0.85</v>
      </c>
      <c r="AH17" s="294">
        <f t="shared" si="9"/>
        <v>1.6659999999999999</v>
      </c>
      <c r="AI17" s="372">
        <v>0.85</v>
      </c>
      <c r="AJ17" s="373"/>
      <c r="AK17" s="372">
        <v>0.85</v>
      </c>
      <c r="AL17" s="373"/>
      <c r="AM17" s="372">
        <v>0.85</v>
      </c>
      <c r="AN17" s="373"/>
      <c r="AO17" s="371">
        <f t="shared" si="3"/>
        <v>0.85</v>
      </c>
      <c r="AP17" s="294">
        <f t="shared" si="10"/>
        <v>0</v>
      </c>
      <c r="AQ17" s="355">
        <f t="shared" si="4"/>
        <v>0.89999999999999991</v>
      </c>
      <c r="AR17" s="292">
        <f t="shared" si="5"/>
        <v>1.028</v>
      </c>
      <c r="AS17" s="289">
        <f t="shared" si="6"/>
        <v>1.1422222222222225</v>
      </c>
    </row>
    <row r="18" spans="1:45" ht="144.75" customHeight="1">
      <c r="A18" s="95"/>
      <c r="B18" s="791"/>
      <c r="C18" s="235" t="s">
        <v>432</v>
      </c>
      <c r="D18" s="181">
        <v>0.95</v>
      </c>
      <c r="E18" s="236" t="s">
        <v>282</v>
      </c>
      <c r="F18" s="211" t="s">
        <v>283</v>
      </c>
      <c r="G18" s="198">
        <v>0.95</v>
      </c>
      <c r="H18" s="237" t="s">
        <v>284</v>
      </c>
      <c r="I18" s="239" t="s">
        <v>496</v>
      </c>
      <c r="J18" s="214" t="s">
        <v>547</v>
      </c>
      <c r="K18" s="370">
        <v>0.95</v>
      </c>
      <c r="L18" s="373">
        <v>1</v>
      </c>
      <c r="M18" s="372">
        <v>0.95</v>
      </c>
      <c r="N18" s="373">
        <v>1</v>
      </c>
      <c r="O18" s="372">
        <v>0.95</v>
      </c>
      <c r="P18" s="373">
        <v>0.77700000000000002</v>
      </c>
      <c r="Q18" s="371">
        <f t="shared" si="0"/>
        <v>0.94999999999999984</v>
      </c>
      <c r="R18" s="294">
        <f t="shared" si="7"/>
        <v>0.92500000000000004</v>
      </c>
      <c r="S18" s="372">
        <v>0.95</v>
      </c>
      <c r="T18" s="373">
        <v>1</v>
      </c>
      <c r="U18" s="372">
        <v>0.95</v>
      </c>
      <c r="V18" s="373">
        <v>1</v>
      </c>
      <c r="W18" s="372">
        <v>0.95</v>
      </c>
      <c r="X18" s="373">
        <v>0.66600000000000004</v>
      </c>
      <c r="Y18" s="371">
        <f t="shared" si="1"/>
        <v>0.94999999999999984</v>
      </c>
      <c r="Z18" s="294">
        <f t="shared" si="8"/>
        <v>0.88800000000000001</v>
      </c>
      <c r="AA18" s="372">
        <v>0.95</v>
      </c>
      <c r="AB18" s="373">
        <f>3/2</f>
        <v>1.5</v>
      </c>
      <c r="AC18" s="372">
        <v>0.95</v>
      </c>
      <c r="AD18" s="373">
        <f>3/1</f>
        <v>3</v>
      </c>
      <c r="AE18" s="372">
        <v>0.95</v>
      </c>
      <c r="AF18" s="373">
        <f>2/3</f>
        <v>0.66666666666666663</v>
      </c>
      <c r="AG18" s="371">
        <f t="shared" si="2"/>
        <v>0.94999999999999984</v>
      </c>
      <c r="AH18" s="294">
        <f t="shared" si="9"/>
        <v>1.722</v>
      </c>
      <c r="AI18" s="372">
        <v>0.95</v>
      </c>
      <c r="AJ18" s="373"/>
      <c r="AK18" s="372">
        <v>0.95</v>
      </c>
      <c r="AL18" s="373"/>
      <c r="AM18" s="372">
        <v>0.95</v>
      </c>
      <c r="AN18" s="373"/>
      <c r="AO18" s="371">
        <f t="shared" si="3"/>
        <v>0.94999999999999984</v>
      </c>
      <c r="AP18" s="294">
        <f t="shared" si="10"/>
        <v>0</v>
      </c>
      <c r="AQ18" s="355">
        <f t="shared" si="4"/>
        <v>0.94999999999999984</v>
      </c>
      <c r="AR18" s="292">
        <f t="shared" si="5"/>
        <v>1.1779999999999999</v>
      </c>
      <c r="AS18" s="289">
        <f t="shared" si="6"/>
        <v>1.2400000000000002</v>
      </c>
    </row>
    <row r="19" spans="1:45" ht="23.25">
      <c r="B19" s="719" t="s">
        <v>23</v>
      </c>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1"/>
      <c r="AS19" s="360">
        <f>AVERAGE(AS13:AS18)</f>
        <v>1.1002990381937752</v>
      </c>
    </row>
    <row r="20" spans="1:45" ht="17.25">
      <c r="B20" s="6"/>
      <c r="C20" s="6"/>
      <c r="D20" s="12"/>
      <c r="E20" s="12"/>
      <c r="F20" s="6"/>
      <c r="G20" s="6"/>
      <c r="H20" s="6"/>
      <c r="I20" s="6"/>
      <c r="J20" s="96"/>
    </row>
    <row r="21" spans="1:45" ht="15.75">
      <c r="B21" s="58" t="s">
        <v>4</v>
      </c>
      <c r="C21" s="750"/>
      <c r="D21" s="736"/>
      <c r="E21" s="736"/>
      <c r="F21" s="736"/>
      <c r="G21" s="736"/>
      <c r="H21" s="736"/>
      <c r="I21" s="736"/>
      <c r="J21" s="737"/>
    </row>
    <row r="22" spans="1:45" ht="17.25">
      <c r="B22" s="6"/>
      <c r="C22" s="676"/>
      <c r="D22" s="676"/>
      <c r="E22" s="676"/>
      <c r="F22" s="676"/>
      <c r="G22" s="676"/>
      <c r="H22" s="676"/>
      <c r="I22" s="676"/>
      <c r="J22" s="676"/>
    </row>
    <row r="23" spans="1:45" ht="31.5">
      <c r="B23" s="59" t="s">
        <v>32</v>
      </c>
      <c r="C23" s="785" t="s">
        <v>901</v>
      </c>
      <c r="D23" s="786"/>
      <c r="E23" s="12"/>
      <c r="F23" s="6"/>
      <c r="G23" s="57" t="s">
        <v>22</v>
      </c>
      <c r="H23" s="792" t="s">
        <v>285</v>
      </c>
      <c r="I23" s="754"/>
      <c r="J23" s="754"/>
    </row>
    <row r="24" spans="1:45" ht="17.25">
      <c r="B24" s="6"/>
      <c r="C24" s="6"/>
      <c r="D24" s="12"/>
      <c r="E24" s="12"/>
      <c r="F24" s="6"/>
      <c r="G24" s="6"/>
      <c r="H24" s="6"/>
      <c r="I24" s="6"/>
      <c r="J24" s="96"/>
    </row>
    <row r="25" spans="1:45" ht="17.25">
      <c r="B25" s="6"/>
      <c r="C25" s="6"/>
      <c r="D25" s="12"/>
      <c r="E25" s="12"/>
      <c r="F25" s="6"/>
      <c r="G25" s="6"/>
      <c r="H25" s="6"/>
      <c r="I25" s="6"/>
      <c r="J25" s="96"/>
    </row>
    <row r="26" spans="1:45" ht="17.25">
      <c r="A26" s="95"/>
      <c r="B26" s="6"/>
      <c r="C26" s="6"/>
      <c r="D26" s="12"/>
      <c r="E26" s="12"/>
      <c r="F26" s="6"/>
      <c r="G26" s="6"/>
      <c r="H26" s="6"/>
      <c r="I26" s="6"/>
      <c r="J26" s="96"/>
    </row>
    <row r="27" spans="1:45" ht="17.25">
      <c r="B27" s="6"/>
      <c r="C27" s="6"/>
      <c r="D27" s="12"/>
      <c r="E27" s="687"/>
      <c r="F27" s="687"/>
      <c r="G27" s="687"/>
      <c r="H27" s="687"/>
      <c r="I27" s="73"/>
      <c r="J27" s="12"/>
    </row>
    <row r="28" spans="1:45" ht="17.25">
      <c r="B28" s="6"/>
      <c r="C28" s="6"/>
      <c r="D28" s="12"/>
      <c r="E28" s="12"/>
      <c r="F28" s="6"/>
      <c r="G28" s="7"/>
      <c r="H28" s="6"/>
      <c r="I28" s="6"/>
      <c r="J28" s="12"/>
    </row>
    <row r="29" spans="1:45" ht="17.25">
      <c r="B29" s="6"/>
      <c r="C29" s="6"/>
      <c r="D29" s="12"/>
      <c r="E29" s="687"/>
      <c r="F29" s="687"/>
      <c r="G29" s="687"/>
      <c r="H29" s="687"/>
      <c r="I29" s="73"/>
      <c r="J29" s="12"/>
    </row>
    <row r="30" spans="1:45" ht="17.25">
      <c r="B30" s="6"/>
      <c r="C30" s="6"/>
      <c r="D30" s="12"/>
      <c r="E30" s="12"/>
      <c r="F30" s="6"/>
      <c r="G30" s="7"/>
      <c r="H30" s="6"/>
      <c r="I30" s="6"/>
      <c r="J30" s="12"/>
    </row>
    <row r="31" spans="1:45" ht="17.25">
      <c r="B31" s="6"/>
      <c r="C31" s="6"/>
      <c r="D31" s="12"/>
      <c r="E31" s="687"/>
      <c r="F31" s="687"/>
      <c r="G31" s="687"/>
      <c r="H31" s="687"/>
      <c r="I31" s="73"/>
      <c r="J31" s="12"/>
    </row>
  </sheetData>
  <sheetProtection algorithmName="SHA-512" hashValue="neCNdp7fQigvNfmDUoTMWMuCAHugPv2dFdnetEw+oKgGlJCDSI+o0LPXNDqPcT/z7yDNRjeO3rlIgSgdeuwMEQ==" saltValue="nYpC42VYTUOo6Vg2NVZ8F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sheetPr>
  <dimension ref="B1:AS26"/>
  <sheetViews>
    <sheetView showGridLines="0" zoomScale="55" zoomScaleNormal="55" workbookViewId="0">
      <selection activeCell="B13" sqref="B13"/>
    </sheetView>
  </sheetViews>
  <sheetFormatPr baseColWidth="10" defaultColWidth="17.28515625" defaultRowHeight="15" customHeight="1"/>
  <cols>
    <col min="1" max="1" width="4.28515625" style="4" customWidth="1"/>
    <col min="2" max="2" width="42" style="8" customWidth="1"/>
    <col min="3" max="3" width="36.85546875" style="8" customWidth="1"/>
    <col min="4" max="4" width="21.42578125" style="13" customWidth="1"/>
    <col min="5" max="7" width="21.42578125" style="8" customWidth="1"/>
    <col min="8" max="8" width="28.5703125" style="8" customWidth="1"/>
    <col min="9" max="9" width="50" style="8" customWidth="1"/>
    <col min="10" max="10" width="28.5703125" style="10" customWidth="1"/>
    <col min="11" max="16" width="14.28515625" style="4" customWidth="1"/>
    <col min="17" max="17" width="17.5703125" style="4" customWidth="1"/>
    <col min="18" max="42" width="14.28515625" style="4" customWidth="1"/>
    <col min="43" max="45" width="17.85546875"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2:45">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738"/>
      <c r="AS7" s="73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2:45" ht="15.75">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2:45" ht="15.7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2:45" ht="13.5">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2:45" ht="185.25">
      <c r="B13" s="188" t="s">
        <v>289</v>
      </c>
      <c r="C13" s="240" t="s">
        <v>433</v>
      </c>
      <c r="D13" s="181">
        <v>1</v>
      </c>
      <c r="E13" s="316" t="s">
        <v>290</v>
      </c>
      <c r="F13" s="211" t="s">
        <v>291</v>
      </c>
      <c r="G13" s="266">
        <v>0.999</v>
      </c>
      <c r="H13" s="241" t="s">
        <v>292</v>
      </c>
      <c r="I13" s="238" t="s">
        <v>293</v>
      </c>
      <c r="J13" s="242" t="s">
        <v>548</v>
      </c>
      <c r="K13" s="354">
        <v>1</v>
      </c>
      <c r="L13" s="354">
        <v>1</v>
      </c>
      <c r="M13" s="354">
        <v>1</v>
      </c>
      <c r="N13" s="354">
        <v>1</v>
      </c>
      <c r="O13" s="354">
        <v>1</v>
      </c>
      <c r="P13" s="354">
        <v>1</v>
      </c>
      <c r="Q13" s="364">
        <f>(K13+M13+O13)/3</f>
        <v>1</v>
      </c>
      <c r="R13" s="291">
        <f>IFERROR(IF(OR($AQ13="",$AQ13=0),0,ROUNDDOWN(AVERAGE(L13,N13,P13),3)),0)</f>
        <v>1</v>
      </c>
      <c r="S13" s="354">
        <v>1</v>
      </c>
      <c r="T13" s="358">
        <v>0.99</v>
      </c>
      <c r="U13" s="354">
        <v>1</v>
      </c>
      <c r="V13" s="358">
        <v>0.98699999999999999</v>
      </c>
      <c r="W13" s="354">
        <v>1</v>
      </c>
      <c r="X13" s="358">
        <v>0.97499999999999998</v>
      </c>
      <c r="Y13" s="364">
        <f>(S13+U13+W13)/3</f>
        <v>1</v>
      </c>
      <c r="Z13" s="291">
        <f>IFERROR(IF(OR($AQ13="",$AQ13=0),0,ROUNDDOWN(AVERAGE(T13,V13,X13),3)),0)</f>
        <v>0.98399999999999999</v>
      </c>
      <c r="AA13" s="354">
        <v>1</v>
      </c>
      <c r="AB13" s="358">
        <v>0.98489425981873113</v>
      </c>
      <c r="AC13" s="354">
        <v>1</v>
      </c>
      <c r="AD13" s="358">
        <v>0.9910714285714286</v>
      </c>
      <c r="AE13" s="365">
        <v>1</v>
      </c>
      <c r="AF13" s="359">
        <v>0.98673740053050396</v>
      </c>
      <c r="AG13" s="364">
        <f>(AA13+AC13+AE13)/3</f>
        <v>1</v>
      </c>
      <c r="AH13" s="291">
        <f>IFERROR(IF(OR($AQ13="",$AQ13=0),0,ROUNDDOWN(AVERAGE(AB13,AD13,AF13),3)),0)</f>
        <v>0.98699999999999999</v>
      </c>
      <c r="AI13" s="354">
        <v>1</v>
      </c>
      <c r="AJ13" s="358"/>
      <c r="AK13" s="354">
        <v>1</v>
      </c>
      <c r="AL13" s="358"/>
      <c r="AM13" s="354">
        <v>1</v>
      </c>
      <c r="AN13" s="358"/>
      <c r="AO13" s="364">
        <f>(AI13+AK13+AM13)/3</f>
        <v>1</v>
      </c>
      <c r="AP13" s="291">
        <f>IFERROR(IF(OR($AQ13="",$AQ13=0),0,ROUNDDOWN(AVERAGE(AJ13,AL13,AN13),3)),0)</f>
        <v>0</v>
      </c>
      <c r="AQ13" s="375">
        <f>(Q13+Y13+AG13+AO13)/4</f>
        <v>1</v>
      </c>
      <c r="AR13" s="292">
        <f>IFERROR(IF(OR(AQ13="",AQ13=0),0,ROUNDDOWN(AVERAGE(L13,N13,P13,T13,V13,X13,AB13,AD13,AF13,AJ13,AL13,AN13),3)),0)</f>
        <v>0.99</v>
      </c>
      <c r="AS13" s="289">
        <f>IF(AND(AR13&gt;0,AQ13&gt;0),AR13/AQ13,0)</f>
        <v>0.99</v>
      </c>
    </row>
    <row r="14" spans="2:45" ht="23.25">
      <c r="B14" s="719" t="s">
        <v>23</v>
      </c>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1"/>
      <c r="AS14" s="360">
        <f>AVERAGE(AS13:AS13)</f>
        <v>0.99</v>
      </c>
    </row>
    <row r="15" spans="2:45" ht="17.25">
      <c r="B15" s="6"/>
      <c r="C15" s="6"/>
      <c r="D15" s="12"/>
      <c r="E15" s="6"/>
      <c r="F15" s="6"/>
      <c r="G15" s="6"/>
      <c r="H15" s="6"/>
      <c r="I15" s="6"/>
      <c r="J15" s="7"/>
    </row>
    <row r="16" spans="2:45" ht="15.75">
      <c r="B16" s="58" t="s">
        <v>4</v>
      </c>
      <c r="C16" s="750"/>
      <c r="D16" s="736"/>
      <c r="E16" s="736"/>
      <c r="F16" s="736"/>
      <c r="G16" s="736"/>
      <c r="H16" s="736"/>
      <c r="I16" s="736"/>
      <c r="J16" s="737"/>
    </row>
    <row r="17" spans="2:10" ht="17.25">
      <c r="B17" s="6"/>
      <c r="C17" s="676"/>
      <c r="D17" s="676"/>
      <c r="E17" s="676"/>
      <c r="F17" s="676"/>
      <c r="G17" s="676"/>
      <c r="H17" s="676"/>
      <c r="I17" s="676"/>
      <c r="J17" s="676"/>
    </row>
    <row r="18" spans="2:10" ht="45.75" customHeight="1">
      <c r="B18" s="59" t="s">
        <v>32</v>
      </c>
      <c r="C18" s="793">
        <v>43812</v>
      </c>
      <c r="D18" s="786"/>
      <c r="E18" s="6"/>
      <c r="F18" s="6"/>
      <c r="G18" s="57" t="s">
        <v>22</v>
      </c>
      <c r="H18" s="730" t="s">
        <v>716</v>
      </c>
      <c r="I18" s="754"/>
      <c r="J18" s="754"/>
    </row>
    <row r="19" spans="2:10" ht="17.25">
      <c r="B19" s="6"/>
      <c r="C19" s="6"/>
      <c r="D19" s="12"/>
      <c r="E19" s="6"/>
      <c r="F19" s="6"/>
      <c r="G19" s="6"/>
      <c r="H19" s="6"/>
      <c r="I19" s="6"/>
      <c r="J19" s="7"/>
    </row>
    <row r="20" spans="2:10" ht="17.25">
      <c r="B20" s="6"/>
      <c r="C20" s="6"/>
      <c r="D20" s="12"/>
      <c r="E20" s="6"/>
      <c r="F20" s="6"/>
      <c r="G20" s="6"/>
      <c r="H20" s="6"/>
      <c r="I20" s="6"/>
      <c r="J20" s="7"/>
    </row>
    <row r="21" spans="2:10" ht="17.25">
      <c r="B21" s="6"/>
      <c r="C21" s="6"/>
      <c r="D21" s="12"/>
      <c r="E21" s="6"/>
      <c r="F21" s="6"/>
      <c r="G21" s="6"/>
      <c r="H21" s="6"/>
      <c r="I21" s="6"/>
      <c r="J21" s="7"/>
    </row>
    <row r="22" spans="2:10" ht="17.25">
      <c r="B22" s="6"/>
      <c r="C22" s="6"/>
      <c r="D22" s="12"/>
      <c r="E22" s="687"/>
      <c r="F22" s="687"/>
      <c r="G22" s="687"/>
      <c r="H22" s="687"/>
      <c r="I22" s="73"/>
      <c r="J22" s="6"/>
    </row>
    <row r="23" spans="2:10" ht="17.25">
      <c r="B23" s="6"/>
      <c r="C23" s="6"/>
      <c r="D23" s="12"/>
      <c r="E23" s="6"/>
      <c r="F23" s="6"/>
      <c r="G23" s="7"/>
      <c r="H23" s="6"/>
      <c r="I23" s="6"/>
      <c r="J23" s="6"/>
    </row>
    <row r="24" spans="2:10" ht="17.25">
      <c r="B24" s="6"/>
      <c r="C24" s="6"/>
      <c r="D24" s="12"/>
      <c r="E24" s="687"/>
      <c r="F24" s="687"/>
      <c r="G24" s="687"/>
      <c r="H24" s="687"/>
      <c r="I24" s="73"/>
      <c r="J24" s="6"/>
    </row>
    <row r="25" spans="2:10" ht="17.25">
      <c r="B25" s="6"/>
      <c r="C25" s="6"/>
      <c r="D25" s="12"/>
      <c r="E25" s="6"/>
      <c r="F25" s="6"/>
      <c r="G25" s="7"/>
      <c r="H25" s="6"/>
      <c r="I25" s="6"/>
      <c r="J25" s="6"/>
    </row>
    <row r="26" spans="2:10" ht="17.25">
      <c r="B26" s="6"/>
      <c r="C26" s="6"/>
      <c r="D26" s="12"/>
      <c r="E26" s="687"/>
      <c r="F26" s="687"/>
      <c r="G26" s="687"/>
      <c r="H26" s="687"/>
      <c r="I26" s="73"/>
      <c r="J26" s="6"/>
    </row>
  </sheetData>
  <sheetProtection algorithmName="SHA-512" hashValue="I9oDR1iVjkfVnd6EkXJ/6zJrXlDvzUBfMSJIiTWfmm9SoruwiU4HwkJ4bt2QmLawaGSv/SpTrGnzbT/zj/ZVKQ==" saltValue="UNs9nZldC8/ONdzu03QDyw=="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B1:AS26"/>
  <sheetViews>
    <sheetView showGridLines="0" zoomScale="55" zoomScaleNormal="55" workbookViewId="0">
      <selection activeCell="C19" sqref="C19"/>
    </sheetView>
  </sheetViews>
  <sheetFormatPr baseColWidth="10" defaultColWidth="17.28515625" defaultRowHeight="15" customHeight="1"/>
  <cols>
    <col min="1" max="1" width="4.28515625" style="4" customWidth="1"/>
    <col min="2" max="3" width="28.42578125" style="8" customWidth="1"/>
    <col min="4" max="4" width="21.42578125" style="13" customWidth="1"/>
    <col min="5" max="5" width="21.42578125" style="8" customWidth="1"/>
    <col min="6" max="6" width="25.28515625" style="8" customWidth="1"/>
    <col min="7" max="7" width="21.42578125" style="8" customWidth="1"/>
    <col min="8" max="8" width="28.42578125" style="8" customWidth="1"/>
    <col min="9" max="9" width="50" style="8" customWidth="1"/>
    <col min="10" max="10" width="28.42578125" style="10" customWidth="1"/>
    <col min="11" max="42" width="14.28515625" style="4" customWidth="1"/>
    <col min="43" max="43" width="20.140625" style="4" customWidth="1"/>
    <col min="44" max="44" width="17.28515625" style="4" customWidth="1"/>
    <col min="45" max="45" width="15"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810"/>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2:45">
      <c r="B4" s="699"/>
      <c r="C4" s="810"/>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810"/>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12" t="s">
        <v>38</v>
      </c>
      <c r="AS5" s="71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631"/>
      <c r="AS7" s="632"/>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807" t="s">
        <v>35</v>
      </c>
      <c r="C9" s="808" t="s">
        <v>34</v>
      </c>
      <c r="D9" s="808" t="s">
        <v>63</v>
      </c>
      <c r="E9" s="808" t="s">
        <v>66</v>
      </c>
      <c r="F9" s="808" t="s">
        <v>67</v>
      </c>
      <c r="G9" s="808" t="s">
        <v>31</v>
      </c>
      <c r="H9" s="808" t="s">
        <v>25</v>
      </c>
      <c r="I9" s="808" t="s">
        <v>95</v>
      </c>
      <c r="J9" s="808"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809" t="s">
        <v>6</v>
      </c>
      <c r="AR9" s="723" t="s">
        <v>7</v>
      </c>
      <c r="AS9" s="723" t="s">
        <v>24</v>
      </c>
    </row>
    <row r="10" spans="2:45" ht="15.75">
      <c r="B10" s="807"/>
      <c r="C10" s="808"/>
      <c r="D10" s="808"/>
      <c r="E10" s="808"/>
      <c r="F10" s="808"/>
      <c r="G10" s="808"/>
      <c r="H10" s="808"/>
      <c r="I10" s="808"/>
      <c r="J10" s="808"/>
      <c r="K10" s="794" t="s">
        <v>26</v>
      </c>
      <c r="L10" s="794"/>
      <c r="M10" s="794"/>
      <c r="N10" s="794"/>
      <c r="O10" s="794"/>
      <c r="P10" s="794"/>
      <c r="Q10" s="794"/>
      <c r="R10" s="794"/>
      <c r="S10" s="794" t="s">
        <v>27</v>
      </c>
      <c r="T10" s="794"/>
      <c r="U10" s="794"/>
      <c r="V10" s="794"/>
      <c r="W10" s="794"/>
      <c r="X10" s="794"/>
      <c r="Y10" s="794"/>
      <c r="Z10" s="794"/>
      <c r="AA10" s="794" t="s">
        <v>28</v>
      </c>
      <c r="AB10" s="794"/>
      <c r="AC10" s="794"/>
      <c r="AD10" s="794"/>
      <c r="AE10" s="794"/>
      <c r="AF10" s="794"/>
      <c r="AG10" s="794"/>
      <c r="AH10" s="794"/>
      <c r="AI10" s="794" t="s">
        <v>29</v>
      </c>
      <c r="AJ10" s="794"/>
      <c r="AK10" s="794"/>
      <c r="AL10" s="794"/>
      <c r="AM10" s="794"/>
      <c r="AN10" s="794"/>
      <c r="AO10" s="794"/>
      <c r="AP10" s="794"/>
      <c r="AQ10" s="809"/>
      <c r="AR10" s="723"/>
      <c r="AS10" s="723"/>
    </row>
    <row r="11" spans="2:45" ht="15.75">
      <c r="B11" s="807"/>
      <c r="C11" s="808"/>
      <c r="D11" s="808"/>
      <c r="E11" s="808"/>
      <c r="F11" s="808"/>
      <c r="G11" s="808"/>
      <c r="H11" s="808"/>
      <c r="I11" s="808"/>
      <c r="J11" s="808"/>
      <c r="K11" s="794" t="s">
        <v>8</v>
      </c>
      <c r="L11" s="794"/>
      <c r="M11" s="794" t="s">
        <v>9</v>
      </c>
      <c r="N11" s="794"/>
      <c r="O11" s="805" t="s">
        <v>10</v>
      </c>
      <c r="P11" s="806"/>
      <c r="Q11" s="795" t="s">
        <v>11</v>
      </c>
      <c r="R11" s="796"/>
      <c r="S11" s="794" t="s">
        <v>33</v>
      </c>
      <c r="T11" s="794"/>
      <c r="U11" s="794" t="s">
        <v>12</v>
      </c>
      <c r="V11" s="794"/>
      <c r="W11" s="794" t="s">
        <v>13</v>
      </c>
      <c r="X11" s="794"/>
      <c r="Y11" s="795" t="s">
        <v>11</v>
      </c>
      <c r="Z11" s="796"/>
      <c r="AA11" s="794" t="s">
        <v>14</v>
      </c>
      <c r="AB11" s="794"/>
      <c r="AC11" s="794" t="s">
        <v>15</v>
      </c>
      <c r="AD11" s="794"/>
      <c r="AE11" s="794" t="s">
        <v>16</v>
      </c>
      <c r="AF11" s="794"/>
      <c r="AG11" s="795" t="s">
        <v>11</v>
      </c>
      <c r="AH11" s="796"/>
      <c r="AI11" s="794" t="s">
        <v>17</v>
      </c>
      <c r="AJ11" s="794"/>
      <c r="AK11" s="794" t="s">
        <v>18</v>
      </c>
      <c r="AL11" s="794"/>
      <c r="AM11" s="794" t="s">
        <v>19</v>
      </c>
      <c r="AN11" s="794"/>
      <c r="AO11" s="795" t="s">
        <v>30</v>
      </c>
      <c r="AP11" s="796"/>
      <c r="AQ11" s="809"/>
      <c r="AR11" s="723"/>
      <c r="AS11" s="723"/>
    </row>
    <row r="12" spans="2:45" ht="13.5">
      <c r="B12" s="627"/>
      <c r="C12" s="726"/>
      <c r="D12" s="726"/>
      <c r="E12" s="726"/>
      <c r="F12" s="726"/>
      <c r="G12" s="726"/>
      <c r="H12" s="726"/>
      <c r="I12" s="726"/>
      <c r="J12" s="726"/>
      <c r="K12" s="97" t="s">
        <v>20</v>
      </c>
      <c r="L12" s="295" t="s">
        <v>21</v>
      </c>
      <c r="M12" s="97" t="s">
        <v>20</v>
      </c>
      <c r="N12" s="295" t="s">
        <v>21</v>
      </c>
      <c r="O12" s="97" t="s">
        <v>20</v>
      </c>
      <c r="P12" s="295"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809"/>
      <c r="AR12" s="723"/>
      <c r="AS12" s="723"/>
    </row>
    <row r="13" spans="2:45" ht="165" customHeight="1">
      <c r="B13" s="463" t="s">
        <v>294</v>
      </c>
      <c r="C13" s="243" t="s">
        <v>434</v>
      </c>
      <c r="D13" s="244">
        <v>0.95</v>
      </c>
      <c r="E13" s="244" t="s">
        <v>295</v>
      </c>
      <c r="F13" s="319" t="s">
        <v>296</v>
      </c>
      <c r="G13" s="249">
        <v>1</v>
      </c>
      <c r="H13" s="245" t="s">
        <v>297</v>
      </c>
      <c r="I13" s="246" t="s">
        <v>298</v>
      </c>
      <c r="J13" s="247" t="s">
        <v>549</v>
      </c>
      <c r="K13" s="351">
        <v>0.2</v>
      </c>
      <c r="L13" s="376">
        <v>4.8000000000000001E-2</v>
      </c>
      <c r="M13" s="351">
        <v>0.3</v>
      </c>
      <c r="N13" s="376">
        <v>0.16700000000000001</v>
      </c>
      <c r="O13" s="351">
        <v>0.4</v>
      </c>
      <c r="P13" s="376">
        <v>0.35099999999999998</v>
      </c>
      <c r="Q13" s="284">
        <v>0.4</v>
      </c>
      <c r="R13" s="284">
        <f>P13</f>
        <v>0.35099999999999998</v>
      </c>
      <c r="S13" s="351">
        <v>0.43</v>
      </c>
      <c r="T13" s="178">
        <v>0.42899999999999999</v>
      </c>
      <c r="U13" s="351">
        <v>0.46</v>
      </c>
      <c r="V13" s="178">
        <v>0.53800000000000003</v>
      </c>
      <c r="W13" s="351">
        <v>0.5</v>
      </c>
      <c r="X13" s="178">
        <v>0.56299999999999994</v>
      </c>
      <c r="Y13" s="284">
        <v>0.5</v>
      </c>
      <c r="Z13" s="179">
        <f>X13</f>
        <v>0.56299999999999994</v>
      </c>
      <c r="AA13" s="351">
        <v>0.65</v>
      </c>
      <c r="AB13" s="178">
        <v>0.67600000000000005</v>
      </c>
      <c r="AC13" s="351">
        <v>0.75</v>
      </c>
      <c r="AD13" s="178">
        <v>0.72699999999999998</v>
      </c>
      <c r="AE13" s="356">
        <v>0.85</v>
      </c>
      <c r="AF13" s="296">
        <v>0.84899999999999998</v>
      </c>
      <c r="AG13" s="179">
        <f>AE13</f>
        <v>0.85</v>
      </c>
      <c r="AH13" s="179">
        <f>AF13</f>
        <v>0.84899999999999998</v>
      </c>
      <c r="AI13" s="351">
        <v>0.87</v>
      </c>
      <c r="AJ13" s="178"/>
      <c r="AK13" s="351">
        <v>0.9</v>
      </c>
      <c r="AL13" s="178"/>
      <c r="AM13" s="351">
        <v>0.95</v>
      </c>
      <c r="AN13" s="178"/>
      <c r="AO13" s="284">
        <f>+AM13</f>
        <v>0.95</v>
      </c>
      <c r="AP13" s="179">
        <f>AN13</f>
        <v>0</v>
      </c>
      <c r="AQ13" s="284">
        <f>+AO13</f>
        <v>0.95</v>
      </c>
      <c r="AR13" s="179">
        <f>AH13</f>
        <v>0.84899999999999998</v>
      </c>
      <c r="AS13" s="284">
        <f>IF(AND(AR13&gt;0,AQ13&gt;0),AR13/AQ13,0)</f>
        <v>0.89368421052631586</v>
      </c>
    </row>
    <row r="14" spans="2:45" ht="23.25">
      <c r="B14" s="797" t="s">
        <v>23</v>
      </c>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9"/>
      <c r="AS14" s="360">
        <f>AVERAGE(AS13:AS13)</f>
        <v>0.89368421052631586</v>
      </c>
    </row>
    <row r="15" spans="2:45" ht="17.25">
      <c r="B15" s="6"/>
      <c r="C15" s="6"/>
      <c r="D15" s="12"/>
      <c r="E15" s="6"/>
      <c r="F15" s="6"/>
      <c r="G15" s="6"/>
      <c r="H15" s="6"/>
      <c r="I15" s="6"/>
      <c r="J15" s="7"/>
    </row>
    <row r="16" spans="2:45" ht="15.75">
      <c r="B16" s="101" t="s">
        <v>4</v>
      </c>
      <c r="C16" s="800"/>
      <c r="D16" s="801"/>
      <c r="E16" s="801"/>
      <c r="F16" s="801"/>
      <c r="G16" s="801"/>
      <c r="H16" s="801"/>
      <c r="I16" s="801"/>
      <c r="J16" s="802"/>
    </row>
    <row r="17" spans="2:30" ht="17.25">
      <c r="B17" s="6"/>
      <c r="C17" s="676"/>
      <c r="D17" s="676"/>
      <c r="E17" s="676"/>
      <c r="F17" s="676"/>
      <c r="G17" s="676"/>
      <c r="H17" s="676"/>
      <c r="I17" s="676"/>
      <c r="J17" s="676"/>
      <c r="AB17" s="498"/>
      <c r="AC17" s="498"/>
      <c r="AD17" s="498"/>
    </row>
    <row r="18" spans="2:30" ht="49.5" customHeight="1">
      <c r="B18" s="102" t="s">
        <v>32</v>
      </c>
      <c r="C18" s="683" t="s">
        <v>902</v>
      </c>
      <c r="D18" s="684"/>
      <c r="E18" s="6"/>
      <c r="F18" s="6"/>
      <c r="G18" s="103" t="s">
        <v>22</v>
      </c>
      <c r="H18" s="803" t="s">
        <v>407</v>
      </c>
      <c r="I18" s="804"/>
      <c r="J18" s="804"/>
      <c r="AB18" s="499"/>
      <c r="AC18" s="499"/>
      <c r="AD18" s="499"/>
    </row>
    <row r="19" spans="2:30" ht="17.25">
      <c r="B19" s="6"/>
      <c r="C19" s="6"/>
      <c r="D19" s="12"/>
      <c r="E19" s="6"/>
      <c r="F19" s="6"/>
      <c r="G19" s="6"/>
      <c r="H19" s="6"/>
      <c r="I19" s="6"/>
      <c r="J19" s="7"/>
      <c r="AB19" s="500"/>
      <c r="AC19" s="500"/>
      <c r="AD19" s="500"/>
    </row>
    <row r="20" spans="2:30" ht="17.25">
      <c r="B20" s="6"/>
      <c r="C20" s="6"/>
      <c r="D20" s="12"/>
      <c r="E20" s="6"/>
      <c r="F20" s="6"/>
      <c r="G20" s="6"/>
      <c r="H20" s="6"/>
      <c r="I20" s="6"/>
      <c r="J20" s="7"/>
    </row>
    <row r="21" spans="2:30" ht="17.25">
      <c r="B21" s="6"/>
      <c r="C21" s="6"/>
      <c r="D21" s="12"/>
      <c r="E21" s="6"/>
      <c r="F21" s="6"/>
      <c r="G21" s="6"/>
      <c r="H21" s="6"/>
      <c r="I21" s="6"/>
      <c r="J21" s="7"/>
    </row>
    <row r="22" spans="2:30" ht="17.25">
      <c r="B22" s="6"/>
      <c r="C22" s="6"/>
      <c r="D22" s="12"/>
      <c r="E22" s="687"/>
      <c r="F22" s="687"/>
      <c r="G22" s="687"/>
      <c r="H22" s="687"/>
      <c r="I22" s="73"/>
      <c r="J22" s="6"/>
    </row>
    <row r="23" spans="2:30" ht="17.25">
      <c r="B23" s="6"/>
      <c r="C23" s="6"/>
      <c r="D23" s="12"/>
      <c r="E23" s="6"/>
      <c r="F23" s="6"/>
      <c r="G23" s="7"/>
      <c r="H23" s="6"/>
      <c r="I23" s="6"/>
      <c r="J23" s="6"/>
    </row>
    <row r="24" spans="2:30" ht="17.25">
      <c r="B24" s="6"/>
      <c r="C24" s="6"/>
      <c r="D24" s="12"/>
      <c r="E24" s="687"/>
      <c r="F24" s="687"/>
      <c r="G24" s="687"/>
      <c r="H24" s="687"/>
      <c r="I24" s="73"/>
      <c r="J24" s="6"/>
    </row>
    <row r="25" spans="2:30" ht="17.25">
      <c r="B25" s="6"/>
      <c r="C25" s="6"/>
      <c r="D25" s="12"/>
      <c r="E25" s="6"/>
      <c r="F25" s="6"/>
      <c r="G25" s="7"/>
      <c r="H25" s="6"/>
      <c r="I25" s="6"/>
      <c r="J25" s="6"/>
    </row>
    <row r="26" spans="2:30" ht="17.25">
      <c r="B26" s="6"/>
      <c r="C26" s="6"/>
      <c r="D26" s="12"/>
      <c r="E26" s="687"/>
      <c r="F26" s="687"/>
      <c r="G26" s="687"/>
      <c r="H26" s="687"/>
      <c r="I26" s="73"/>
      <c r="J26" s="6"/>
    </row>
  </sheetData>
  <sheetProtection algorithmName="SHA-512" hashValue="lyAON/n77QnqNI2NcYfu81dE8U7im4az8kJlpjAHVmx1l/+NCuKOVLejEGICLgp8wvAHEWilYOxup+c6xucU3A==" saltValue="hDEpT6H82s4ZzYdavk0JpQ=="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2:H22"/>
    <mergeCell ref="E24:H24"/>
    <mergeCell ref="E26:H26"/>
    <mergeCell ref="AM11:AN11"/>
    <mergeCell ref="W11:X11"/>
    <mergeCell ref="Y11:Z11"/>
    <mergeCell ref="B14:AR14"/>
    <mergeCell ref="C16:J16"/>
    <mergeCell ref="C17:J17"/>
    <mergeCell ref="C18:D18"/>
    <mergeCell ref="H18:J18"/>
  </mergeCells>
  <conditionalFormatting sqref="AB18:AD18">
    <cfRule type="expression" dxfId="9" priority="1">
      <formula>IF($C$19="Sumatoria_de_Una_Variable",1,0)</formula>
    </cfRule>
  </conditionalFormatting>
  <dataValidations count="1">
    <dataValidation type="custom" allowBlank="1" showInputMessage="1" showErrorMessage="1" errorTitle="Variable 2" error="Solo se debe diligenciar esta fila para los tipos de formula denominados Sumatoria_de_Dos_Variables y División_de_Variables" sqref="AB18:AD18" xr:uid="{3D66137F-C716-4B1B-BBD2-6F58E3B0BB3C}">
      <formula1>$C$19&lt;&gt;"Sumatoria_de_Una_Variable"</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sheetPr>
  <dimension ref="B1:AS28"/>
  <sheetViews>
    <sheetView showGridLines="0" zoomScale="55" zoomScaleNormal="55" workbookViewId="0">
      <selection activeCell="I13" sqref="I13"/>
    </sheetView>
  </sheetViews>
  <sheetFormatPr baseColWidth="10" defaultColWidth="17.28515625" defaultRowHeight="15" customHeight="1"/>
  <cols>
    <col min="1" max="1" width="4.28515625" style="4" customWidth="1"/>
    <col min="2" max="2" width="35" style="8" customWidth="1"/>
    <col min="3" max="3" width="26.85546875" style="8" customWidth="1"/>
    <col min="4" max="4" width="18.7109375" style="13" customWidth="1"/>
    <col min="5" max="5" width="30.28515625" style="8" customWidth="1"/>
    <col min="6" max="6" width="33.140625" style="8" customWidth="1"/>
    <col min="7" max="7" width="21.42578125" style="8" customWidth="1"/>
    <col min="8" max="8" width="33.7109375" style="8" customWidth="1"/>
    <col min="9" max="9" width="54.28515625" style="8" customWidth="1"/>
    <col min="10" max="10" width="28.5703125" style="10" customWidth="1"/>
    <col min="11" max="42" width="16.140625" style="4" customWidth="1"/>
    <col min="43" max="45" width="19.42578125"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104" t="s">
        <v>36</v>
      </c>
      <c r="AS3" s="105" t="s">
        <v>37</v>
      </c>
    </row>
    <row r="4" spans="2:45">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12" t="s">
        <v>38</v>
      </c>
      <c r="AS5" s="71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738"/>
      <c r="AS7" s="73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2:45" ht="15.75">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2:45" ht="15.75">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2:45" ht="13.5">
      <c r="B12" s="627"/>
      <c r="C12" s="726"/>
      <c r="D12" s="726"/>
      <c r="E12" s="726"/>
      <c r="F12" s="726"/>
      <c r="G12" s="726"/>
      <c r="H12" s="726"/>
      <c r="I12" s="726"/>
      <c r="J12" s="726"/>
      <c r="K12" s="97" t="s">
        <v>20</v>
      </c>
      <c r="L12" s="98" t="s">
        <v>21</v>
      </c>
      <c r="M12" s="97" t="s">
        <v>20</v>
      </c>
      <c r="N12" s="98" t="s">
        <v>21</v>
      </c>
      <c r="O12" s="97" t="s">
        <v>20</v>
      </c>
      <c r="P12" s="98"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722"/>
      <c r="AR12" s="723"/>
      <c r="AS12" s="723"/>
    </row>
    <row r="13" spans="2:45" ht="227.25" customHeight="1">
      <c r="B13" s="811" t="s">
        <v>312</v>
      </c>
      <c r="C13" s="449" t="s">
        <v>435</v>
      </c>
      <c r="D13" s="450">
        <v>0.35</v>
      </c>
      <c r="E13" s="451" t="s">
        <v>299</v>
      </c>
      <c r="F13" s="452" t="s">
        <v>300</v>
      </c>
      <c r="G13" s="453" t="s">
        <v>568</v>
      </c>
      <c r="H13" s="454" t="s">
        <v>301</v>
      </c>
      <c r="I13" s="455" t="s">
        <v>302</v>
      </c>
      <c r="J13" s="456" t="s">
        <v>547</v>
      </c>
      <c r="K13" s="351">
        <v>0.7</v>
      </c>
      <c r="L13" s="178">
        <v>1</v>
      </c>
      <c r="M13" s="351">
        <v>0.7</v>
      </c>
      <c r="N13" s="178">
        <v>1</v>
      </c>
      <c r="O13" s="351">
        <v>0.7</v>
      </c>
      <c r="P13" s="178">
        <v>1</v>
      </c>
      <c r="Q13" s="287">
        <f>(K13+M13+O13)/3</f>
        <v>0.69999999999999984</v>
      </c>
      <c r="R13" s="291">
        <f>IFERROR(IF(OR($AQ13="",$AQ13=0),0,ROUNDDOWN(AVERAGE(L13,N13,P13),3)),0)</f>
        <v>1</v>
      </c>
      <c r="S13" s="351">
        <v>0.7</v>
      </c>
      <c r="T13" s="178">
        <v>0</v>
      </c>
      <c r="U13" s="351">
        <v>0.7</v>
      </c>
      <c r="V13" s="178">
        <v>0</v>
      </c>
      <c r="W13" s="351">
        <v>0.7</v>
      </c>
      <c r="X13" s="178">
        <v>0</v>
      </c>
      <c r="Y13" s="287">
        <f>(S13+U13+W13)/3</f>
        <v>0.69999999999999984</v>
      </c>
      <c r="Z13" s="291">
        <f>IFERROR(IF(OR($AQ13="",$AQ13=0),0,ROUNDDOWN(AVERAGE(T13,V13,X13),3)),0)</f>
        <v>0</v>
      </c>
      <c r="AA13" s="351">
        <v>0</v>
      </c>
      <c r="AB13" s="178">
        <v>0</v>
      </c>
      <c r="AC13" s="351">
        <v>0</v>
      </c>
      <c r="AD13" s="178">
        <v>0</v>
      </c>
      <c r="AE13" s="351">
        <v>0</v>
      </c>
      <c r="AF13" s="178">
        <v>4.8000000000000001E-2</v>
      </c>
      <c r="AG13" s="287">
        <f>(AA13+AC13+AE13)/3</f>
        <v>0</v>
      </c>
      <c r="AH13" s="291">
        <f>IFERROR(IF(OR($AQ13="",$AQ13=0),0,ROUNDDOWN(AVERAGE(AB13,AD13,AF13),3)),0)</f>
        <v>1.6E-2</v>
      </c>
      <c r="AI13" s="351">
        <v>0</v>
      </c>
      <c r="AJ13" s="178"/>
      <c r="AK13" s="351">
        <v>0</v>
      </c>
      <c r="AL13" s="178"/>
      <c r="AM13" s="351">
        <v>0</v>
      </c>
      <c r="AN13" s="178"/>
      <c r="AO13" s="287">
        <f>(AI13+AK13+AM13)/3</f>
        <v>0</v>
      </c>
      <c r="AP13" s="287">
        <v>0</v>
      </c>
      <c r="AQ13" s="377">
        <f>(Q13+Y13+AG13+AO13)/4</f>
        <v>0.34999999999999992</v>
      </c>
      <c r="AR13" s="292">
        <f>IFERROR(IF(OR(AQ13="",AQ13=0),0,ROUNDDOWN(AVERAGE(L13,N13,P13,T13,V13,X13,AB13,AD13,AF13,AJ13,AL13,AN13),3)),0)</f>
        <v>0.33800000000000002</v>
      </c>
      <c r="AS13" s="284">
        <f>IF(AND(AR13&gt;0,AQ13&gt;0),AR13/AQ13,0)</f>
        <v>0.96571428571428597</v>
      </c>
    </row>
    <row r="14" spans="2:45" ht="240" customHeight="1">
      <c r="B14" s="748"/>
      <c r="C14" s="457" t="s">
        <v>497</v>
      </c>
      <c r="D14" s="458" t="s">
        <v>303</v>
      </c>
      <c r="E14" s="459" t="s">
        <v>304</v>
      </c>
      <c r="F14" s="460" t="s">
        <v>569</v>
      </c>
      <c r="G14" s="461" t="s">
        <v>570</v>
      </c>
      <c r="H14" s="462" t="s">
        <v>305</v>
      </c>
      <c r="I14" s="462" t="s">
        <v>306</v>
      </c>
      <c r="J14" s="456" t="s">
        <v>547</v>
      </c>
      <c r="K14" s="167">
        <v>1</v>
      </c>
      <c r="L14" s="167">
        <v>1</v>
      </c>
      <c r="M14" s="167">
        <v>2</v>
      </c>
      <c r="N14" s="167">
        <v>2</v>
      </c>
      <c r="O14" s="167">
        <v>2</v>
      </c>
      <c r="P14" s="167">
        <v>2</v>
      </c>
      <c r="Q14" s="169">
        <f t="shared" ref="Q14:R15" si="0">K14+M14+O14</f>
        <v>5</v>
      </c>
      <c r="R14" s="169">
        <f t="shared" si="0"/>
        <v>5</v>
      </c>
      <c r="S14" s="167">
        <v>3</v>
      </c>
      <c r="T14" s="167">
        <v>3</v>
      </c>
      <c r="U14" s="167">
        <v>3</v>
      </c>
      <c r="V14" s="167">
        <v>3</v>
      </c>
      <c r="W14" s="167">
        <v>3</v>
      </c>
      <c r="X14" s="167">
        <v>3</v>
      </c>
      <c r="Y14" s="169">
        <f t="shared" ref="Y14:Z15" si="1">S14+U14+W14</f>
        <v>9</v>
      </c>
      <c r="Z14" s="169">
        <f t="shared" si="1"/>
        <v>9</v>
      </c>
      <c r="AA14" s="167">
        <v>3</v>
      </c>
      <c r="AB14" s="167">
        <v>5</v>
      </c>
      <c r="AC14" s="167">
        <v>3</v>
      </c>
      <c r="AD14" s="167">
        <v>5</v>
      </c>
      <c r="AE14" s="167">
        <v>3</v>
      </c>
      <c r="AF14" s="167">
        <v>3</v>
      </c>
      <c r="AG14" s="169">
        <f t="shared" ref="AG14:AH15" si="2">AA14+AC14+AE14</f>
        <v>9</v>
      </c>
      <c r="AH14" s="169">
        <f t="shared" si="2"/>
        <v>13</v>
      </c>
      <c r="AI14" s="167">
        <v>3</v>
      </c>
      <c r="AJ14" s="167"/>
      <c r="AK14" s="167">
        <v>3</v>
      </c>
      <c r="AL14" s="167"/>
      <c r="AM14" s="167">
        <v>1</v>
      </c>
      <c r="AN14" s="167"/>
      <c r="AO14" s="169">
        <f t="shared" ref="AO14:AP15" si="3">AI14+AK14+AM14</f>
        <v>7</v>
      </c>
      <c r="AP14" s="169">
        <f t="shared" si="3"/>
        <v>0</v>
      </c>
      <c r="AQ14" s="204">
        <f t="shared" ref="AQ14:AR15" si="4">Q14+Y14+AG14+AO14</f>
        <v>30</v>
      </c>
      <c r="AR14" s="205">
        <f t="shared" si="4"/>
        <v>27</v>
      </c>
      <c r="AS14" s="284">
        <f>IF(AND(AR14&gt;0,AQ14&gt;0),AR14/AQ14,0)</f>
        <v>0.9</v>
      </c>
    </row>
    <row r="15" spans="2:45" ht="226.5" customHeight="1">
      <c r="B15" s="748"/>
      <c r="C15" s="457" t="s">
        <v>498</v>
      </c>
      <c r="D15" s="458" t="s">
        <v>818</v>
      </c>
      <c r="E15" s="459" t="s">
        <v>307</v>
      </c>
      <c r="F15" s="460" t="s">
        <v>308</v>
      </c>
      <c r="G15" s="461" t="s">
        <v>309</v>
      </c>
      <c r="H15" s="462" t="s">
        <v>310</v>
      </c>
      <c r="I15" s="462" t="s">
        <v>499</v>
      </c>
      <c r="J15" s="456" t="s">
        <v>547</v>
      </c>
      <c r="K15" s="167">
        <v>1</v>
      </c>
      <c r="L15" s="167">
        <v>1</v>
      </c>
      <c r="M15" s="167">
        <v>2</v>
      </c>
      <c r="N15" s="167">
        <v>2</v>
      </c>
      <c r="O15" s="167">
        <v>2</v>
      </c>
      <c r="P15" s="167">
        <v>2</v>
      </c>
      <c r="Q15" s="169">
        <f t="shared" si="0"/>
        <v>5</v>
      </c>
      <c r="R15" s="169">
        <f t="shared" si="0"/>
        <v>5</v>
      </c>
      <c r="S15" s="167">
        <v>3</v>
      </c>
      <c r="T15" s="167">
        <v>2</v>
      </c>
      <c r="U15" s="167">
        <v>3</v>
      </c>
      <c r="V15" s="167">
        <v>2</v>
      </c>
      <c r="W15" s="167">
        <v>3</v>
      </c>
      <c r="X15" s="167">
        <v>1</v>
      </c>
      <c r="Y15" s="169">
        <f t="shared" si="1"/>
        <v>9</v>
      </c>
      <c r="Z15" s="169">
        <f t="shared" si="1"/>
        <v>5</v>
      </c>
      <c r="AA15" s="167">
        <v>3</v>
      </c>
      <c r="AB15" s="167">
        <v>2</v>
      </c>
      <c r="AC15" s="167">
        <v>3</v>
      </c>
      <c r="AD15" s="167">
        <v>3</v>
      </c>
      <c r="AE15" s="167">
        <v>2</v>
      </c>
      <c r="AF15" s="167">
        <v>3</v>
      </c>
      <c r="AG15" s="169">
        <f t="shared" si="2"/>
        <v>8</v>
      </c>
      <c r="AH15" s="169">
        <f t="shared" si="2"/>
        <v>8</v>
      </c>
      <c r="AI15" s="167">
        <v>1</v>
      </c>
      <c r="AJ15" s="167"/>
      <c r="AK15" s="167">
        <v>1</v>
      </c>
      <c r="AL15" s="167"/>
      <c r="AM15" s="167">
        <v>1</v>
      </c>
      <c r="AN15" s="167"/>
      <c r="AO15" s="169">
        <f t="shared" si="3"/>
        <v>3</v>
      </c>
      <c r="AP15" s="169">
        <f t="shared" si="3"/>
        <v>0</v>
      </c>
      <c r="AQ15" s="204">
        <f t="shared" si="4"/>
        <v>25</v>
      </c>
      <c r="AR15" s="205">
        <f t="shared" si="4"/>
        <v>18</v>
      </c>
      <c r="AS15" s="284">
        <f>IF(AND(AR15&gt;0,AQ15&gt;0),AR15/AQ15,0)</f>
        <v>0.72</v>
      </c>
    </row>
    <row r="16" spans="2:45" ht="23.25">
      <c r="B16" s="719" t="s">
        <v>23</v>
      </c>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1"/>
      <c r="AS16" s="360">
        <f>AVERAGE(AS13:AS15)</f>
        <v>0.86190476190476206</v>
      </c>
    </row>
    <row r="17" spans="2:10" ht="17.25">
      <c r="B17" s="6"/>
      <c r="C17" s="6"/>
      <c r="D17" s="12"/>
      <c r="E17" s="6"/>
      <c r="F17" s="6"/>
      <c r="G17" s="6"/>
      <c r="H17" s="6"/>
      <c r="I17" s="6"/>
      <c r="J17" s="7"/>
    </row>
    <row r="18" spans="2:10" ht="15.75">
      <c r="B18" s="58" t="s">
        <v>4</v>
      </c>
      <c r="C18" s="750"/>
      <c r="D18" s="736"/>
      <c r="E18" s="736"/>
      <c r="F18" s="736"/>
      <c r="G18" s="736"/>
      <c r="H18" s="736"/>
      <c r="I18" s="736"/>
      <c r="J18" s="737"/>
    </row>
    <row r="19" spans="2:10" ht="17.25">
      <c r="B19" s="6"/>
      <c r="C19" s="676"/>
      <c r="D19" s="676"/>
      <c r="E19" s="676"/>
      <c r="F19" s="676"/>
      <c r="G19" s="676"/>
      <c r="H19" s="676"/>
      <c r="I19" s="676"/>
      <c r="J19" s="676"/>
    </row>
    <row r="20" spans="2:10" ht="36" customHeight="1">
      <c r="B20" s="59" t="s">
        <v>32</v>
      </c>
      <c r="C20" s="812">
        <v>43812</v>
      </c>
      <c r="D20" s="684"/>
      <c r="E20" s="6"/>
      <c r="F20" s="6"/>
      <c r="G20" s="57" t="s">
        <v>22</v>
      </c>
      <c r="H20" s="792" t="s">
        <v>285</v>
      </c>
      <c r="I20" s="754"/>
      <c r="J20" s="754"/>
    </row>
    <row r="21" spans="2:10" ht="17.25">
      <c r="B21" s="6"/>
      <c r="C21" s="6"/>
      <c r="D21" s="12"/>
      <c r="E21" s="6"/>
      <c r="F21" s="6"/>
      <c r="G21" s="6"/>
      <c r="H21" s="6"/>
      <c r="I21" s="6"/>
      <c r="J21" s="7"/>
    </row>
    <row r="22" spans="2:10" ht="17.25">
      <c r="B22" s="6"/>
      <c r="C22" s="6"/>
      <c r="D22" s="12"/>
      <c r="E22" s="6"/>
      <c r="F22" s="6"/>
      <c r="G22" s="6"/>
      <c r="H22" s="6"/>
      <c r="I22" s="6"/>
      <c r="J22" s="7"/>
    </row>
    <row r="23" spans="2:10" ht="17.25">
      <c r="B23" s="6"/>
      <c r="C23" s="6"/>
      <c r="D23" s="12"/>
      <c r="E23" s="6"/>
      <c r="F23" s="6"/>
      <c r="G23" s="6"/>
      <c r="H23" s="6"/>
      <c r="I23" s="6"/>
      <c r="J23" s="7"/>
    </row>
    <row r="24" spans="2:10" ht="17.25">
      <c r="B24" s="6"/>
      <c r="C24" s="6"/>
      <c r="D24" s="12"/>
      <c r="E24" s="687"/>
      <c r="F24" s="687"/>
      <c r="G24" s="687"/>
      <c r="H24" s="687"/>
      <c r="I24" s="73"/>
      <c r="J24" s="6"/>
    </row>
    <row r="25" spans="2:10" ht="17.25">
      <c r="B25" s="6"/>
      <c r="C25" s="6"/>
      <c r="D25" s="12"/>
      <c r="E25" s="6"/>
      <c r="F25" s="6"/>
      <c r="G25" s="7"/>
      <c r="H25" s="6"/>
      <c r="I25" s="6"/>
      <c r="J25" s="6"/>
    </row>
    <row r="26" spans="2:10" ht="17.25">
      <c r="B26" s="6"/>
      <c r="C26" s="6"/>
      <c r="D26" s="12"/>
      <c r="E26" s="687"/>
      <c r="F26" s="687"/>
      <c r="G26" s="687"/>
      <c r="H26" s="687"/>
      <c r="I26" s="73"/>
      <c r="J26" s="6"/>
    </row>
    <row r="27" spans="2:10" ht="17.25">
      <c r="B27" s="6"/>
      <c r="C27" s="6"/>
      <c r="D27" s="12"/>
      <c r="E27" s="6"/>
      <c r="F27" s="6"/>
      <c r="G27" s="7"/>
      <c r="H27" s="6"/>
      <c r="I27" s="6"/>
      <c r="J27" s="6"/>
    </row>
    <row r="28" spans="2:10" ht="17.25">
      <c r="B28" s="6"/>
      <c r="C28" s="6"/>
      <c r="D28" s="12"/>
      <c r="E28" s="687"/>
      <c r="F28" s="687"/>
      <c r="G28" s="687"/>
      <c r="H28" s="687"/>
      <c r="I28" s="73"/>
      <c r="J28" s="6"/>
    </row>
  </sheetData>
  <sheetProtection algorithmName="SHA-512" hashValue="LmoFbdgt0YFkJ7o421yyqaSVtykc3N+/21ZXkOJ8rl2G6PvpsAxzIftCt+oFfuYJWzZMT+H9qfMiVKFm0+xNJw==" saltValue="Wwd/y0aBXyRVg9JfeVypv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4:H24"/>
    <mergeCell ref="E26:H26"/>
    <mergeCell ref="E28:H28"/>
    <mergeCell ref="B13:B15"/>
    <mergeCell ref="AM11:AN11"/>
    <mergeCell ref="W11:X11"/>
    <mergeCell ref="Y11:Z11"/>
    <mergeCell ref="B16:AR16"/>
    <mergeCell ref="C18:J18"/>
    <mergeCell ref="C19:J19"/>
    <mergeCell ref="C20:D20"/>
    <mergeCell ref="H20:J2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sheetPr>
  <dimension ref="B1:AS30"/>
  <sheetViews>
    <sheetView showGridLines="0" zoomScale="55" zoomScaleNormal="55" workbookViewId="0">
      <selection activeCell="G13" sqref="G13"/>
    </sheetView>
  </sheetViews>
  <sheetFormatPr baseColWidth="10" defaultColWidth="17.28515625" defaultRowHeight="15" customHeight="1"/>
  <cols>
    <col min="1" max="1" width="4.28515625" style="4" customWidth="1"/>
    <col min="2" max="2" width="46.42578125" style="8" customWidth="1"/>
    <col min="3" max="3" width="40.7109375" style="8" customWidth="1"/>
    <col min="4" max="4" width="21.42578125" style="13" customWidth="1"/>
    <col min="5" max="5" width="24.28515625" style="8" customWidth="1"/>
    <col min="6" max="6" width="30.5703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3" width="14.85546875" style="4" customWidth="1"/>
    <col min="44" max="45" width="15" style="4" customWidth="1"/>
    <col min="46" max="16384" width="17.28515625" style="4"/>
  </cols>
  <sheetData>
    <row r="1" spans="2:45" ht="18" thickBot="1"/>
    <row r="2" spans="2:45" ht="15.75">
      <c r="B2" s="698"/>
      <c r="C2" s="816" t="s">
        <v>59</v>
      </c>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8"/>
      <c r="AR2" s="710" t="s">
        <v>39</v>
      </c>
      <c r="AS2" s="711"/>
    </row>
    <row r="3" spans="2:45" ht="15.75">
      <c r="B3" s="699"/>
      <c r="C3" s="819"/>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1"/>
      <c r="AR3" s="104" t="s">
        <v>36</v>
      </c>
      <c r="AS3" s="105" t="s">
        <v>37</v>
      </c>
    </row>
    <row r="4" spans="2:45">
      <c r="B4" s="699"/>
      <c r="C4" s="819"/>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21"/>
      <c r="AR4" s="24">
        <v>3</v>
      </c>
      <c r="AS4" s="25" t="s">
        <v>102</v>
      </c>
    </row>
    <row r="5" spans="2:45" ht="15.75">
      <c r="B5" s="699"/>
      <c r="C5" s="819"/>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1"/>
      <c r="AR5" s="712" t="s">
        <v>38</v>
      </c>
      <c r="AS5" s="713"/>
    </row>
    <row r="6" spans="2:45" ht="15.75" thickBot="1">
      <c r="B6" s="700"/>
      <c r="C6" s="822"/>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4"/>
      <c r="AR6" s="714" t="s">
        <v>100</v>
      </c>
      <c r="AS6" s="715"/>
    </row>
    <row r="7" spans="2:45" ht="17.25">
      <c r="B7" s="5"/>
      <c r="C7" s="5"/>
      <c r="D7" s="11"/>
      <c r="E7" s="5"/>
      <c r="F7" s="5"/>
      <c r="G7" s="5"/>
      <c r="H7" s="5"/>
      <c r="I7" s="5"/>
      <c r="J7" s="9"/>
      <c r="AR7" s="631"/>
      <c r="AS7" s="632"/>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807" t="s">
        <v>35</v>
      </c>
      <c r="C9" s="808" t="s">
        <v>34</v>
      </c>
      <c r="D9" s="808" t="s">
        <v>63</v>
      </c>
      <c r="E9" s="808" t="s">
        <v>66</v>
      </c>
      <c r="F9" s="808" t="s">
        <v>67</v>
      </c>
      <c r="G9" s="808" t="s">
        <v>31</v>
      </c>
      <c r="H9" s="808" t="s">
        <v>25</v>
      </c>
      <c r="I9" s="808" t="s">
        <v>95</v>
      </c>
      <c r="J9" s="808"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809" t="s">
        <v>6</v>
      </c>
      <c r="AR9" s="630" t="s">
        <v>7</v>
      </c>
      <c r="AS9" s="630" t="s">
        <v>24</v>
      </c>
    </row>
    <row r="10" spans="2:45" ht="15.75">
      <c r="B10" s="626"/>
      <c r="C10" s="825"/>
      <c r="D10" s="825"/>
      <c r="E10" s="825"/>
      <c r="F10" s="825"/>
      <c r="G10" s="825"/>
      <c r="H10" s="825"/>
      <c r="I10" s="825"/>
      <c r="J10" s="825"/>
      <c r="K10" s="794" t="s">
        <v>26</v>
      </c>
      <c r="L10" s="794"/>
      <c r="M10" s="794"/>
      <c r="N10" s="794"/>
      <c r="O10" s="794"/>
      <c r="P10" s="794"/>
      <c r="Q10" s="794"/>
      <c r="R10" s="794"/>
      <c r="S10" s="794" t="s">
        <v>27</v>
      </c>
      <c r="T10" s="794"/>
      <c r="U10" s="794"/>
      <c r="V10" s="794"/>
      <c r="W10" s="794"/>
      <c r="X10" s="794"/>
      <c r="Y10" s="794"/>
      <c r="Z10" s="794"/>
      <c r="AA10" s="794" t="s">
        <v>28</v>
      </c>
      <c r="AB10" s="794"/>
      <c r="AC10" s="794"/>
      <c r="AD10" s="794"/>
      <c r="AE10" s="794"/>
      <c r="AF10" s="794"/>
      <c r="AG10" s="794"/>
      <c r="AH10" s="794"/>
      <c r="AI10" s="794" t="s">
        <v>29</v>
      </c>
      <c r="AJ10" s="794"/>
      <c r="AK10" s="794"/>
      <c r="AL10" s="794"/>
      <c r="AM10" s="794"/>
      <c r="AN10" s="794"/>
      <c r="AO10" s="794"/>
      <c r="AP10" s="794"/>
      <c r="AQ10" s="629"/>
      <c r="AR10" s="630"/>
      <c r="AS10" s="630"/>
    </row>
    <row r="11" spans="2:45" ht="15.75" customHeight="1">
      <c r="B11" s="626"/>
      <c r="C11" s="825"/>
      <c r="D11" s="825"/>
      <c r="E11" s="825"/>
      <c r="F11" s="825"/>
      <c r="G11" s="825"/>
      <c r="H11" s="825"/>
      <c r="I11" s="825"/>
      <c r="J11" s="825"/>
      <c r="K11" s="794" t="s">
        <v>8</v>
      </c>
      <c r="L11" s="794"/>
      <c r="M11" s="794" t="s">
        <v>9</v>
      </c>
      <c r="N11" s="794"/>
      <c r="O11" s="805" t="s">
        <v>10</v>
      </c>
      <c r="P11" s="806"/>
      <c r="Q11" s="795" t="s">
        <v>11</v>
      </c>
      <c r="R11" s="796"/>
      <c r="S11" s="794" t="s">
        <v>33</v>
      </c>
      <c r="T11" s="794"/>
      <c r="U11" s="794" t="s">
        <v>12</v>
      </c>
      <c r="V11" s="794"/>
      <c r="W11" s="794" t="s">
        <v>13</v>
      </c>
      <c r="X11" s="794"/>
      <c r="Y11" s="795" t="s">
        <v>11</v>
      </c>
      <c r="Z11" s="796"/>
      <c r="AA11" s="794" t="s">
        <v>14</v>
      </c>
      <c r="AB11" s="794"/>
      <c r="AC11" s="794" t="s">
        <v>15</v>
      </c>
      <c r="AD11" s="794"/>
      <c r="AE11" s="794" t="s">
        <v>16</v>
      </c>
      <c r="AF11" s="794"/>
      <c r="AG11" s="795" t="s">
        <v>11</v>
      </c>
      <c r="AH11" s="796"/>
      <c r="AI11" s="794" t="s">
        <v>17</v>
      </c>
      <c r="AJ11" s="794"/>
      <c r="AK11" s="794" t="s">
        <v>18</v>
      </c>
      <c r="AL11" s="794"/>
      <c r="AM11" s="794" t="s">
        <v>19</v>
      </c>
      <c r="AN11" s="794"/>
      <c r="AO11" s="795" t="s">
        <v>11</v>
      </c>
      <c r="AP11" s="796"/>
      <c r="AQ11" s="629"/>
      <c r="AR11" s="630"/>
      <c r="AS11" s="630"/>
    </row>
    <row r="12" spans="2:45" ht="13.5">
      <c r="B12" s="627"/>
      <c r="C12" s="726"/>
      <c r="D12" s="726"/>
      <c r="E12" s="726"/>
      <c r="F12" s="726"/>
      <c r="G12" s="726"/>
      <c r="H12" s="726"/>
      <c r="I12" s="726"/>
      <c r="J12" s="726"/>
      <c r="K12" s="97" t="s">
        <v>20</v>
      </c>
      <c r="L12" s="98" t="s">
        <v>21</v>
      </c>
      <c r="M12" s="97" t="s">
        <v>20</v>
      </c>
      <c r="N12" s="98" t="s">
        <v>21</v>
      </c>
      <c r="O12" s="97" t="s">
        <v>20</v>
      </c>
      <c r="P12" s="98"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629"/>
      <c r="AR12" s="630"/>
      <c r="AS12" s="630"/>
    </row>
    <row r="13" spans="2:45" ht="150" customHeight="1">
      <c r="B13" s="813" t="s">
        <v>313</v>
      </c>
      <c r="C13" s="243" t="s">
        <v>436</v>
      </c>
      <c r="D13" s="244">
        <v>1</v>
      </c>
      <c r="E13" s="250" t="s">
        <v>772</v>
      </c>
      <c r="F13" s="251" t="s">
        <v>500</v>
      </c>
      <c r="G13" s="249" t="s">
        <v>168</v>
      </c>
      <c r="H13" s="245" t="s">
        <v>314</v>
      </c>
      <c r="I13" s="246" t="s">
        <v>315</v>
      </c>
      <c r="J13" s="247" t="s">
        <v>550</v>
      </c>
      <c r="K13" s="378">
        <v>1</v>
      </c>
      <c r="L13" s="178">
        <v>1</v>
      </c>
      <c r="M13" s="378">
        <v>1</v>
      </c>
      <c r="N13" s="178">
        <v>1</v>
      </c>
      <c r="O13" s="378">
        <v>1</v>
      </c>
      <c r="P13" s="178">
        <v>1</v>
      </c>
      <c r="Q13" s="284">
        <f>(K13+M13+O13)/3</f>
        <v>1</v>
      </c>
      <c r="R13" s="291">
        <f>IFERROR(IF(OR($AQ13="",$AQ13=0),0,ROUNDDOWN(AVERAGE(L13,N13,P13),3)),0)</f>
        <v>1</v>
      </c>
      <c r="S13" s="378">
        <v>1</v>
      </c>
      <c r="T13" s="178">
        <v>1</v>
      </c>
      <c r="U13" s="378">
        <v>1</v>
      </c>
      <c r="V13" s="178">
        <v>1</v>
      </c>
      <c r="W13" s="378">
        <v>1</v>
      </c>
      <c r="X13" s="178">
        <v>1</v>
      </c>
      <c r="Y13" s="284">
        <f>(S13+U13+W13)/3</f>
        <v>1</v>
      </c>
      <c r="Z13" s="291">
        <f>IFERROR(IF(OR($AQ13="",$AQ13=0),0,ROUNDDOWN(AVERAGE(T13,V13,X13),3)),0)</f>
        <v>1</v>
      </c>
      <c r="AA13" s="378">
        <v>1</v>
      </c>
      <c r="AB13" s="178">
        <v>1</v>
      </c>
      <c r="AC13" s="378">
        <v>1</v>
      </c>
      <c r="AD13" s="178">
        <v>1</v>
      </c>
      <c r="AE13" s="378">
        <v>1</v>
      </c>
      <c r="AF13" s="178">
        <v>1</v>
      </c>
      <c r="AG13" s="284">
        <f>(AA13+AC13+AE13)/3</f>
        <v>1</v>
      </c>
      <c r="AH13" s="291">
        <f>IFERROR(IF(OR($AQ13="",$AQ13=0),0,ROUNDDOWN(AVERAGE(AB13,AD13,AF13),3)),0)</f>
        <v>1</v>
      </c>
      <c r="AI13" s="378">
        <v>1</v>
      </c>
      <c r="AJ13" s="178"/>
      <c r="AK13" s="378">
        <v>1</v>
      </c>
      <c r="AL13" s="178"/>
      <c r="AM13" s="378">
        <v>1</v>
      </c>
      <c r="AN13" s="178"/>
      <c r="AO13" s="284">
        <f>(AI13+AK13+AM13)/3</f>
        <v>1</v>
      </c>
      <c r="AP13" s="291">
        <f>IFERROR(IF(OR($AQ13="",$AQ13=0),0,ROUNDDOWN(AVERAGE(AJ13,AL13,AN13),3)),0)</f>
        <v>0</v>
      </c>
      <c r="AQ13" s="284">
        <f>(Q13+Y13+AG13+AO13)/4</f>
        <v>1</v>
      </c>
      <c r="AR13" s="292">
        <f t="shared" ref="AR13:AR17" si="0">IFERROR(IF(OR(AQ13="",AQ13=0),0,ROUNDDOWN(AVERAGE(L13,N13,P13,T13,V13,X13,AB13,AD13,AF13,AJ13,AL13,AN13),3)),0)</f>
        <v>1</v>
      </c>
      <c r="AS13" s="284">
        <f>IF(AND(AR13&gt;0,AQ13&gt;0),AR13/AQ13,0)</f>
        <v>1</v>
      </c>
    </row>
    <row r="14" spans="2:45" ht="174" customHeight="1">
      <c r="B14" s="814"/>
      <c r="C14" s="243" t="s">
        <v>437</v>
      </c>
      <c r="D14" s="244">
        <v>1</v>
      </c>
      <c r="E14" s="250" t="s">
        <v>555</v>
      </c>
      <c r="F14" s="251" t="s">
        <v>316</v>
      </c>
      <c r="G14" s="249" t="s">
        <v>168</v>
      </c>
      <c r="H14" s="245" t="s">
        <v>314</v>
      </c>
      <c r="I14" s="246" t="s">
        <v>501</v>
      </c>
      <c r="J14" s="247" t="s">
        <v>550</v>
      </c>
      <c r="K14" s="378">
        <v>1</v>
      </c>
      <c r="L14" s="178">
        <v>1</v>
      </c>
      <c r="M14" s="378">
        <v>1</v>
      </c>
      <c r="N14" s="178">
        <v>1</v>
      </c>
      <c r="O14" s="378">
        <v>1</v>
      </c>
      <c r="P14" s="178">
        <v>1</v>
      </c>
      <c r="Q14" s="284">
        <f t="shared" ref="Q14:Q17" si="1">(K14+M14+O14)/3</f>
        <v>1</v>
      </c>
      <c r="R14" s="291">
        <f t="shared" ref="R14:R17" si="2">IFERROR(IF(OR(AQ14="",AQ14=0),0,ROUNDDOWN(AVERAGE(L14,N14,P14),3)),0)</f>
        <v>1</v>
      </c>
      <c r="S14" s="378">
        <v>1</v>
      </c>
      <c r="T14" s="178">
        <v>1</v>
      </c>
      <c r="U14" s="378">
        <v>1</v>
      </c>
      <c r="V14" s="178">
        <v>1</v>
      </c>
      <c r="W14" s="378">
        <v>1</v>
      </c>
      <c r="X14" s="178">
        <v>1</v>
      </c>
      <c r="Y14" s="284">
        <f t="shared" ref="Y14:Y17" si="3">(S14+U14+W14)/3</f>
        <v>1</v>
      </c>
      <c r="Z14" s="291">
        <f>IFERROR(IF(OR($AQ14="",$AQ14=0),0,ROUNDDOWN(AVERAGE(T14,V14,X14),3)),0)</f>
        <v>1</v>
      </c>
      <c r="AA14" s="378">
        <v>1</v>
      </c>
      <c r="AB14" s="178">
        <v>1</v>
      </c>
      <c r="AC14" s="378">
        <v>1</v>
      </c>
      <c r="AD14" s="178">
        <v>1</v>
      </c>
      <c r="AE14" s="378">
        <v>1</v>
      </c>
      <c r="AF14" s="178">
        <v>1</v>
      </c>
      <c r="AG14" s="284">
        <f t="shared" ref="AG14:AG17" si="4">(AA14+AC14+AE14)/3</f>
        <v>1</v>
      </c>
      <c r="AH14" s="291">
        <f>IFERROR(IF(OR($AQ14="",$AQ14=0),0,ROUNDDOWN(AVERAGE(AB14,AD14,AF14),3)),0)</f>
        <v>1</v>
      </c>
      <c r="AI14" s="378">
        <v>1</v>
      </c>
      <c r="AJ14" s="178"/>
      <c r="AK14" s="378">
        <v>1</v>
      </c>
      <c r="AL14" s="178"/>
      <c r="AM14" s="378">
        <v>1</v>
      </c>
      <c r="AN14" s="178"/>
      <c r="AO14" s="284">
        <f t="shared" ref="AO14:AO17" si="5">(AI14+AK14+AM14)/3</f>
        <v>1</v>
      </c>
      <c r="AP14" s="291">
        <f>IFERROR(IF(OR($AQ14="",$AQ14=0),0,ROUNDDOWN(AVERAGE(AJ14,AL14,AN14),3)),0)</f>
        <v>0</v>
      </c>
      <c r="AQ14" s="284">
        <f t="shared" ref="AQ14:AQ17" si="6">(Q14+Y14+AG14+AO14)/4</f>
        <v>1</v>
      </c>
      <c r="AR14" s="292">
        <f t="shared" si="0"/>
        <v>1</v>
      </c>
      <c r="AS14" s="284">
        <f>IF(AND(AR14&gt;0,AQ14&gt;0),AR14/AQ14,0)</f>
        <v>1</v>
      </c>
    </row>
    <row r="15" spans="2:45" ht="154.5" customHeight="1">
      <c r="B15" s="814"/>
      <c r="C15" s="248" t="s">
        <v>438</v>
      </c>
      <c r="D15" s="244">
        <v>1</v>
      </c>
      <c r="E15" s="250" t="s">
        <v>556</v>
      </c>
      <c r="F15" s="251" t="s">
        <v>502</v>
      </c>
      <c r="G15" s="249" t="s">
        <v>168</v>
      </c>
      <c r="H15" s="245" t="s">
        <v>503</v>
      </c>
      <c r="I15" s="246" t="s">
        <v>504</v>
      </c>
      <c r="J15" s="247" t="s">
        <v>550</v>
      </c>
      <c r="K15" s="378">
        <v>1</v>
      </c>
      <c r="L15" s="178">
        <v>1</v>
      </c>
      <c r="M15" s="378">
        <v>1</v>
      </c>
      <c r="N15" s="178">
        <v>1</v>
      </c>
      <c r="O15" s="378">
        <v>1</v>
      </c>
      <c r="P15" s="178">
        <v>1</v>
      </c>
      <c r="Q15" s="284">
        <f t="shared" si="1"/>
        <v>1</v>
      </c>
      <c r="R15" s="291">
        <f t="shared" si="2"/>
        <v>1</v>
      </c>
      <c r="S15" s="378">
        <v>1</v>
      </c>
      <c r="T15" s="178">
        <v>1</v>
      </c>
      <c r="U15" s="378">
        <v>1</v>
      </c>
      <c r="V15" s="178">
        <v>1</v>
      </c>
      <c r="W15" s="378">
        <v>1</v>
      </c>
      <c r="X15" s="178">
        <v>1</v>
      </c>
      <c r="Y15" s="284">
        <f t="shared" si="3"/>
        <v>1</v>
      </c>
      <c r="Z15" s="291">
        <f>IFERROR(IF(OR($AQ15="",$AQ15=0),0,ROUNDDOWN(AVERAGE(T15,V15,X15),3)),0)</f>
        <v>1</v>
      </c>
      <c r="AA15" s="378">
        <v>1</v>
      </c>
      <c r="AB15" s="178">
        <v>1</v>
      </c>
      <c r="AC15" s="378">
        <v>1</v>
      </c>
      <c r="AD15" s="178">
        <v>1</v>
      </c>
      <c r="AE15" s="378">
        <v>1</v>
      </c>
      <c r="AF15" s="178">
        <v>1</v>
      </c>
      <c r="AG15" s="284">
        <f t="shared" si="4"/>
        <v>1</v>
      </c>
      <c r="AH15" s="291">
        <f>IFERROR(IF(OR($AQ15="",$AQ15=0),0,ROUNDDOWN(AVERAGE(AB15,AD15,AF15),3)),0)</f>
        <v>1</v>
      </c>
      <c r="AI15" s="378">
        <v>1</v>
      </c>
      <c r="AJ15" s="178"/>
      <c r="AK15" s="378">
        <v>1</v>
      </c>
      <c r="AL15" s="178"/>
      <c r="AM15" s="378">
        <v>1</v>
      </c>
      <c r="AN15" s="178"/>
      <c r="AO15" s="284">
        <f t="shared" si="5"/>
        <v>1</v>
      </c>
      <c r="AP15" s="291">
        <f>IFERROR(IF(OR($AQ15="",$AQ15=0),0,ROUNDDOWN(AVERAGE(AJ15,AL15,AN15),3)),0)</f>
        <v>0</v>
      </c>
      <c r="AQ15" s="284">
        <f t="shared" si="6"/>
        <v>1</v>
      </c>
      <c r="AR15" s="292">
        <f t="shared" si="0"/>
        <v>1</v>
      </c>
      <c r="AS15" s="284">
        <f>IF(AND(AR15&gt;0,AQ15&gt;0),AR15/AQ15,0)</f>
        <v>1</v>
      </c>
    </row>
    <row r="16" spans="2:45" ht="147.75" customHeight="1">
      <c r="B16" s="814"/>
      <c r="C16" s="243" t="s">
        <v>439</v>
      </c>
      <c r="D16" s="244">
        <v>1</v>
      </c>
      <c r="E16" s="250" t="s">
        <v>505</v>
      </c>
      <c r="F16" s="251" t="s">
        <v>317</v>
      </c>
      <c r="G16" s="249" t="s">
        <v>168</v>
      </c>
      <c r="H16" s="245" t="s">
        <v>503</v>
      </c>
      <c r="I16" s="246" t="s">
        <v>508</v>
      </c>
      <c r="J16" s="247" t="s">
        <v>550</v>
      </c>
      <c r="K16" s="378">
        <v>1</v>
      </c>
      <c r="L16" s="178">
        <v>1</v>
      </c>
      <c r="M16" s="378">
        <v>1</v>
      </c>
      <c r="N16" s="178">
        <v>1</v>
      </c>
      <c r="O16" s="378">
        <v>1</v>
      </c>
      <c r="P16" s="178">
        <v>1</v>
      </c>
      <c r="Q16" s="284">
        <f t="shared" si="1"/>
        <v>1</v>
      </c>
      <c r="R16" s="291">
        <f t="shared" si="2"/>
        <v>1</v>
      </c>
      <c r="S16" s="378">
        <v>1</v>
      </c>
      <c r="T16" s="178">
        <v>1</v>
      </c>
      <c r="U16" s="378">
        <v>1</v>
      </c>
      <c r="V16" s="178">
        <v>1</v>
      </c>
      <c r="W16" s="378">
        <v>1</v>
      </c>
      <c r="X16" s="178">
        <v>1</v>
      </c>
      <c r="Y16" s="284">
        <f t="shared" si="3"/>
        <v>1</v>
      </c>
      <c r="Z16" s="291">
        <f>IFERROR(IF(OR($AQ16="",$AQ16=0),0,ROUNDDOWN(AVERAGE(T16,V16,X16),3)),0)</f>
        <v>1</v>
      </c>
      <c r="AA16" s="378">
        <v>1</v>
      </c>
      <c r="AB16" s="178">
        <v>1</v>
      </c>
      <c r="AC16" s="378">
        <v>1</v>
      </c>
      <c r="AD16" s="178">
        <v>1</v>
      </c>
      <c r="AE16" s="378">
        <v>1</v>
      </c>
      <c r="AF16" s="178">
        <v>1</v>
      </c>
      <c r="AG16" s="284">
        <f t="shared" si="4"/>
        <v>1</v>
      </c>
      <c r="AH16" s="291">
        <f>IFERROR(IF(OR($AQ16="",$AQ16=0),0,ROUNDDOWN(AVERAGE(AB16,AD16,AF16),3)),0)</f>
        <v>1</v>
      </c>
      <c r="AI16" s="378">
        <v>1</v>
      </c>
      <c r="AJ16" s="178"/>
      <c r="AK16" s="378">
        <v>1</v>
      </c>
      <c r="AL16" s="178"/>
      <c r="AM16" s="378">
        <v>1</v>
      </c>
      <c r="AN16" s="178"/>
      <c r="AO16" s="284">
        <f t="shared" si="5"/>
        <v>1</v>
      </c>
      <c r="AP16" s="291">
        <f>IFERROR(IF(OR($AQ16="",$AQ16=0),0,ROUNDDOWN(AVERAGE(AJ16,AL16,AN16),3)),0)</f>
        <v>0</v>
      </c>
      <c r="AQ16" s="284">
        <f t="shared" si="6"/>
        <v>1</v>
      </c>
      <c r="AR16" s="292">
        <f t="shared" si="0"/>
        <v>1</v>
      </c>
      <c r="AS16" s="284">
        <f>IF(AND(AR16&gt;0,AQ16&gt;0),AR16/AQ16,0)</f>
        <v>1</v>
      </c>
    </row>
    <row r="17" spans="2:45" ht="106.5" customHeight="1">
      <c r="B17" s="815"/>
      <c r="C17" s="243" t="s">
        <v>440</v>
      </c>
      <c r="D17" s="244">
        <v>1</v>
      </c>
      <c r="E17" s="250" t="s">
        <v>318</v>
      </c>
      <c r="F17" s="251" t="s">
        <v>319</v>
      </c>
      <c r="G17" s="249" t="s">
        <v>168</v>
      </c>
      <c r="H17" s="245" t="s">
        <v>506</v>
      </c>
      <c r="I17" s="246" t="s">
        <v>507</v>
      </c>
      <c r="J17" s="247" t="s">
        <v>550</v>
      </c>
      <c r="K17" s="378">
        <v>1</v>
      </c>
      <c r="L17" s="178">
        <v>1</v>
      </c>
      <c r="M17" s="378">
        <v>1</v>
      </c>
      <c r="N17" s="178">
        <v>1</v>
      </c>
      <c r="O17" s="378">
        <v>1</v>
      </c>
      <c r="P17" s="178">
        <v>1</v>
      </c>
      <c r="Q17" s="284">
        <f t="shared" si="1"/>
        <v>1</v>
      </c>
      <c r="R17" s="291">
        <f t="shared" si="2"/>
        <v>1</v>
      </c>
      <c r="S17" s="378">
        <v>1</v>
      </c>
      <c r="T17" s="178">
        <v>1</v>
      </c>
      <c r="U17" s="378">
        <v>1</v>
      </c>
      <c r="V17" s="178">
        <v>1</v>
      </c>
      <c r="W17" s="378">
        <v>1</v>
      </c>
      <c r="X17" s="178">
        <v>1</v>
      </c>
      <c r="Y17" s="284">
        <f t="shared" si="3"/>
        <v>1</v>
      </c>
      <c r="Z17" s="291">
        <f>IFERROR(IF(OR($AQ17="",$AQ17=0),0,ROUNDDOWN(AVERAGE(T17,V17,X17),3)),0)</f>
        <v>1</v>
      </c>
      <c r="AA17" s="378">
        <v>1</v>
      </c>
      <c r="AB17" s="178">
        <v>1</v>
      </c>
      <c r="AC17" s="378">
        <v>1</v>
      </c>
      <c r="AD17" s="178">
        <v>1</v>
      </c>
      <c r="AE17" s="378">
        <v>1</v>
      </c>
      <c r="AF17" s="178">
        <v>1</v>
      </c>
      <c r="AG17" s="284">
        <f t="shared" si="4"/>
        <v>1</v>
      </c>
      <c r="AH17" s="291">
        <f>IFERROR(IF(OR($AQ17="",$AQ17=0),0,ROUNDDOWN(AVERAGE(AB17,AD17,AF17),3)),0)</f>
        <v>1</v>
      </c>
      <c r="AI17" s="378">
        <v>1</v>
      </c>
      <c r="AJ17" s="178"/>
      <c r="AK17" s="378">
        <v>1</v>
      </c>
      <c r="AL17" s="178"/>
      <c r="AM17" s="378">
        <v>1</v>
      </c>
      <c r="AN17" s="178"/>
      <c r="AO17" s="284">
        <f t="shared" si="5"/>
        <v>1</v>
      </c>
      <c r="AP17" s="291">
        <f>IFERROR(IF(OR($AQ17="",$AQ17=0),0,ROUNDDOWN(AVERAGE(AJ17,AL17,AN17),3)),0)</f>
        <v>0</v>
      </c>
      <c r="AQ17" s="284">
        <f t="shared" si="6"/>
        <v>1</v>
      </c>
      <c r="AR17" s="292">
        <f t="shared" si="0"/>
        <v>1</v>
      </c>
      <c r="AS17" s="284">
        <f>IF(AND(AR17&gt;0,AQ17&gt;0),AR17/AQ17,0)</f>
        <v>1</v>
      </c>
    </row>
    <row r="18" spans="2:45" ht="23.25">
      <c r="B18" s="797" t="s">
        <v>23</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8"/>
      <c r="AP18" s="798"/>
      <c r="AQ18" s="798"/>
      <c r="AR18" s="799"/>
      <c r="AS18" s="285">
        <f>AVERAGE(AS13:AS17)</f>
        <v>1</v>
      </c>
    </row>
    <row r="19" spans="2:45" ht="17.25">
      <c r="B19" s="6"/>
      <c r="C19" s="6"/>
      <c r="D19" s="12"/>
      <c r="E19" s="6"/>
      <c r="F19" s="6"/>
      <c r="G19" s="6"/>
      <c r="H19" s="6"/>
      <c r="I19" s="6"/>
      <c r="J19" s="7"/>
    </row>
    <row r="20" spans="2:45" ht="15.75">
      <c r="B20" s="107" t="s">
        <v>4</v>
      </c>
      <c r="C20" s="680"/>
      <c r="D20" s="681"/>
      <c r="E20" s="681"/>
      <c r="F20" s="681"/>
      <c r="G20" s="681"/>
      <c r="H20" s="681"/>
      <c r="I20" s="681"/>
      <c r="J20" s="682"/>
    </row>
    <row r="21" spans="2:45" ht="17.25">
      <c r="B21" s="6"/>
      <c r="C21" s="676"/>
      <c r="D21" s="676"/>
      <c r="E21" s="676"/>
      <c r="F21" s="676"/>
      <c r="G21" s="676"/>
      <c r="H21" s="676"/>
      <c r="I21" s="676"/>
      <c r="J21" s="676"/>
    </row>
    <row r="22" spans="2:45" ht="17.25">
      <c r="B22" s="108" t="s">
        <v>32</v>
      </c>
      <c r="C22" s="826">
        <v>43812</v>
      </c>
      <c r="D22" s="692"/>
      <c r="E22" s="6"/>
      <c r="F22" s="6"/>
      <c r="G22" s="109" t="s">
        <v>22</v>
      </c>
      <c r="H22" s="693" t="s">
        <v>320</v>
      </c>
      <c r="I22" s="693"/>
      <c r="J22" s="693"/>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
      <c r="F25" s="6"/>
      <c r="G25" s="6"/>
      <c r="H25" s="6"/>
      <c r="I25" s="6"/>
      <c r="J25" s="7"/>
    </row>
    <row r="26" spans="2:45" ht="17.25">
      <c r="B26" s="6"/>
      <c r="C26" s="6"/>
      <c r="D26" s="12"/>
      <c r="E26" s="687"/>
      <c r="F26" s="687"/>
      <c r="G26" s="687"/>
      <c r="H26" s="687"/>
      <c r="I26" s="92"/>
      <c r="J26" s="6"/>
    </row>
    <row r="27" spans="2:45" ht="17.25">
      <c r="B27" s="6"/>
      <c r="C27" s="6"/>
      <c r="D27" s="12"/>
      <c r="E27" s="6"/>
      <c r="F27" s="6"/>
      <c r="G27" s="7"/>
      <c r="H27" s="6"/>
      <c r="I27" s="6"/>
      <c r="J27" s="6"/>
    </row>
    <row r="28" spans="2:45" ht="17.25">
      <c r="B28" s="6"/>
      <c r="C28" s="6"/>
      <c r="D28" s="12"/>
      <c r="E28" s="687"/>
      <c r="F28" s="687"/>
      <c r="G28" s="687"/>
      <c r="H28" s="687"/>
      <c r="I28" s="92"/>
      <c r="J28" s="6"/>
    </row>
    <row r="29" spans="2:45" ht="17.25">
      <c r="B29" s="6"/>
      <c r="C29" s="6"/>
      <c r="D29" s="12"/>
      <c r="E29" s="6"/>
      <c r="F29" s="6"/>
      <c r="G29" s="7"/>
      <c r="H29" s="6"/>
      <c r="I29" s="6"/>
      <c r="J29" s="6"/>
    </row>
    <row r="30" spans="2:45" ht="17.25">
      <c r="B30" s="6"/>
      <c r="C30" s="6"/>
      <c r="D30" s="12"/>
      <c r="E30" s="687"/>
      <c r="F30" s="687"/>
      <c r="G30" s="687"/>
      <c r="H30" s="687"/>
      <c r="I30" s="92"/>
      <c r="J30" s="6"/>
    </row>
  </sheetData>
  <sheetProtection algorithmName="SHA-512" hashValue="QvYNAAKkl/qRuhOanJtw0OVz73MRgNNcJDahFefzI/ekHMfW/59rbjnKKC88RLkU+RhMgrmlSUMtkqhtdoHVFw==" saltValue="C5GxDcAi+egbDSOcuHkuXA==" spinCount="100000" sheet="1" objects="1" scenarios="1"/>
  <mergeCells count="49">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sheetPr>
  <dimension ref="B1:AS28"/>
  <sheetViews>
    <sheetView showGridLines="0" zoomScale="55" zoomScaleNormal="55" workbookViewId="0">
      <selection activeCell="H14" sqref="H14"/>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3.710937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5" width="19.7109375" style="4" customWidth="1"/>
    <col min="46" max="16384" width="17.28515625" style="4"/>
  </cols>
  <sheetData>
    <row r="1" spans="2:45" ht="15" customHeight="1" thickBot="1"/>
    <row r="2" spans="2:45" ht="16.5" customHeight="1">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6.5" customHeight="1">
      <c r="B3" s="699"/>
      <c r="C3" s="70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104" t="s">
        <v>36</v>
      </c>
      <c r="AS3" s="105" t="s">
        <v>37</v>
      </c>
    </row>
    <row r="4" spans="2:45" ht="16.5" customHeight="1">
      <c r="B4" s="699"/>
      <c r="C4" s="70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6.5" customHeight="1">
      <c r="B5" s="699"/>
      <c r="C5" s="70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12" t="s">
        <v>38</v>
      </c>
      <c r="AS5" s="713"/>
    </row>
    <row r="6" spans="2:45" ht="16.5" customHeight="1"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4.25" customHeight="1">
      <c r="B7" s="5"/>
      <c r="C7" s="5"/>
      <c r="D7" s="11"/>
      <c r="E7" s="5"/>
      <c r="F7" s="5"/>
      <c r="G7" s="5"/>
      <c r="H7" s="5"/>
      <c r="I7" s="5"/>
      <c r="J7" s="9"/>
      <c r="AR7" s="631"/>
      <c r="AS7" s="632"/>
    </row>
    <row r="8" spans="2:45" ht="15" customHeight="1">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3.5" customHeight="1">
      <c r="B9" s="626" t="s">
        <v>35</v>
      </c>
      <c r="C9" s="825" t="s">
        <v>34</v>
      </c>
      <c r="D9" s="825" t="s">
        <v>63</v>
      </c>
      <c r="E9" s="825" t="s">
        <v>66</v>
      </c>
      <c r="F9" s="825" t="s">
        <v>67</v>
      </c>
      <c r="G9" s="825" t="s">
        <v>31</v>
      </c>
      <c r="H9" s="825" t="s">
        <v>25</v>
      </c>
      <c r="I9" s="825" t="s">
        <v>95</v>
      </c>
      <c r="J9" s="8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9" t="s">
        <v>6</v>
      </c>
      <c r="AR9" s="630" t="s">
        <v>7</v>
      </c>
      <c r="AS9" s="630" t="s">
        <v>24</v>
      </c>
    </row>
    <row r="10" spans="2:45" ht="13.5" customHeight="1">
      <c r="B10" s="626"/>
      <c r="C10" s="825"/>
      <c r="D10" s="825"/>
      <c r="E10" s="825"/>
      <c r="F10" s="825"/>
      <c r="G10" s="825"/>
      <c r="H10" s="825"/>
      <c r="I10" s="825"/>
      <c r="J10" s="825"/>
      <c r="K10" s="615" t="s">
        <v>26</v>
      </c>
      <c r="L10" s="615"/>
      <c r="M10" s="615"/>
      <c r="N10" s="615"/>
      <c r="O10" s="615"/>
      <c r="P10" s="615"/>
      <c r="Q10" s="615"/>
      <c r="R10" s="615"/>
      <c r="S10" s="615" t="s">
        <v>27</v>
      </c>
      <c r="T10" s="615"/>
      <c r="U10" s="615"/>
      <c r="V10" s="615"/>
      <c r="W10" s="615"/>
      <c r="X10" s="615"/>
      <c r="Y10" s="615"/>
      <c r="Z10" s="615"/>
      <c r="AA10" s="615" t="s">
        <v>28</v>
      </c>
      <c r="AB10" s="615"/>
      <c r="AC10" s="615"/>
      <c r="AD10" s="615"/>
      <c r="AE10" s="615"/>
      <c r="AF10" s="615"/>
      <c r="AG10" s="615"/>
      <c r="AH10" s="615"/>
      <c r="AI10" s="615" t="s">
        <v>29</v>
      </c>
      <c r="AJ10" s="615"/>
      <c r="AK10" s="615"/>
      <c r="AL10" s="615"/>
      <c r="AM10" s="615"/>
      <c r="AN10" s="615"/>
      <c r="AO10" s="615"/>
      <c r="AP10" s="615"/>
      <c r="AQ10" s="629"/>
      <c r="AR10" s="630"/>
      <c r="AS10" s="630"/>
    </row>
    <row r="11" spans="2:45" ht="17.25" customHeight="1">
      <c r="B11" s="626"/>
      <c r="C11" s="825"/>
      <c r="D11" s="825"/>
      <c r="E11" s="825"/>
      <c r="F11" s="825"/>
      <c r="G11" s="825"/>
      <c r="H11" s="825"/>
      <c r="I11" s="825"/>
      <c r="J11" s="825"/>
      <c r="K11" s="615" t="s">
        <v>8</v>
      </c>
      <c r="L11" s="615"/>
      <c r="M11" s="615" t="s">
        <v>9</v>
      </c>
      <c r="N11" s="615"/>
      <c r="O11" s="621" t="s">
        <v>10</v>
      </c>
      <c r="P11" s="622"/>
      <c r="Q11" s="605" t="s">
        <v>11</v>
      </c>
      <c r="R11" s="606"/>
      <c r="S11" s="615" t="s">
        <v>33</v>
      </c>
      <c r="T11" s="615"/>
      <c r="U11" s="615" t="s">
        <v>12</v>
      </c>
      <c r="V11" s="615"/>
      <c r="W11" s="615" t="s">
        <v>13</v>
      </c>
      <c r="X11" s="615"/>
      <c r="Y11" s="605" t="s">
        <v>11</v>
      </c>
      <c r="Z11" s="606"/>
      <c r="AA11" s="615" t="s">
        <v>14</v>
      </c>
      <c r="AB11" s="615"/>
      <c r="AC11" s="615" t="s">
        <v>15</v>
      </c>
      <c r="AD11" s="615"/>
      <c r="AE11" s="615" t="s">
        <v>16</v>
      </c>
      <c r="AF11" s="615"/>
      <c r="AG11" s="605" t="s">
        <v>11</v>
      </c>
      <c r="AH11" s="606"/>
      <c r="AI11" s="615" t="s">
        <v>17</v>
      </c>
      <c r="AJ11" s="615"/>
      <c r="AK11" s="615" t="s">
        <v>18</v>
      </c>
      <c r="AL11" s="615"/>
      <c r="AM11" s="615" t="s">
        <v>19</v>
      </c>
      <c r="AN11" s="615"/>
      <c r="AO11" s="605" t="s">
        <v>11</v>
      </c>
      <c r="AP11" s="606"/>
      <c r="AQ11" s="629"/>
      <c r="AR11" s="630"/>
      <c r="AS11" s="630"/>
    </row>
    <row r="12" spans="2:45" ht="15.75" customHeight="1">
      <c r="B12" s="627"/>
      <c r="C12" s="726"/>
      <c r="D12" s="726"/>
      <c r="E12" s="726"/>
      <c r="F12" s="726"/>
      <c r="G12" s="726"/>
      <c r="H12" s="726"/>
      <c r="I12" s="726"/>
      <c r="J12" s="726"/>
      <c r="K12" s="97" t="s">
        <v>20</v>
      </c>
      <c r="L12" s="98" t="s">
        <v>21</v>
      </c>
      <c r="M12" s="97" t="s">
        <v>20</v>
      </c>
      <c r="N12" s="98" t="s">
        <v>21</v>
      </c>
      <c r="O12" s="97" t="s">
        <v>20</v>
      </c>
      <c r="P12" s="98"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629"/>
      <c r="AR12" s="630"/>
      <c r="AS12" s="630"/>
    </row>
    <row r="13" spans="2:45" ht="178.5" customHeight="1">
      <c r="B13" s="751" t="s">
        <v>385</v>
      </c>
      <c r="C13" s="124" t="s">
        <v>441</v>
      </c>
      <c r="D13" s="252">
        <v>1</v>
      </c>
      <c r="E13" s="319" t="s">
        <v>509</v>
      </c>
      <c r="F13" s="126" t="s">
        <v>386</v>
      </c>
      <c r="G13" s="127" t="s">
        <v>311</v>
      </c>
      <c r="H13" s="319" t="s">
        <v>387</v>
      </c>
      <c r="I13" s="134" t="s">
        <v>577</v>
      </c>
      <c r="J13" s="129" t="s">
        <v>388</v>
      </c>
      <c r="K13" s="178">
        <v>0</v>
      </c>
      <c r="L13" s="178">
        <v>0</v>
      </c>
      <c r="M13" s="178">
        <v>0</v>
      </c>
      <c r="N13" s="178">
        <v>0</v>
      </c>
      <c r="O13" s="178">
        <v>0.5</v>
      </c>
      <c r="P13" s="178">
        <v>0.5</v>
      </c>
      <c r="Q13" s="179">
        <f t="shared" ref="Q13:R15" si="0">K13+M13+O13</f>
        <v>0.5</v>
      </c>
      <c r="R13" s="179">
        <f t="shared" si="0"/>
        <v>0.5</v>
      </c>
      <c r="S13" s="178">
        <v>0</v>
      </c>
      <c r="T13" s="178">
        <v>0</v>
      </c>
      <c r="U13" s="178">
        <v>0</v>
      </c>
      <c r="V13" s="178">
        <v>0</v>
      </c>
      <c r="W13" s="178">
        <v>0.5</v>
      </c>
      <c r="X13" s="178">
        <v>0.4</v>
      </c>
      <c r="Y13" s="179">
        <f t="shared" ref="Y13:Z15" si="1">S13+U13+W13</f>
        <v>0.5</v>
      </c>
      <c r="Z13" s="179">
        <f t="shared" si="1"/>
        <v>0.4</v>
      </c>
      <c r="AA13" s="178">
        <v>0</v>
      </c>
      <c r="AB13" s="178">
        <v>0</v>
      </c>
      <c r="AC13" s="178">
        <v>0</v>
      </c>
      <c r="AD13" s="178">
        <v>0</v>
      </c>
      <c r="AE13" s="178">
        <v>0</v>
      </c>
      <c r="AF13" s="178">
        <v>0.1</v>
      </c>
      <c r="AG13" s="179">
        <f t="shared" ref="AG13:AH15" si="2">AA13+AC13+AE13</f>
        <v>0</v>
      </c>
      <c r="AH13" s="179">
        <f t="shared" si="2"/>
        <v>0.1</v>
      </c>
      <c r="AI13" s="178">
        <v>0</v>
      </c>
      <c r="AJ13" s="178"/>
      <c r="AK13" s="178">
        <v>0</v>
      </c>
      <c r="AL13" s="178"/>
      <c r="AM13" s="178">
        <v>0</v>
      </c>
      <c r="AN13" s="178"/>
      <c r="AO13" s="179">
        <f t="shared" ref="AO13:AP15" si="3">AI13+AK13+AM13</f>
        <v>0</v>
      </c>
      <c r="AP13" s="179">
        <f t="shared" si="3"/>
        <v>0</v>
      </c>
      <c r="AQ13" s="284">
        <f t="shared" ref="AQ13:AR15" si="4">Q13+Y13+AG13+AO13</f>
        <v>1</v>
      </c>
      <c r="AR13" s="179">
        <f t="shared" si="4"/>
        <v>1</v>
      </c>
      <c r="AS13" s="284">
        <f>IF(AND(AR13&gt;0,AQ13&gt;0),AR13/AQ13,0)</f>
        <v>1</v>
      </c>
    </row>
    <row r="14" spans="2:45" ht="120.75" customHeight="1">
      <c r="B14" s="608"/>
      <c r="C14" s="124" t="s">
        <v>442</v>
      </c>
      <c r="D14" s="252">
        <v>1</v>
      </c>
      <c r="E14" s="124" t="s">
        <v>392</v>
      </c>
      <c r="F14" s="126" t="s">
        <v>386</v>
      </c>
      <c r="G14" s="127" t="s">
        <v>389</v>
      </c>
      <c r="H14" s="319" t="s">
        <v>390</v>
      </c>
      <c r="I14" s="134" t="s">
        <v>510</v>
      </c>
      <c r="J14" s="129" t="s">
        <v>388</v>
      </c>
      <c r="K14" s="178">
        <v>0</v>
      </c>
      <c r="L14" s="178">
        <v>0</v>
      </c>
      <c r="M14" s="178">
        <v>0</v>
      </c>
      <c r="N14" s="178">
        <v>0</v>
      </c>
      <c r="O14" s="178">
        <v>0</v>
      </c>
      <c r="P14" s="178">
        <v>0</v>
      </c>
      <c r="Q14" s="179">
        <f t="shared" si="0"/>
        <v>0</v>
      </c>
      <c r="R14" s="179">
        <f t="shared" si="0"/>
        <v>0</v>
      </c>
      <c r="S14" s="178">
        <v>0</v>
      </c>
      <c r="T14" s="178">
        <v>0</v>
      </c>
      <c r="U14" s="178">
        <v>0</v>
      </c>
      <c r="V14" s="178">
        <v>0</v>
      </c>
      <c r="W14" s="178">
        <v>0.5</v>
      </c>
      <c r="X14" s="178">
        <v>0.5</v>
      </c>
      <c r="Y14" s="179">
        <f t="shared" si="1"/>
        <v>0.5</v>
      </c>
      <c r="Z14" s="179">
        <f t="shared" si="1"/>
        <v>0.5</v>
      </c>
      <c r="AA14" s="178">
        <v>0</v>
      </c>
      <c r="AB14" s="178">
        <v>0</v>
      </c>
      <c r="AC14" s="178">
        <v>0</v>
      </c>
      <c r="AD14" s="178">
        <v>0</v>
      </c>
      <c r="AE14" s="178">
        <v>0.5</v>
      </c>
      <c r="AF14" s="178">
        <v>0.5</v>
      </c>
      <c r="AG14" s="179">
        <f t="shared" si="2"/>
        <v>0.5</v>
      </c>
      <c r="AH14" s="179">
        <f t="shared" si="2"/>
        <v>0.5</v>
      </c>
      <c r="AI14" s="178">
        <v>0</v>
      </c>
      <c r="AJ14" s="178"/>
      <c r="AK14" s="178">
        <v>0</v>
      </c>
      <c r="AL14" s="178"/>
      <c r="AM14" s="178">
        <v>0</v>
      </c>
      <c r="AN14" s="178"/>
      <c r="AO14" s="179">
        <f t="shared" si="3"/>
        <v>0</v>
      </c>
      <c r="AP14" s="179">
        <f t="shared" si="3"/>
        <v>0</v>
      </c>
      <c r="AQ14" s="284">
        <f t="shared" si="4"/>
        <v>1</v>
      </c>
      <c r="AR14" s="179">
        <f t="shared" si="4"/>
        <v>1</v>
      </c>
      <c r="AS14" s="284">
        <f>IF(AND(AR14&gt;0,AQ14&gt;0),AR14/AQ14,0)</f>
        <v>1</v>
      </c>
    </row>
    <row r="15" spans="2:45" ht="134.25" customHeight="1">
      <c r="B15" s="755"/>
      <c r="C15" s="124" t="s">
        <v>443</v>
      </c>
      <c r="D15" s="253">
        <v>1</v>
      </c>
      <c r="E15" s="124" t="s">
        <v>511</v>
      </c>
      <c r="F15" s="126" t="s">
        <v>386</v>
      </c>
      <c r="G15" s="127" t="s">
        <v>389</v>
      </c>
      <c r="H15" s="128" t="s">
        <v>391</v>
      </c>
      <c r="I15" s="134" t="s">
        <v>512</v>
      </c>
      <c r="J15" s="129" t="s">
        <v>388</v>
      </c>
      <c r="K15" s="178">
        <v>0.01</v>
      </c>
      <c r="L15" s="178">
        <v>0.01</v>
      </c>
      <c r="M15" s="178">
        <v>0.02</v>
      </c>
      <c r="N15" s="178">
        <v>0.02</v>
      </c>
      <c r="O15" s="178">
        <v>0.02</v>
      </c>
      <c r="P15" s="178">
        <v>0.02</v>
      </c>
      <c r="Q15" s="179">
        <f t="shared" si="0"/>
        <v>0.05</v>
      </c>
      <c r="R15" s="179">
        <f t="shared" si="0"/>
        <v>0.05</v>
      </c>
      <c r="S15" s="178">
        <v>0.01</v>
      </c>
      <c r="T15" s="178">
        <v>0.01</v>
      </c>
      <c r="U15" s="178">
        <v>0.02</v>
      </c>
      <c r="V15" s="178">
        <v>0.02</v>
      </c>
      <c r="W15" s="178">
        <v>0.02</v>
      </c>
      <c r="X15" s="178">
        <v>0.02</v>
      </c>
      <c r="Y15" s="179">
        <f t="shared" si="1"/>
        <v>0.05</v>
      </c>
      <c r="Z15" s="179">
        <f t="shared" si="1"/>
        <v>0.05</v>
      </c>
      <c r="AA15" s="178">
        <v>0.41</v>
      </c>
      <c r="AB15" s="178">
        <v>0.41</v>
      </c>
      <c r="AC15" s="178">
        <v>0.22</v>
      </c>
      <c r="AD15" s="178">
        <v>0.22</v>
      </c>
      <c r="AE15" s="296">
        <v>0.22</v>
      </c>
      <c r="AF15" s="296">
        <v>0.22</v>
      </c>
      <c r="AG15" s="179">
        <f t="shared" si="2"/>
        <v>0.85</v>
      </c>
      <c r="AH15" s="179">
        <f t="shared" si="2"/>
        <v>0.85</v>
      </c>
      <c r="AI15" s="178">
        <v>0.01</v>
      </c>
      <c r="AJ15" s="178"/>
      <c r="AK15" s="178">
        <v>0.02</v>
      </c>
      <c r="AL15" s="178"/>
      <c r="AM15" s="178">
        <v>0.02</v>
      </c>
      <c r="AN15" s="178"/>
      <c r="AO15" s="179">
        <f t="shared" si="3"/>
        <v>0.05</v>
      </c>
      <c r="AP15" s="179">
        <f t="shared" si="3"/>
        <v>0</v>
      </c>
      <c r="AQ15" s="284">
        <f t="shared" si="4"/>
        <v>1</v>
      </c>
      <c r="AR15" s="179">
        <f t="shared" si="4"/>
        <v>0.95</v>
      </c>
      <c r="AS15" s="284">
        <f>IF(AND(AR15&gt;0,AQ15&gt;0),AR15/AQ15,0)</f>
        <v>0.95</v>
      </c>
    </row>
    <row r="16" spans="2:45" ht="23.25">
      <c r="B16" s="609" t="s">
        <v>23</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1"/>
      <c r="AS16" s="285">
        <f>AVERAGE(AS13:AS15)</f>
        <v>0.98333333333333339</v>
      </c>
    </row>
    <row r="17" spans="2:10" ht="17.25">
      <c r="B17" s="6"/>
      <c r="C17" s="6"/>
      <c r="D17" s="12"/>
      <c r="E17" s="6"/>
      <c r="F17" s="6"/>
      <c r="G17" s="6"/>
      <c r="H17" s="6"/>
      <c r="I17" s="6"/>
      <c r="J17" s="7"/>
    </row>
    <row r="18" spans="2:10" ht="30.75" customHeight="1">
      <c r="B18" s="107" t="s">
        <v>4</v>
      </c>
      <c r="C18" s="680"/>
      <c r="D18" s="681"/>
      <c r="E18" s="681"/>
      <c r="F18" s="681"/>
      <c r="G18" s="681"/>
      <c r="H18" s="681"/>
      <c r="I18" s="681"/>
      <c r="J18" s="682"/>
    </row>
    <row r="19" spans="2:10" ht="17.25">
      <c r="B19" s="6"/>
      <c r="C19" s="676"/>
      <c r="D19" s="676"/>
      <c r="E19" s="676"/>
      <c r="F19" s="676"/>
      <c r="G19" s="676"/>
      <c r="H19" s="676"/>
      <c r="I19" s="676"/>
      <c r="J19" s="676"/>
    </row>
    <row r="20" spans="2:10" ht="30" customHeight="1">
      <c r="B20" s="108" t="s">
        <v>32</v>
      </c>
      <c r="C20" s="826">
        <v>43812</v>
      </c>
      <c r="D20" s="692"/>
      <c r="E20" s="6"/>
      <c r="F20" s="6"/>
      <c r="G20" s="109" t="s">
        <v>22</v>
      </c>
      <c r="H20" s="693" t="s">
        <v>393</v>
      </c>
      <c r="I20" s="694"/>
      <c r="J20" s="694"/>
    </row>
    <row r="21" spans="2:10" ht="13.5" customHeight="1">
      <c r="B21" s="6"/>
      <c r="C21" s="6"/>
      <c r="D21" s="12"/>
      <c r="E21" s="6"/>
      <c r="F21" s="6"/>
      <c r="G21" s="6"/>
      <c r="H21" s="6"/>
      <c r="I21" s="6"/>
      <c r="J21" s="7"/>
    </row>
    <row r="22" spans="2:10" ht="15" customHeight="1">
      <c r="B22" s="6"/>
      <c r="C22" s="6"/>
      <c r="D22" s="12"/>
      <c r="E22" s="6"/>
      <c r="F22" s="6"/>
      <c r="G22" s="6"/>
      <c r="H22" s="6"/>
      <c r="I22" s="6"/>
      <c r="J22" s="7"/>
    </row>
    <row r="23" spans="2:10" ht="17.25">
      <c r="B23" s="6"/>
      <c r="C23" s="6"/>
      <c r="D23" s="12"/>
      <c r="E23" s="6"/>
      <c r="F23" s="6"/>
      <c r="G23" s="6"/>
      <c r="H23" s="6"/>
      <c r="I23" s="6"/>
      <c r="J23" s="7"/>
    </row>
    <row r="24" spans="2:10" ht="15" customHeight="1">
      <c r="B24" s="6"/>
      <c r="C24" s="6"/>
      <c r="D24" s="12"/>
      <c r="E24" s="687"/>
      <c r="F24" s="687"/>
      <c r="G24" s="687"/>
      <c r="H24" s="687"/>
      <c r="I24" s="158"/>
      <c r="J24" s="6"/>
    </row>
    <row r="25" spans="2:10" ht="15" customHeight="1">
      <c r="B25" s="6"/>
      <c r="C25" s="6"/>
      <c r="D25" s="12"/>
      <c r="E25" s="6"/>
      <c r="F25" s="6"/>
      <c r="G25" s="7"/>
      <c r="H25" s="6"/>
      <c r="I25" s="6"/>
      <c r="J25" s="6"/>
    </row>
    <row r="26" spans="2:10" ht="15" customHeight="1">
      <c r="B26" s="6"/>
      <c r="C26" s="6"/>
      <c r="D26" s="12"/>
      <c r="E26" s="687"/>
      <c r="F26" s="687"/>
      <c r="G26" s="687"/>
      <c r="H26" s="687"/>
      <c r="I26" s="158"/>
      <c r="J26" s="6"/>
    </row>
    <row r="27" spans="2:10" ht="15" customHeight="1">
      <c r="B27" s="6"/>
      <c r="C27" s="6"/>
      <c r="D27" s="12"/>
      <c r="E27" s="6"/>
      <c r="F27" s="6"/>
      <c r="G27" s="7"/>
      <c r="H27" s="6"/>
      <c r="I27" s="6"/>
      <c r="J27" s="6"/>
    </row>
    <row r="28" spans="2:10" ht="15" customHeight="1">
      <c r="B28" s="6"/>
      <c r="C28" s="6"/>
      <c r="D28" s="12"/>
      <c r="E28" s="687"/>
      <c r="F28" s="687"/>
      <c r="G28" s="687"/>
      <c r="H28" s="687"/>
      <c r="I28" s="158"/>
      <c r="J28" s="6"/>
    </row>
  </sheetData>
  <sheetProtection algorithmName="SHA-512" hashValue="FPvswCkOT9w9Ei4jVyfD1pKcUG6swU0o89RP8coZJrEOQFbwjXBoAARs8kBkU4rm7X/dHeFE/YfOyV0F0GJ+tg==" saltValue="cBHUi/SMsDdcZtg/8SXo3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E28:H28"/>
    <mergeCell ref="B16:AR16"/>
    <mergeCell ref="C18:J18"/>
    <mergeCell ref="C19:J19"/>
    <mergeCell ref="C20:D20"/>
    <mergeCell ref="H20:J20"/>
    <mergeCell ref="AM11:AN11"/>
    <mergeCell ref="AK11:AL11"/>
    <mergeCell ref="B13:B15"/>
    <mergeCell ref="E24:H24"/>
    <mergeCell ref="E26:H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sheetPr>
  <dimension ref="B1:AS29"/>
  <sheetViews>
    <sheetView showGridLines="0" zoomScale="55" zoomScaleNormal="55" workbookViewId="0">
      <selection activeCell="H16" sqref="H16"/>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7" width="21.42578125" style="8" customWidth="1"/>
    <col min="8" max="8" width="28.5703125" style="8" customWidth="1"/>
    <col min="9" max="9" width="50" style="8" customWidth="1"/>
    <col min="10" max="10" width="28.5703125" style="10" customWidth="1"/>
    <col min="11" max="42" width="14.28515625" style="4" customWidth="1"/>
    <col min="43" max="45" width="20.7109375"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73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2" t="s">
        <v>36</v>
      </c>
      <c r="AS3" s="23" t="s">
        <v>37</v>
      </c>
    </row>
    <row r="4" spans="2:45">
      <c r="B4" s="699"/>
      <c r="C4" s="73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73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32" t="s">
        <v>38</v>
      </c>
      <c r="AS5" s="73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738"/>
      <c r="AS7" s="739"/>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724" t="s">
        <v>35</v>
      </c>
      <c r="C9" s="725" t="s">
        <v>34</v>
      </c>
      <c r="D9" s="725" t="s">
        <v>63</v>
      </c>
      <c r="E9" s="725" t="s">
        <v>66</v>
      </c>
      <c r="F9" s="725" t="s">
        <v>67</v>
      </c>
      <c r="G9" s="725" t="s">
        <v>31</v>
      </c>
      <c r="H9" s="725" t="s">
        <v>25</v>
      </c>
      <c r="I9" s="725" t="s">
        <v>95</v>
      </c>
      <c r="J9" s="7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722" t="s">
        <v>6</v>
      </c>
      <c r="AR9" s="723" t="s">
        <v>7</v>
      </c>
      <c r="AS9" s="723" t="s">
        <v>24</v>
      </c>
    </row>
    <row r="10" spans="2:45" ht="15.75">
      <c r="B10" s="724"/>
      <c r="C10" s="725"/>
      <c r="D10" s="725"/>
      <c r="E10" s="725"/>
      <c r="F10" s="725"/>
      <c r="G10" s="725"/>
      <c r="H10" s="725"/>
      <c r="I10" s="725"/>
      <c r="J10" s="725"/>
      <c r="K10" s="727" t="s">
        <v>26</v>
      </c>
      <c r="L10" s="727"/>
      <c r="M10" s="727"/>
      <c r="N10" s="727"/>
      <c r="O10" s="727"/>
      <c r="P10" s="727"/>
      <c r="Q10" s="727"/>
      <c r="R10" s="727"/>
      <c r="S10" s="727" t="s">
        <v>27</v>
      </c>
      <c r="T10" s="727"/>
      <c r="U10" s="727"/>
      <c r="V10" s="727"/>
      <c r="W10" s="727"/>
      <c r="X10" s="727"/>
      <c r="Y10" s="727"/>
      <c r="Z10" s="727"/>
      <c r="AA10" s="727" t="s">
        <v>28</v>
      </c>
      <c r="AB10" s="727"/>
      <c r="AC10" s="727"/>
      <c r="AD10" s="727"/>
      <c r="AE10" s="727"/>
      <c r="AF10" s="727"/>
      <c r="AG10" s="727"/>
      <c r="AH10" s="727"/>
      <c r="AI10" s="727" t="s">
        <v>29</v>
      </c>
      <c r="AJ10" s="727"/>
      <c r="AK10" s="727"/>
      <c r="AL10" s="727"/>
      <c r="AM10" s="727"/>
      <c r="AN10" s="727"/>
      <c r="AO10" s="727"/>
      <c r="AP10" s="727"/>
      <c r="AQ10" s="722"/>
      <c r="AR10" s="723"/>
      <c r="AS10" s="723"/>
    </row>
    <row r="11" spans="2:45" ht="15.75" customHeight="1">
      <c r="B11" s="724"/>
      <c r="C11" s="725"/>
      <c r="D11" s="725"/>
      <c r="E11" s="725"/>
      <c r="F11" s="725"/>
      <c r="G11" s="725"/>
      <c r="H11" s="725"/>
      <c r="I11" s="725"/>
      <c r="J11" s="725"/>
      <c r="K11" s="727" t="s">
        <v>8</v>
      </c>
      <c r="L11" s="727"/>
      <c r="M11" s="727" t="s">
        <v>9</v>
      </c>
      <c r="N11" s="727"/>
      <c r="O11" s="740" t="s">
        <v>10</v>
      </c>
      <c r="P11" s="741"/>
      <c r="Q11" s="728" t="s">
        <v>11</v>
      </c>
      <c r="R11" s="729"/>
      <c r="S11" s="727" t="s">
        <v>33</v>
      </c>
      <c r="T11" s="727"/>
      <c r="U11" s="727" t="s">
        <v>12</v>
      </c>
      <c r="V11" s="727"/>
      <c r="W11" s="727" t="s">
        <v>13</v>
      </c>
      <c r="X11" s="727"/>
      <c r="Y11" s="728" t="s">
        <v>11</v>
      </c>
      <c r="Z11" s="729"/>
      <c r="AA11" s="727" t="s">
        <v>14</v>
      </c>
      <c r="AB11" s="727"/>
      <c r="AC11" s="727" t="s">
        <v>15</v>
      </c>
      <c r="AD11" s="727"/>
      <c r="AE11" s="727" t="s">
        <v>16</v>
      </c>
      <c r="AF11" s="727"/>
      <c r="AG11" s="728" t="s">
        <v>11</v>
      </c>
      <c r="AH11" s="729"/>
      <c r="AI11" s="727" t="s">
        <v>17</v>
      </c>
      <c r="AJ11" s="727"/>
      <c r="AK11" s="727" t="s">
        <v>18</v>
      </c>
      <c r="AL11" s="727"/>
      <c r="AM11" s="727" t="s">
        <v>19</v>
      </c>
      <c r="AN11" s="727"/>
      <c r="AO11" s="728" t="s">
        <v>11</v>
      </c>
      <c r="AP11" s="729"/>
      <c r="AQ11" s="722"/>
      <c r="AR11" s="723"/>
      <c r="AS11" s="723"/>
    </row>
    <row r="12" spans="2:45" ht="13.5">
      <c r="B12" s="627"/>
      <c r="C12" s="726"/>
      <c r="D12" s="726"/>
      <c r="E12" s="726"/>
      <c r="F12" s="726"/>
      <c r="G12" s="726"/>
      <c r="H12" s="726"/>
      <c r="I12" s="726"/>
      <c r="J12" s="726"/>
      <c r="K12" s="26" t="s">
        <v>20</v>
      </c>
      <c r="L12" s="27" t="s">
        <v>21</v>
      </c>
      <c r="M12" s="26" t="s">
        <v>20</v>
      </c>
      <c r="N12" s="27" t="s">
        <v>21</v>
      </c>
      <c r="O12" s="26" t="s">
        <v>20</v>
      </c>
      <c r="P12" s="27" t="s">
        <v>21</v>
      </c>
      <c r="Q12" s="28" t="s">
        <v>20</v>
      </c>
      <c r="R12" s="29" t="s">
        <v>21</v>
      </c>
      <c r="S12" s="26" t="s">
        <v>20</v>
      </c>
      <c r="T12" s="27" t="s">
        <v>21</v>
      </c>
      <c r="U12" s="26" t="s">
        <v>20</v>
      </c>
      <c r="V12" s="27" t="s">
        <v>21</v>
      </c>
      <c r="W12" s="26" t="s">
        <v>20</v>
      </c>
      <c r="X12" s="27" t="s">
        <v>21</v>
      </c>
      <c r="Y12" s="28" t="s">
        <v>20</v>
      </c>
      <c r="Z12" s="29" t="s">
        <v>21</v>
      </c>
      <c r="AA12" s="26" t="s">
        <v>20</v>
      </c>
      <c r="AB12" s="27" t="s">
        <v>21</v>
      </c>
      <c r="AC12" s="26" t="s">
        <v>20</v>
      </c>
      <c r="AD12" s="27" t="s">
        <v>21</v>
      </c>
      <c r="AE12" s="26" t="s">
        <v>20</v>
      </c>
      <c r="AF12" s="27" t="s">
        <v>21</v>
      </c>
      <c r="AG12" s="28" t="s">
        <v>20</v>
      </c>
      <c r="AH12" s="29" t="s">
        <v>21</v>
      </c>
      <c r="AI12" s="26" t="s">
        <v>20</v>
      </c>
      <c r="AJ12" s="27" t="s">
        <v>21</v>
      </c>
      <c r="AK12" s="26" t="s">
        <v>20</v>
      </c>
      <c r="AL12" s="27" t="s">
        <v>21</v>
      </c>
      <c r="AM12" s="26" t="s">
        <v>20</v>
      </c>
      <c r="AN12" s="27" t="s">
        <v>21</v>
      </c>
      <c r="AO12" s="28" t="s">
        <v>20</v>
      </c>
      <c r="AP12" s="29" t="s">
        <v>21</v>
      </c>
      <c r="AQ12" s="722"/>
      <c r="AR12" s="723"/>
      <c r="AS12" s="723"/>
    </row>
    <row r="13" spans="2:45" ht="71.25" customHeight="1">
      <c r="B13" s="607" t="s">
        <v>218</v>
      </c>
      <c r="C13" s="607" t="s">
        <v>444</v>
      </c>
      <c r="D13" s="466">
        <v>2</v>
      </c>
      <c r="E13" s="212" t="s">
        <v>201</v>
      </c>
      <c r="F13" s="213" t="s">
        <v>202</v>
      </c>
      <c r="G13" s="214">
        <v>8</v>
      </c>
      <c r="H13" s="213" t="s">
        <v>203</v>
      </c>
      <c r="I13" s="215" t="s">
        <v>204</v>
      </c>
      <c r="J13" s="216" t="s">
        <v>545</v>
      </c>
      <c r="K13" s="130">
        <v>0</v>
      </c>
      <c r="L13" s="130">
        <v>0</v>
      </c>
      <c r="M13" s="130">
        <v>0</v>
      </c>
      <c r="N13" s="130">
        <v>0</v>
      </c>
      <c r="O13" s="130">
        <v>0</v>
      </c>
      <c r="P13" s="130">
        <v>0</v>
      </c>
      <c r="Q13" s="65">
        <f>K13+M13+O13</f>
        <v>0</v>
      </c>
      <c r="R13" s="65">
        <f>L13+N13+P13</f>
        <v>0</v>
      </c>
      <c r="S13" s="167">
        <v>0</v>
      </c>
      <c r="T13" s="167">
        <v>0</v>
      </c>
      <c r="U13" s="167">
        <v>0</v>
      </c>
      <c r="V13" s="167">
        <v>0</v>
      </c>
      <c r="W13" s="167">
        <v>0</v>
      </c>
      <c r="X13" s="167">
        <v>0</v>
      </c>
      <c r="Y13" s="65">
        <f>S13+U13+W13</f>
        <v>0</v>
      </c>
      <c r="Z13" s="65">
        <f>T13+V13+X13</f>
        <v>0</v>
      </c>
      <c r="AA13" s="167">
        <v>0</v>
      </c>
      <c r="AB13" s="167">
        <v>0</v>
      </c>
      <c r="AC13" s="167">
        <v>0</v>
      </c>
      <c r="AD13" s="167">
        <v>0</v>
      </c>
      <c r="AE13" s="167">
        <v>0</v>
      </c>
      <c r="AF13" s="167">
        <v>0</v>
      </c>
      <c r="AG13" s="65">
        <f>AA13+AC13+AE13</f>
        <v>0</v>
      </c>
      <c r="AH13" s="65">
        <f>AB13+AD13+AF13</f>
        <v>0</v>
      </c>
      <c r="AI13" s="167">
        <v>2</v>
      </c>
      <c r="AJ13" s="167"/>
      <c r="AK13" s="167">
        <v>1</v>
      </c>
      <c r="AL13" s="167"/>
      <c r="AM13" s="167">
        <v>1</v>
      </c>
      <c r="AN13" s="167"/>
      <c r="AO13" s="65">
        <f>AI13+AK13+AM13</f>
        <v>4</v>
      </c>
      <c r="AP13" s="65">
        <f>AJ13+AL13+AN13</f>
        <v>0</v>
      </c>
      <c r="AQ13" s="21">
        <f>Q13+Y13+AG13+AO13</f>
        <v>4</v>
      </c>
      <c r="AR13" s="69">
        <f>R13+Z13+AH13+AP13</f>
        <v>0</v>
      </c>
      <c r="AS13" s="289">
        <f>IF(AND(AR13&gt;0,AQ13&gt;0),AR13/AQ13,0)</f>
        <v>0</v>
      </c>
    </row>
    <row r="14" spans="2:45" ht="60">
      <c r="B14" s="827"/>
      <c r="C14" s="755"/>
      <c r="D14" s="466">
        <v>2</v>
      </c>
      <c r="E14" s="212" t="s">
        <v>564</v>
      </c>
      <c r="F14" s="213" t="s">
        <v>206</v>
      </c>
      <c r="G14" s="214">
        <v>4</v>
      </c>
      <c r="H14" s="213" t="s">
        <v>207</v>
      </c>
      <c r="I14" s="215" t="s">
        <v>208</v>
      </c>
      <c r="J14" s="216" t="s">
        <v>545</v>
      </c>
      <c r="K14" s="130">
        <v>0</v>
      </c>
      <c r="L14" s="130">
        <v>0</v>
      </c>
      <c r="M14" s="130">
        <v>0</v>
      </c>
      <c r="N14" s="130">
        <v>0</v>
      </c>
      <c r="O14" s="130">
        <v>0</v>
      </c>
      <c r="P14" s="130">
        <v>0</v>
      </c>
      <c r="Q14" s="65">
        <f t="shared" ref="Q14:R16" si="0">K14+M14+O14</f>
        <v>0</v>
      </c>
      <c r="R14" s="65">
        <f t="shared" si="0"/>
        <v>0</v>
      </c>
      <c r="S14" s="167">
        <v>0</v>
      </c>
      <c r="T14" s="167">
        <v>0</v>
      </c>
      <c r="U14" s="167">
        <v>0</v>
      </c>
      <c r="V14" s="167">
        <v>0</v>
      </c>
      <c r="W14" s="167">
        <v>0</v>
      </c>
      <c r="X14" s="167">
        <v>0</v>
      </c>
      <c r="Y14" s="65">
        <f t="shared" ref="Y14:Z16" si="1">S14+U14+W14</f>
        <v>0</v>
      </c>
      <c r="Z14" s="65">
        <f t="shared" si="1"/>
        <v>0</v>
      </c>
      <c r="AA14" s="167">
        <v>0</v>
      </c>
      <c r="AB14" s="167">
        <v>0</v>
      </c>
      <c r="AC14" s="167">
        <v>0</v>
      </c>
      <c r="AD14" s="167">
        <v>0</v>
      </c>
      <c r="AE14" s="167">
        <v>0</v>
      </c>
      <c r="AF14" s="167">
        <v>0</v>
      </c>
      <c r="AG14" s="65">
        <f t="shared" ref="AG14:AH16" si="2">AA14+AC14+AE14</f>
        <v>0</v>
      </c>
      <c r="AH14" s="65">
        <f t="shared" si="2"/>
        <v>0</v>
      </c>
      <c r="AI14" s="167">
        <v>0</v>
      </c>
      <c r="AJ14" s="167"/>
      <c r="AK14" s="167">
        <v>1</v>
      </c>
      <c r="AL14" s="167"/>
      <c r="AM14" s="167">
        <v>1</v>
      </c>
      <c r="AN14" s="167"/>
      <c r="AO14" s="65">
        <f t="shared" ref="AO14:AP16" si="3">AI14+AK14+AM14</f>
        <v>2</v>
      </c>
      <c r="AP14" s="65">
        <f t="shared" si="3"/>
        <v>0</v>
      </c>
      <c r="AQ14" s="21">
        <f t="shared" ref="AQ14:AR16" si="4">Q14+Y14+AG14+AO14</f>
        <v>2</v>
      </c>
      <c r="AR14" s="69">
        <f t="shared" si="4"/>
        <v>0</v>
      </c>
      <c r="AS14" s="289">
        <f>IF(AND(AR14&gt;0,AQ14&gt;0),AR14/AQ14,0)</f>
        <v>0</v>
      </c>
    </row>
    <row r="15" spans="2:45" ht="99.75">
      <c r="B15" s="827"/>
      <c r="C15" s="201" t="s">
        <v>445</v>
      </c>
      <c r="D15" s="466">
        <v>4</v>
      </c>
      <c r="E15" s="212" t="s">
        <v>209</v>
      </c>
      <c r="F15" s="213" t="s">
        <v>210</v>
      </c>
      <c r="G15" s="214">
        <v>8</v>
      </c>
      <c r="H15" s="213" t="s">
        <v>211</v>
      </c>
      <c r="I15" s="215" t="s">
        <v>212</v>
      </c>
      <c r="J15" s="216" t="s">
        <v>545</v>
      </c>
      <c r="K15" s="130">
        <v>0</v>
      </c>
      <c r="L15" s="130">
        <v>0</v>
      </c>
      <c r="M15" s="130">
        <v>0</v>
      </c>
      <c r="N15" s="130">
        <v>0</v>
      </c>
      <c r="O15" s="130">
        <v>0</v>
      </c>
      <c r="P15" s="130">
        <v>0</v>
      </c>
      <c r="Q15" s="65">
        <f t="shared" si="0"/>
        <v>0</v>
      </c>
      <c r="R15" s="65">
        <f t="shared" si="0"/>
        <v>0</v>
      </c>
      <c r="S15" s="167">
        <v>0</v>
      </c>
      <c r="T15" s="167">
        <v>0</v>
      </c>
      <c r="U15" s="167">
        <v>0</v>
      </c>
      <c r="V15" s="167">
        <v>0</v>
      </c>
      <c r="W15" s="167">
        <v>0</v>
      </c>
      <c r="X15" s="167">
        <v>0</v>
      </c>
      <c r="Y15" s="65">
        <f t="shared" si="1"/>
        <v>0</v>
      </c>
      <c r="Z15" s="65">
        <f t="shared" si="1"/>
        <v>0</v>
      </c>
      <c r="AA15" s="167">
        <v>0</v>
      </c>
      <c r="AB15" s="167">
        <v>0</v>
      </c>
      <c r="AC15" s="167">
        <v>0</v>
      </c>
      <c r="AD15" s="167">
        <v>0</v>
      </c>
      <c r="AE15" s="167">
        <v>0</v>
      </c>
      <c r="AF15" s="167">
        <v>0</v>
      </c>
      <c r="AG15" s="65">
        <f t="shared" si="2"/>
        <v>0</v>
      </c>
      <c r="AH15" s="65">
        <f t="shared" si="2"/>
        <v>0</v>
      </c>
      <c r="AI15" s="167">
        <v>0</v>
      </c>
      <c r="AJ15" s="167"/>
      <c r="AK15" s="167">
        <v>2</v>
      </c>
      <c r="AL15" s="167"/>
      <c r="AM15" s="167">
        <v>2</v>
      </c>
      <c r="AN15" s="167"/>
      <c r="AO15" s="65">
        <f t="shared" si="3"/>
        <v>4</v>
      </c>
      <c r="AP15" s="65">
        <f t="shared" si="3"/>
        <v>0</v>
      </c>
      <c r="AQ15" s="21">
        <f t="shared" si="4"/>
        <v>4</v>
      </c>
      <c r="AR15" s="69">
        <f t="shared" si="4"/>
        <v>0</v>
      </c>
      <c r="AS15" s="289">
        <f>IF(AND(AR15&gt;0,AQ15&gt;0),AR15/AQ15,0)</f>
        <v>0</v>
      </c>
    </row>
    <row r="16" spans="2:45" ht="128.25">
      <c r="B16" s="755"/>
      <c r="C16" s="201" t="s">
        <v>446</v>
      </c>
      <c r="D16" s="466">
        <v>115</v>
      </c>
      <c r="E16" s="212" t="s">
        <v>213</v>
      </c>
      <c r="F16" s="213" t="s">
        <v>214</v>
      </c>
      <c r="G16" s="214">
        <v>200</v>
      </c>
      <c r="H16" s="213" t="s">
        <v>215</v>
      </c>
      <c r="I16" s="215" t="s">
        <v>216</v>
      </c>
      <c r="J16" s="216" t="s">
        <v>545</v>
      </c>
      <c r="K16" s="130">
        <v>5</v>
      </c>
      <c r="L16" s="130">
        <v>11</v>
      </c>
      <c r="M16" s="130">
        <v>10</v>
      </c>
      <c r="N16" s="130">
        <v>2</v>
      </c>
      <c r="O16" s="130">
        <v>12</v>
      </c>
      <c r="P16" s="130">
        <v>14</v>
      </c>
      <c r="Q16" s="67">
        <f t="shared" si="0"/>
        <v>27</v>
      </c>
      <c r="R16" s="67">
        <f t="shared" si="0"/>
        <v>27</v>
      </c>
      <c r="S16" s="167">
        <v>0</v>
      </c>
      <c r="T16" s="167">
        <v>0</v>
      </c>
      <c r="U16" s="167">
        <v>0</v>
      </c>
      <c r="V16" s="167">
        <v>0</v>
      </c>
      <c r="W16" s="167">
        <v>0</v>
      </c>
      <c r="X16" s="167">
        <v>0</v>
      </c>
      <c r="Y16" s="67">
        <f t="shared" si="1"/>
        <v>0</v>
      </c>
      <c r="Z16" s="67">
        <f t="shared" si="1"/>
        <v>0</v>
      </c>
      <c r="AA16" s="167">
        <v>0</v>
      </c>
      <c r="AB16" s="167">
        <v>0</v>
      </c>
      <c r="AC16" s="167">
        <v>0</v>
      </c>
      <c r="AD16" s="167">
        <v>0</v>
      </c>
      <c r="AE16" s="167">
        <v>0</v>
      </c>
      <c r="AF16" s="167">
        <v>0</v>
      </c>
      <c r="AG16" s="67">
        <f t="shared" si="2"/>
        <v>0</v>
      </c>
      <c r="AH16" s="67">
        <f t="shared" si="2"/>
        <v>0</v>
      </c>
      <c r="AI16" s="167">
        <v>30</v>
      </c>
      <c r="AJ16" s="167"/>
      <c r="AK16" s="167">
        <v>30</v>
      </c>
      <c r="AL16" s="167"/>
      <c r="AM16" s="167">
        <v>28</v>
      </c>
      <c r="AN16" s="167"/>
      <c r="AO16" s="67">
        <f t="shared" si="3"/>
        <v>88</v>
      </c>
      <c r="AP16" s="67">
        <f t="shared" si="3"/>
        <v>0</v>
      </c>
      <c r="AQ16" s="19">
        <f t="shared" si="4"/>
        <v>115</v>
      </c>
      <c r="AR16" s="70">
        <f t="shared" si="4"/>
        <v>27</v>
      </c>
      <c r="AS16" s="289">
        <f>IF(AND(AR16&gt;0,AQ16&gt;0),AR16/AQ16,0)</f>
        <v>0.23478260869565218</v>
      </c>
    </row>
    <row r="17" spans="2:45" ht="23.25">
      <c r="B17" s="719" t="s">
        <v>23</v>
      </c>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1"/>
      <c r="AS17" s="360">
        <f>AVERAGE(AS13:AS16)</f>
        <v>5.8695652173913045E-2</v>
      </c>
    </row>
    <row r="18" spans="2:45" ht="17.25">
      <c r="B18" s="6"/>
      <c r="C18" s="6"/>
      <c r="D18" s="12"/>
      <c r="E18" s="6"/>
      <c r="F18" s="6"/>
      <c r="G18" s="6"/>
      <c r="H18" s="6"/>
      <c r="I18" s="6"/>
      <c r="J18" s="7"/>
    </row>
    <row r="19" spans="2:45" ht="15.75">
      <c r="B19" s="58" t="s">
        <v>4</v>
      </c>
      <c r="C19" s="750"/>
      <c r="D19" s="736"/>
      <c r="E19" s="736"/>
      <c r="F19" s="736"/>
      <c r="G19" s="736"/>
      <c r="H19" s="736"/>
      <c r="I19" s="736"/>
      <c r="J19" s="737"/>
    </row>
    <row r="20" spans="2:45" ht="17.25">
      <c r="B20" s="6"/>
      <c r="C20" s="676"/>
      <c r="D20" s="676"/>
      <c r="E20" s="676"/>
      <c r="F20" s="676"/>
      <c r="G20" s="676"/>
      <c r="H20" s="676"/>
      <c r="I20" s="676"/>
      <c r="J20" s="676"/>
    </row>
    <row r="21" spans="2:45" ht="90" customHeight="1">
      <c r="B21" s="59" t="s">
        <v>32</v>
      </c>
      <c r="C21" s="683" t="s">
        <v>903</v>
      </c>
      <c r="D21" s="684"/>
      <c r="E21" s="6"/>
      <c r="F21" s="6"/>
      <c r="G21" s="57" t="s">
        <v>22</v>
      </c>
      <c r="H21" s="693" t="s">
        <v>546</v>
      </c>
      <c r="I21" s="694"/>
      <c r="J21" s="694"/>
    </row>
    <row r="22" spans="2:45" ht="17.25">
      <c r="B22" s="6"/>
      <c r="C22" s="6"/>
      <c r="D22" s="12"/>
      <c r="E22" s="6"/>
      <c r="F22" s="6"/>
      <c r="G22" s="6"/>
      <c r="H22" s="6"/>
      <c r="I22" s="6"/>
      <c r="J22" s="7"/>
    </row>
    <row r="23" spans="2:45" ht="17.25">
      <c r="B23" s="6"/>
      <c r="C23" s="6"/>
      <c r="D23" s="12"/>
      <c r="E23" s="6"/>
      <c r="F23" s="6"/>
      <c r="G23" s="6"/>
      <c r="H23" s="6"/>
      <c r="I23" s="6"/>
      <c r="J23" s="7"/>
    </row>
    <row r="24" spans="2:45" ht="17.25">
      <c r="B24" s="6"/>
      <c r="C24" s="6"/>
      <c r="D24" s="12"/>
      <c r="E24" s="6"/>
      <c r="F24" s="6"/>
      <c r="G24" s="6"/>
      <c r="H24" s="6"/>
      <c r="I24" s="6"/>
      <c r="J24" s="7"/>
    </row>
    <row r="25" spans="2:45" ht="17.25">
      <c r="B25" s="6"/>
      <c r="C25" s="6"/>
      <c r="D25" s="12"/>
      <c r="E25" s="687"/>
      <c r="F25" s="687"/>
      <c r="G25" s="687"/>
      <c r="H25" s="687"/>
      <c r="I25" s="72"/>
      <c r="J25" s="6"/>
    </row>
    <row r="26" spans="2:45" ht="17.25">
      <c r="B26" s="6"/>
      <c r="C26" s="6"/>
      <c r="D26" s="12"/>
      <c r="E26" s="6"/>
      <c r="F26" s="6"/>
      <c r="G26" s="7"/>
      <c r="H26" s="6"/>
      <c r="I26" s="6"/>
      <c r="J26" s="6"/>
    </row>
    <row r="27" spans="2:45" ht="17.25">
      <c r="B27" s="6"/>
      <c r="C27" s="6"/>
      <c r="D27" s="12"/>
      <c r="E27" s="687"/>
      <c r="F27" s="687"/>
      <c r="G27" s="687"/>
      <c r="H27" s="687"/>
      <c r="I27" s="72"/>
      <c r="J27" s="6"/>
    </row>
    <row r="28" spans="2:45" ht="17.25">
      <c r="B28" s="6"/>
      <c r="C28" s="6"/>
      <c r="D28" s="12"/>
      <c r="E28" s="6"/>
      <c r="F28" s="6"/>
      <c r="G28" s="7"/>
      <c r="H28" s="6"/>
      <c r="I28" s="6"/>
      <c r="J28" s="6"/>
    </row>
    <row r="29" spans="2:45" ht="17.25">
      <c r="B29" s="6"/>
      <c r="C29" s="6"/>
      <c r="D29" s="12"/>
      <c r="E29" s="687"/>
      <c r="F29" s="687"/>
      <c r="G29" s="687"/>
      <c r="H29" s="687"/>
      <c r="I29" s="72"/>
      <c r="J29" s="6"/>
    </row>
  </sheetData>
  <sheetProtection algorithmName="SHA-512" hashValue="iJbc201lZ7aj/hjf407gNcK5VKEBM7dk/vwvOfo05OoD+5ot4dBOP8OGu+irDMdsxvDsWkeWZ2e77d/bG6KIXQ==" saltValue="1RlKPR30YB/xmz99pxqjzQ==" spinCount="100000" sheet="1" objects="1" scenarios="1"/>
  <mergeCells count="50">
    <mergeCell ref="B17:AR17"/>
    <mergeCell ref="C19:J19"/>
    <mergeCell ref="B13:B16"/>
    <mergeCell ref="AA11:AB11"/>
    <mergeCell ref="AC11:AD11"/>
    <mergeCell ref="AE11:AF11"/>
    <mergeCell ref="AG11:AH11"/>
    <mergeCell ref="AI11:AJ11"/>
    <mergeCell ref="AK11:AL11"/>
    <mergeCell ref="O11:P11"/>
    <mergeCell ref="Q11:R11"/>
    <mergeCell ref="S11:T11"/>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sheetPr>
  <dimension ref="B1:AS33"/>
  <sheetViews>
    <sheetView showGridLines="0" tabSelected="1" zoomScale="55" zoomScaleNormal="55" workbookViewId="0">
      <selection activeCell="D27" sqref="D27"/>
    </sheetView>
  </sheetViews>
  <sheetFormatPr baseColWidth="10" defaultColWidth="17.28515625" defaultRowHeight="15" customHeight="1"/>
  <cols>
    <col min="1" max="1" width="4.28515625" style="4" customWidth="1"/>
    <col min="2" max="2" width="28.42578125" style="8" customWidth="1"/>
    <col min="3" max="3" width="28.5703125" style="8" customWidth="1"/>
    <col min="4" max="4" width="21.42578125" style="13" customWidth="1"/>
    <col min="5" max="5" width="21.42578125" style="8" customWidth="1"/>
    <col min="6" max="6" width="28.42578125" style="8" customWidth="1"/>
    <col min="7" max="7" width="21.42578125" style="8" customWidth="1"/>
    <col min="8" max="8" width="28.5703125" style="8" customWidth="1"/>
    <col min="9" max="9" width="50" style="8" customWidth="1"/>
    <col min="10" max="10" width="28.5703125" style="10" customWidth="1"/>
    <col min="11" max="42" width="14.28515625" style="4" customWidth="1"/>
    <col min="43" max="45" width="21.28515625" style="4" customWidth="1"/>
    <col min="46" max="16384" width="17.28515625" style="4"/>
  </cols>
  <sheetData>
    <row r="1" spans="2:45" ht="18" thickBot="1"/>
    <row r="2" spans="2:45" ht="15.75">
      <c r="B2" s="698"/>
      <c r="C2" s="701" t="s">
        <v>59</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39</v>
      </c>
      <c r="AS2" s="711"/>
    </row>
    <row r="3" spans="2:45" ht="15.75">
      <c r="B3" s="699"/>
      <c r="C3" s="70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104" t="s">
        <v>36</v>
      </c>
      <c r="AS3" s="105" t="s">
        <v>37</v>
      </c>
    </row>
    <row r="4" spans="2:45">
      <c r="B4" s="699"/>
      <c r="C4" s="70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4">
        <v>3</v>
      </c>
      <c r="AS4" s="25" t="s">
        <v>102</v>
      </c>
    </row>
    <row r="5" spans="2:45" ht="15.75">
      <c r="B5" s="699"/>
      <c r="C5" s="70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12" t="s">
        <v>38</v>
      </c>
      <c r="AS5" s="71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100</v>
      </c>
      <c r="AS6" s="715"/>
    </row>
    <row r="7" spans="2:45" ht="17.25">
      <c r="B7" s="5"/>
      <c r="C7" s="5"/>
      <c r="D7" s="11"/>
      <c r="E7" s="5"/>
      <c r="F7" s="5"/>
      <c r="G7" s="5"/>
      <c r="H7" s="5"/>
      <c r="I7" s="5"/>
      <c r="J7" s="9"/>
      <c r="AR7" s="631"/>
      <c r="AS7" s="632"/>
    </row>
    <row r="8" spans="2:45" ht="13.5">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695"/>
      <c r="AR8" s="696"/>
      <c r="AS8" s="697"/>
    </row>
    <row r="9" spans="2:45" ht="15.75">
      <c r="B9" s="626" t="s">
        <v>35</v>
      </c>
      <c r="C9" s="825" t="s">
        <v>34</v>
      </c>
      <c r="D9" s="825" t="s">
        <v>63</v>
      </c>
      <c r="E9" s="825" t="s">
        <v>66</v>
      </c>
      <c r="F9" s="825" t="s">
        <v>67</v>
      </c>
      <c r="G9" s="825" t="s">
        <v>31</v>
      </c>
      <c r="H9" s="825" t="s">
        <v>25</v>
      </c>
      <c r="I9" s="825" t="s">
        <v>95</v>
      </c>
      <c r="J9" s="825" t="s">
        <v>2</v>
      </c>
      <c r="K9" s="628" t="s">
        <v>5</v>
      </c>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9" t="s">
        <v>6</v>
      </c>
      <c r="AR9" s="630" t="s">
        <v>7</v>
      </c>
      <c r="AS9" s="630" t="s">
        <v>24</v>
      </c>
    </row>
    <row r="10" spans="2:45" ht="15.75">
      <c r="B10" s="626"/>
      <c r="C10" s="825"/>
      <c r="D10" s="825"/>
      <c r="E10" s="825"/>
      <c r="F10" s="825"/>
      <c r="G10" s="825"/>
      <c r="H10" s="825"/>
      <c r="I10" s="825"/>
      <c r="J10" s="825"/>
      <c r="K10" s="615" t="s">
        <v>26</v>
      </c>
      <c r="L10" s="615"/>
      <c r="M10" s="615"/>
      <c r="N10" s="615"/>
      <c r="O10" s="615"/>
      <c r="P10" s="615"/>
      <c r="Q10" s="615"/>
      <c r="R10" s="615"/>
      <c r="S10" s="615" t="s">
        <v>27</v>
      </c>
      <c r="T10" s="615"/>
      <c r="U10" s="615"/>
      <c r="V10" s="615"/>
      <c r="W10" s="615"/>
      <c r="X10" s="615"/>
      <c r="Y10" s="615"/>
      <c r="Z10" s="615"/>
      <c r="AA10" s="615" t="s">
        <v>28</v>
      </c>
      <c r="AB10" s="615"/>
      <c r="AC10" s="615"/>
      <c r="AD10" s="615"/>
      <c r="AE10" s="615"/>
      <c r="AF10" s="615"/>
      <c r="AG10" s="615"/>
      <c r="AH10" s="615"/>
      <c r="AI10" s="615" t="s">
        <v>29</v>
      </c>
      <c r="AJ10" s="615"/>
      <c r="AK10" s="615"/>
      <c r="AL10" s="615"/>
      <c r="AM10" s="615"/>
      <c r="AN10" s="615"/>
      <c r="AO10" s="615"/>
      <c r="AP10" s="615"/>
      <c r="AQ10" s="629"/>
      <c r="AR10" s="630"/>
      <c r="AS10" s="630"/>
    </row>
    <row r="11" spans="2:45" ht="15.75" customHeight="1">
      <c r="B11" s="626"/>
      <c r="C11" s="825"/>
      <c r="D11" s="825"/>
      <c r="E11" s="825"/>
      <c r="F11" s="825"/>
      <c r="G11" s="825"/>
      <c r="H11" s="825"/>
      <c r="I11" s="825"/>
      <c r="J11" s="825"/>
      <c r="K11" s="615" t="s">
        <v>8</v>
      </c>
      <c r="L11" s="615"/>
      <c r="M11" s="615" t="s">
        <v>9</v>
      </c>
      <c r="N11" s="615"/>
      <c r="O11" s="621" t="s">
        <v>10</v>
      </c>
      <c r="P11" s="622"/>
      <c r="Q11" s="605" t="s">
        <v>11</v>
      </c>
      <c r="R11" s="606"/>
      <c r="S11" s="615" t="s">
        <v>33</v>
      </c>
      <c r="T11" s="615"/>
      <c r="U11" s="615" t="s">
        <v>12</v>
      </c>
      <c r="V11" s="615"/>
      <c r="W11" s="615" t="s">
        <v>13</v>
      </c>
      <c r="X11" s="615"/>
      <c r="Y11" s="605" t="s">
        <v>11</v>
      </c>
      <c r="Z11" s="606"/>
      <c r="AA11" s="615" t="s">
        <v>14</v>
      </c>
      <c r="AB11" s="615"/>
      <c r="AC11" s="615" t="s">
        <v>15</v>
      </c>
      <c r="AD11" s="615"/>
      <c r="AE11" s="615" t="s">
        <v>16</v>
      </c>
      <c r="AF11" s="615"/>
      <c r="AG11" s="605" t="s">
        <v>11</v>
      </c>
      <c r="AH11" s="606"/>
      <c r="AI11" s="615" t="s">
        <v>17</v>
      </c>
      <c r="AJ11" s="615"/>
      <c r="AK11" s="615" t="s">
        <v>18</v>
      </c>
      <c r="AL11" s="615"/>
      <c r="AM11" s="615" t="s">
        <v>19</v>
      </c>
      <c r="AN11" s="615"/>
      <c r="AO11" s="605" t="s">
        <v>11</v>
      </c>
      <c r="AP11" s="606"/>
      <c r="AQ11" s="629"/>
      <c r="AR11" s="630"/>
      <c r="AS11" s="630"/>
    </row>
    <row r="12" spans="2:45" ht="13.5">
      <c r="B12" s="627"/>
      <c r="C12" s="726"/>
      <c r="D12" s="726"/>
      <c r="E12" s="726"/>
      <c r="F12" s="726"/>
      <c r="G12" s="726"/>
      <c r="H12" s="726"/>
      <c r="I12" s="726"/>
      <c r="J12" s="726"/>
      <c r="K12" s="97" t="s">
        <v>20</v>
      </c>
      <c r="L12" s="98" t="s">
        <v>21</v>
      </c>
      <c r="M12" s="97" t="s">
        <v>20</v>
      </c>
      <c r="N12" s="98" t="s">
        <v>21</v>
      </c>
      <c r="O12" s="97" t="s">
        <v>20</v>
      </c>
      <c r="P12" s="98" t="s">
        <v>21</v>
      </c>
      <c r="Q12" s="99" t="s">
        <v>20</v>
      </c>
      <c r="R12" s="100" t="s">
        <v>21</v>
      </c>
      <c r="S12" s="97" t="s">
        <v>20</v>
      </c>
      <c r="T12" s="98" t="s">
        <v>21</v>
      </c>
      <c r="U12" s="97" t="s">
        <v>20</v>
      </c>
      <c r="V12" s="98" t="s">
        <v>21</v>
      </c>
      <c r="W12" s="97" t="s">
        <v>20</v>
      </c>
      <c r="X12" s="98" t="s">
        <v>21</v>
      </c>
      <c r="Y12" s="99" t="s">
        <v>20</v>
      </c>
      <c r="Z12" s="100" t="s">
        <v>21</v>
      </c>
      <c r="AA12" s="97" t="s">
        <v>20</v>
      </c>
      <c r="AB12" s="98" t="s">
        <v>21</v>
      </c>
      <c r="AC12" s="97" t="s">
        <v>20</v>
      </c>
      <c r="AD12" s="98" t="s">
        <v>21</v>
      </c>
      <c r="AE12" s="97" t="s">
        <v>20</v>
      </c>
      <c r="AF12" s="98" t="s">
        <v>21</v>
      </c>
      <c r="AG12" s="99" t="s">
        <v>20</v>
      </c>
      <c r="AH12" s="100" t="s">
        <v>21</v>
      </c>
      <c r="AI12" s="97" t="s">
        <v>20</v>
      </c>
      <c r="AJ12" s="98" t="s">
        <v>21</v>
      </c>
      <c r="AK12" s="97" t="s">
        <v>20</v>
      </c>
      <c r="AL12" s="98" t="s">
        <v>21</v>
      </c>
      <c r="AM12" s="97" t="s">
        <v>20</v>
      </c>
      <c r="AN12" s="98" t="s">
        <v>21</v>
      </c>
      <c r="AO12" s="99" t="s">
        <v>20</v>
      </c>
      <c r="AP12" s="100" t="s">
        <v>21</v>
      </c>
      <c r="AQ12" s="629"/>
      <c r="AR12" s="630"/>
      <c r="AS12" s="630"/>
    </row>
    <row r="13" spans="2:45" ht="157.5" customHeight="1">
      <c r="B13" s="716" t="s">
        <v>346</v>
      </c>
      <c r="C13" s="254" t="s">
        <v>447</v>
      </c>
      <c r="D13" s="255">
        <v>3</v>
      </c>
      <c r="E13" s="256" t="s">
        <v>321</v>
      </c>
      <c r="F13" s="256" t="s">
        <v>322</v>
      </c>
      <c r="G13" s="257">
        <v>3</v>
      </c>
      <c r="H13" s="254" t="s">
        <v>323</v>
      </c>
      <c r="I13" s="254" t="s">
        <v>324</v>
      </c>
      <c r="J13" s="256" t="s">
        <v>3</v>
      </c>
      <c r="K13" s="167">
        <v>0</v>
      </c>
      <c r="L13" s="167">
        <v>0</v>
      </c>
      <c r="M13" s="167">
        <v>0</v>
      </c>
      <c r="N13" s="167">
        <v>0</v>
      </c>
      <c r="O13" s="167">
        <v>2</v>
      </c>
      <c r="P13" s="167">
        <v>2</v>
      </c>
      <c r="Q13" s="169">
        <f>K13+M13+O13</f>
        <v>2</v>
      </c>
      <c r="R13" s="169">
        <f>L13+N13+P13</f>
        <v>2</v>
      </c>
      <c r="S13" s="167">
        <v>0</v>
      </c>
      <c r="T13" s="167">
        <v>0</v>
      </c>
      <c r="U13" s="167">
        <v>0</v>
      </c>
      <c r="V13" s="167">
        <v>0</v>
      </c>
      <c r="W13" s="167">
        <v>0</v>
      </c>
      <c r="X13" s="167">
        <v>0</v>
      </c>
      <c r="Y13" s="169">
        <f>S13+U13+W13</f>
        <v>0</v>
      </c>
      <c r="Z13" s="169">
        <f>T13+V13+X13</f>
        <v>0</v>
      </c>
      <c r="AA13" s="167">
        <v>1</v>
      </c>
      <c r="AB13" s="167">
        <v>1</v>
      </c>
      <c r="AC13" s="167">
        <v>0</v>
      </c>
      <c r="AD13" s="167">
        <v>0</v>
      </c>
      <c r="AE13" s="263">
        <v>0</v>
      </c>
      <c r="AF13" s="263">
        <v>0</v>
      </c>
      <c r="AG13" s="169">
        <f>AA13+AC13+AE13</f>
        <v>1</v>
      </c>
      <c r="AH13" s="169">
        <f>AB13+AD13+AF13</f>
        <v>1</v>
      </c>
      <c r="AI13" s="167">
        <v>0</v>
      </c>
      <c r="AJ13" s="167"/>
      <c r="AK13" s="167">
        <v>0</v>
      </c>
      <c r="AL13" s="167"/>
      <c r="AM13" s="167">
        <v>0</v>
      </c>
      <c r="AN13" s="167"/>
      <c r="AO13" s="169">
        <f>AI13+AK13+AM13</f>
        <v>0</v>
      </c>
      <c r="AP13" s="169">
        <f>AJ13+AL13+AN13</f>
        <v>0</v>
      </c>
      <c r="AQ13" s="204">
        <f>Q13+Y13+AG13+AO13</f>
        <v>3</v>
      </c>
      <c r="AR13" s="204">
        <f>R13+Z13+AH13+AP13</f>
        <v>3</v>
      </c>
      <c r="AS13" s="284">
        <f t="shared" ref="AS13:AS20" si="0">IF(AND(AR13&gt;0,AQ13&gt;0),AR13/AQ13,0)</f>
        <v>1</v>
      </c>
    </row>
    <row r="14" spans="2:45" ht="72">
      <c r="B14" s="828"/>
      <c r="C14" s="258" t="s">
        <v>448</v>
      </c>
      <c r="D14" s="259">
        <v>2</v>
      </c>
      <c r="E14" s="260" t="s">
        <v>325</v>
      </c>
      <c r="F14" s="260" t="s">
        <v>326</v>
      </c>
      <c r="G14" s="261">
        <v>3</v>
      </c>
      <c r="H14" s="258" t="s">
        <v>327</v>
      </c>
      <c r="I14" s="254" t="s">
        <v>328</v>
      </c>
      <c r="J14" s="256" t="s">
        <v>3</v>
      </c>
      <c r="K14" s="167">
        <v>0</v>
      </c>
      <c r="L14" s="167">
        <v>0</v>
      </c>
      <c r="M14" s="167">
        <v>1</v>
      </c>
      <c r="N14" s="167">
        <v>1</v>
      </c>
      <c r="O14" s="167">
        <v>0</v>
      </c>
      <c r="P14" s="167">
        <v>0</v>
      </c>
      <c r="Q14" s="169">
        <v>1</v>
      </c>
      <c r="R14" s="169">
        <f t="shared" ref="R14" si="1">L14+N14+P14</f>
        <v>1</v>
      </c>
      <c r="S14" s="167">
        <v>0</v>
      </c>
      <c r="T14" s="167">
        <v>0</v>
      </c>
      <c r="U14" s="167">
        <v>1</v>
      </c>
      <c r="V14" s="167">
        <v>1</v>
      </c>
      <c r="W14" s="167">
        <v>0</v>
      </c>
      <c r="X14" s="167">
        <v>0</v>
      </c>
      <c r="Y14" s="169">
        <v>1</v>
      </c>
      <c r="Z14" s="169">
        <f t="shared" ref="Z14" si="2">T14+V14+X14</f>
        <v>1</v>
      </c>
      <c r="AA14" s="167">
        <v>0</v>
      </c>
      <c r="AB14" s="167">
        <v>0</v>
      </c>
      <c r="AC14" s="167">
        <v>0</v>
      </c>
      <c r="AD14" s="167">
        <v>0</v>
      </c>
      <c r="AE14" s="263">
        <v>0</v>
      </c>
      <c r="AF14" s="263">
        <v>0</v>
      </c>
      <c r="AG14" s="169">
        <v>0</v>
      </c>
      <c r="AH14" s="169">
        <f t="shared" ref="AH14" si="3">AB14+AD14+AF14</f>
        <v>0</v>
      </c>
      <c r="AI14" s="167">
        <v>0</v>
      </c>
      <c r="AJ14" s="167"/>
      <c r="AK14" s="167">
        <v>0</v>
      </c>
      <c r="AL14" s="167"/>
      <c r="AM14" s="167">
        <v>0</v>
      </c>
      <c r="AN14" s="167"/>
      <c r="AO14" s="169">
        <v>0</v>
      </c>
      <c r="AP14" s="169">
        <f t="shared" ref="AP14" si="4">AJ14+AL14+AN14</f>
        <v>0</v>
      </c>
      <c r="AQ14" s="204">
        <f t="shared" ref="AQ14:AR20" si="5">Q14+Y14+AG14+AO14</f>
        <v>2</v>
      </c>
      <c r="AR14" s="204">
        <f t="shared" si="5"/>
        <v>2</v>
      </c>
      <c r="AS14" s="284">
        <f t="shared" si="0"/>
        <v>1</v>
      </c>
    </row>
    <row r="15" spans="2:45" ht="198">
      <c r="B15" s="828"/>
      <c r="C15" s="258" t="s">
        <v>449</v>
      </c>
      <c r="D15" s="255">
        <v>65</v>
      </c>
      <c r="E15" s="256" t="s">
        <v>329</v>
      </c>
      <c r="F15" s="256" t="s">
        <v>330</v>
      </c>
      <c r="G15" s="257">
        <v>65</v>
      </c>
      <c r="H15" s="254" t="s">
        <v>331</v>
      </c>
      <c r="I15" s="254" t="s">
        <v>332</v>
      </c>
      <c r="J15" s="256" t="s">
        <v>3</v>
      </c>
      <c r="K15" s="167">
        <v>65</v>
      </c>
      <c r="L15" s="167">
        <v>65</v>
      </c>
      <c r="M15" s="167">
        <v>0</v>
      </c>
      <c r="N15" s="167">
        <v>0</v>
      </c>
      <c r="O15" s="167">
        <v>0</v>
      </c>
      <c r="P15" s="167">
        <v>0</v>
      </c>
      <c r="Q15" s="169">
        <f t="shared" ref="Q15:R20" si="6">K15+M15+O15</f>
        <v>65</v>
      </c>
      <c r="R15" s="169">
        <f t="shared" si="6"/>
        <v>65</v>
      </c>
      <c r="S15" s="167">
        <v>0</v>
      </c>
      <c r="T15" s="167">
        <v>0</v>
      </c>
      <c r="U15" s="167">
        <v>0</v>
      </c>
      <c r="V15" s="167">
        <v>0</v>
      </c>
      <c r="W15" s="167">
        <v>0</v>
      </c>
      <c r="X15" s="167">
        <v>0</v>
      </c>
      <c r="Y15" s="169">
        <f t="shared" ref="Y15:Z20" si="7">S15+U15+W15</f>
        <v>0</v>
      </c>
      <c r="Z15" s="169">
        <f t="shared" si="7"/>
        <v>0</v>
      </c>
      <c r="AA15" s="167">
        <v>0</v>
      </c>
      <c r="AB15" s="167">
        <v>0</v>
      </c>
      <c r="AC15" s="167">
        <v>0</v>
      </c>
      <c r="AD15" s="167">
        <v>0</v>
      </c>
      <c r="AE15" s="263">
        <v>0</v>
      </c>
      <c r="AF15" s="263">
        <v>0</v>
      </c>
      <c r="AG15" s="169">
        <f t="shared" ref="AG15:AH20" si="8">AA15+AC15+AE15</f>
        <v>0</v>
      </c>
      <c r="AH15" s="169">
        <f t="shared" si="8"/>
        <v>0</v>
      </c>
      <c r="AI15" s="167">
        <v>0</v>
      </c>
      <c r="AJ15" s="167"/>
      <c r="AK15" s="167">
        <v>0</v>
      </c>
      <c r="AL15" s="167"/>
      <c r="AM15" s="167">
        <v>0</v>
      </c>
      <c r="AN15" s="167"/>
      <c r="AO15" s="169">
        <f t="shared" ref="AO15:AP20" si="9">AI15+AK15+AM15</f>
        <v>0</v>
      </c>
      <c r="AP15" s="169">
        <f t="shared" si="9"/>
        <v>0</v>
      </c>
      <c r="AQ15" s="204">
        <f t="shared" si="5"/>
        <v>65</v>
      </c>
      <c r="AR15" s="204">
        <f t="shared" si="5"/>
        <v>65</v>
      </c>
      <c r="AS15" s="284">
        <f t="shared" si="0"/>
        <v>1</v>
      </c>
    </row>
    <row r="16" spans="2:45" ht="162">
      <c r="B16" s="828"/>
      <c r="C16" s="258" t="s">
        <v>450</v>
      </c>
      <c r="D16" s="255">
        <v>3</v>
      </c>
      <c r="E16" s="256" t="s">
        <v>333</v>
      </c>
      <c r="F16" s="256" t="s">
        <v>334</v>
      </c>
      <c r="G16" s="257">
        <v>2</v>
      </c>
      <c r="H16" s="254" t="s">
        <v>335</v>
      </c>
      <c r="I16" s="254" t="s">
        <v>515</v>
      </c>
      <c r="J16" s="256" t="s">
        <v>3</v>
      </c>
      <c r="K16" s="167">
        <v>1</v>
      </c>
      <c r="L16" s="167">
        <v>1</v>
      </c>
      <c r="M16" s="167">
        <v>0</v>
      </c>
      <c r="N16" s="167">
        <v>0</v>
      </c>
      <c r="O16" s="167">
        <v>0</v>
      </c>
      <c r="P16" s="167">
        <v>0</v>
      </c>
      <c r="Q16" s="169">
        <f t="shared" si="6"/>
        <v>1</v>
      </c>
      <c r="R16" s="169">
        <f t="shared" si="6"/>
        <v>1</v>
      </c>
      <c r="S16" s="167">
        <v>0</v>
      </c>
      <c r="T16" s="167">
        <v>0</v>
      </c>
      <c r="U16" s="167">
        <v>1</v>
      </c>
      <c r="V16" s="167">
        <v>1</v>
      </c>
      <c r="W16" s="167">
        <v>0</v>
      </c>
      <c r="X16" s="167">
        <v>0</v>
      </c>
      <c r="Y16" s="169">
        <f t="shared" si="7"/>
        <v>1</v>
      </c>
      <c r="Z16" s="169">
        <f t="shared" si="7"/>
        <v>1</v>
      </c>
      <c r="AA16" s="167">
        <v>0</v>
      </c>
      <c r="AB16" s="167">
        <v>0</v>
      </c>
      <c r="AC16" s="167">
        <v>0</v>
      </c>
      <c r="AD16" s="167">
        <v>0</v>
      </c>
      <c r="AE16" s="263">
        <v>1</v>
      </c>
      <c r="AF16" s="263">
        <v>1</v>
      </c>
      <c r="AG16" s="169">
        <f t="shared" si="8"/>
        <v>1</v>
      </c>
      <c r="AH16" s="169">
        <f t="shared" si="8"/>
        <v>1</v>
      </c>
      <c r="AI16" s="167">
        <v>0</v>
      </c>
      <c r="AJ16" s="167"/>
      <c r="AK16" s="167">
        <v>0</v>
      </c>
      <c r="AL16" s="167"/>
      <c r="AM16" s="167">
        <v>0</v>
      </c>
      <c r="AN16" s="167"/>
      <c r="AO16" s="169">
        <v>0</v>
      </c>
      <c r="AP16" s="169">
        <f t="shared" si="9"/>
        <v>0</v>
      </c>
      <c r="AQ16" s="204">
        <f t="shared" si="5"/>
        <v>3</v>
      </c>
      <c r="AR16" s="204">
        <f t="shared" si="5"/>
        <v>3</v>
      </c>
      <c r="AS16" s="284">
        <f t="shared" si="0"/>
        <v>1</v>
      </c>
    </row>
    <row r="17" spans="2:45" ht="198">
      <c r="B17" s="828"/>
      <c r="C17" s="258" t="s">
        <v>451</v>
      </c>
      <c r="D17" s="255">
        <v>2</v>
      </c>
      <c r="E17" s="256" t="s">
        <v>336</v>
      </c>
      <c r="F17" s="256" t="s">
        <v>516</v>
      </c>
      <c r="G17" s="257">
        <v>2</v>
      </c>
      <c r="H17" s="254" t="s">
        <v>337</v>
      </c>
      <c r="I17" s="254" t="s">
        <v>347</v>
      </c>
      <c r="J17" s="256" t="s">
        <v>3</v>
      </c>
      <c r="K17" s="167">
        <v>0</v>
      </c>
      <c r="L17" s="167">
        <v>0</v>
      </c>
      <c r="M17" s="167">
        <v>1</v>
      </c>
      <c r="N17" s="167">
        <v>1</v>
      </c>
      <c r="O17" s="167">
        <v>0</v>
      </c>
      <c r="P17" s="167">
        <v>0</v>
      </c>
      <c r="Q17" s="169">
        <v>1</v>
      </c>
      <c r="R17" s="169">
        <f t="shared" si="6"/>
        <v>1</v>
      </c>
      <c r="S17" s="167">
        <v>0</v>
      </c>
      <c r="T17" s="167">
        <v>0</v>
      </c>
      <c r="U17" s="167">
        <v>0</v>
      </c>
      <c r="V17" s="167">
        <v>0</v>
      </c>
      <c r="W17" s="167">
        <v>0</v>
      </c>
      <c r="X17" s="167">
        <v>0</v>
      </c>
      <c r="Y17" s="169">
        <f t="shared" si="7"/>
        <v>0</v>
      </c>
      <c r="Z17" s="169">
        <f t="shared" si="7"/>
        <v>0</v>
      </c>
      <c r="AA17" s="167">
        <v>0</v>
      </c>
      <c r="AB17" s="167">
        <v>0</v>
      </c>
      <c r="AC17" s="167">
        <v>1</v>
      </c>
      <c r="AD17" s="167">
        <v>1</v>
      </c>
      <c r="AE17" s="263">
        <v>0</v>
      </c>
      <c r="AF17" s="263">
        <v>0</v>
      </c>
      <c r="AG17" s="169">
        <f t="shared" si="8"/>
        <v>1</v>
      </c>
      <c r="AH17" s="169">
        <f t="shared" si="8"/>
        <v>1</v>
      </c>
      <c r="AI17" s="167">
        <v>0</v>
      </c>
      <c r="AJ17" s="167"/>
      <c r="AK17" s="167">
        <v>0</v>
      </c>
      <c r="AL17" s="167"/>
      <c r="AM17" s="167">
        <v>0</v>
      </c>
      <c r="AN17" s="167"/>
      <c r="AO17" s="169">
        <v>0</v>
      </c>
      <c r="AP17" s="169">
        <f t="shared" si="9"/>
        <v>0</v>
      </c>
      <c r="AQ17" s="204">
        <f t="shared" si="5"/>
        <v>2</v>
      </c>
      <c r="AR17" s="204">
        <f t="shared" si="5"/>
        <v>2</v>
      </c>
      <c r="AS17" s="284">
        <f t="shared" si="0"/>
        <v>1</v>
      </c>
    </row>
    <row r="18" spans="2:45" ht="144">
      <c r="B18" s="828"/>
      <c r="C18" s="258" t="s">
        <v>452</v>
      </c>
      <c r="D18" s="259">
        <v>10</v>
      </c>
      <c r="E18" s="256" t="s">
        <v>338</v>
      </c>
      <c r="F18" s="256" t="s">
        <v>339</v>
      </c>
      <c r="G18" s="257">
        <v>11</v>
      </c>
      <c r="H18" s="254" t="s">
        <v>340</v>
      </c>
      <c r="I18" s="254" t="s">
        <v>517</v>
      </c>
      <c r="J18" s="256" t="s">
        <v>3</v>
      </c>
      <c r="K18" s="167">
        <v>3</v>
      </c>
      <c r="L18" s="167">
        <v>3</v>
      </c>
      <c r="M18" s="167">
        <v>3</v>
      </c>
      <c r="N18" s="167">
        <v>3</v>
      </c>
      <c r="O18" s="167">
        <v>0</v>
      </c>
      <c r="P18" s="167">
        <v>0</v>
      </c>
      <c r="Q18" s="169">
        <f t="shared" si="6"/>
        <v>6</v>
      </c>
      <c r="R18" s="169">
        <f t="shared" si="6"/>
        <v>6</v>
      </c>
      <c r="S18" s="167">
        <v>0</v>
      </c>
      <c r="T18" s="167">
        <v>0</v>
      </c>
      <c r="U18" s="167">
        <v>1</v>
      </c>
      <c r="V18" s="167">
        <v>1</v>
      </c>
      <c r="W18" s="167">
        <v>0</v>
      </c>
      <c r="X18" s="167">
        <v>0</v>
      </c>
      <c r="Y18" s="169">
        <f t="shared" si="7"/>
        <v>1</v>
      </c>
      <c r="Z18" s="169">
        <f t="shared" si="7"/>
        <v>1</v>
      </c>
      <c r="AA18" s="167">
        <v>1</v>
      </c>
      <c r="AB18" s="167">
        <v>1</v>
      </c>
      <c r="AC18" s="167">
        <v>1</v>
      </c>
      <c r="AD18" s="167">
        <v>1</v>
      </c>
      <c r="AE18" s="263">
        <v>1</v>
      </c>
      <c r="AF18" s="263">
        <v>1</v>
      </c>
      <c r="AG18" s="169">
        <f t="shared" si="8"/>
        <v>3</v>
      </c>
      <c r="AH18" s="169">
        <f t="shared" si="8"/>
        <v>3</v>
      </c>
      <c r="AI18" s="167">
        <v>0</v>
      </c>
      <c r="AJ18" s="167"/>
      <c r="AK18" s="167">
        <v>0</v>
      </c>
      <c r="AL18" s="167"/>
      <c r="AM18" s="167">
        <v>0</v>
      </c>
      <c r="AN18" s="167"/>
      <c r="AO18" s="169">
        <f t="shared" si="9"/>
        <v>0</v>
      </c>
      <c r="AP18" s="169">
        <f t="shared" si="9"/>
        <v>0</v>
      </c>
      <c r="AQ18" s="204">
        <f t="shared" si="5"/>
        <v>10</v>
      </c>
      <c r="AR18" s="204">
        <f t="shared" si="5"/>
        <v>10</v>
      </c>
      <c r="AS18" s="284">
        <f t="shared" si="0"/>
        <v>1</v>
      </c>
    </row>
    <row r="19" spans="2:45" ht="144">
      <c r="B19" s="828"/>
      <c r="C19" s="258" t="s">
        <v>453</v>
      </c>
      <c r="D19" s="255">
        <v>1</v>
      </c>
      <c r="E19" s="256" t="s">
        <v>518</v>
      </c>
      <c r="F19" s="256" t="s">
        <v>566</v>
      </c>
      <c r="G19" s="257">
        <v>1</v>
      </c>
      <c r="H19" s="254" t="s">
        <v>519</v>
      </c>
      <c r="I19" s="254" t="s">
        <v>341</v>
      </c>
      <c r="J19" s="256" t="s">
        <v>3</v>
      </c>
      <c r="K19" s="167">
        <v>0</v>
      </c>
      <c r="L19" s="167">
        <v>0</v>
      </c>
      <c r="M19" s="167">
        <v>0</v>
      </c>
      <c r="N19" s="167">
        <v>0</v>
      </c>
      <c r="O19" s="167">
        <v>0</v>
      </c>
      <c r="P19" s="167">
        <v>0</v>
      </c>
      <c r="Q19" s="169">
        <f t="shared" si="6"/>
        <v>0</v>
      </c>
      <c r="R19" s="169">
        <f t="shared" si="6"/>
        <v>0</v>
      </c>
      <c r="S19" s="167">
        <v>0</v>
      </c>
      <c r="T19" s="167">
        <v>0</v>
      </c>
      <c r="U19" s="167">
        <v>0</v>
      </c>
      <c r="V19" s="167">
        <v>0</v>
      </c>
      <c r="W19" s="167">
        <v>0</v>
      </c>
      <c r="X19" s="167">
        <v>0</v>
      </c>
      <c r="Y19" s="169">
        <f t="shared" si="7"/>
        <v>0</v>
      </c>
      <c r="Z19" s="169">
        <f t="shared" si="7"/>
        <v>0</v>
      </c>
      <c r="AA19" s="167">
        <v>0</v>
      </c>
      <c r="AB19" s="167">
        <v>0</v>
      </c>
      <c r="AC19" s="167">
        <v>0</v>
      </c>
      <c r="AD19" s="167">
        <v>0</v>
      </c>
      <c r="AE19" s="263">
        <v>0</v>
      </c>
      <c r="AF19" s="263">
        <v>0</v>
      </c>
      <c r="AG19" s="169">
        <f t="shared" si="8"/>
        <v>0</v>
      </c>
      <c r="AH19" s="169">
        <f t="shared" si="8"/>
        <v>0</v>
      </c>
      <c r="AI19" s="167">
        <v>1</v>
      </c>
      <c r="AJ19" s="167"/>
      <c r="AK19" s="167">
        <v>0</v>
      </c>
      <c r="AL19" s="167"/>
      <c r="AM19" s="167">
        <v>0</v>
      </c>
      <c r="AN19" s="167"/>
      <c r="AO19" s="169">
        <v>0</v>
      </c>
      <c r="AP19" s="169">
        <f t="shared" si="9"/>
        <v>0</v>
      </c>
      <c r="AQ19" s="204">
        <f t="shared" si="5"/>
        <v>0</v>
      </c>
      <c r="AR19" s="204">
        <f t="shared" si="5"/>
        <v>0</v>
      </c>
      <c r="AS19" s="284">
        <f t="shared" si="0"/>
        <v>0</v>
      </c>
    </row>
    <row r="20" spans="2:45" ht="209.25" customHeight="1">
      <c r="B20" s="718"/>
      <c r="C20" s="258" t="s">
        <v>454</v>
      </c>
      <c r="D20" s="255">
        <v>1</v>
      </c>
      <c r="E20" s="256" t="s">
        <v>342</v>
      </c>
      <c r="F20" s="256" t="s">
        <v>343</v>
      </c>
      <c r="G20" s="257">
        <v>1</v>
      </c>
      <c r="H20" s="254" t="s">
        <v>344</v>
      </c>
      <c r="I20" s="262" t="s">
        <v>513</v>
      </c>
      <c r="J20" s="256" t="s">
        <v>3</v>
      </c>
      <c r="K20" s="167">
        <v>0</v>
      </c>
      <c r="L20" s="167">
        <v>0</v>
      </c>
      <c r="M20" s="167">
        <v>0</v>
      </c>
      <c r="N20" s="167">
        <v>0</v>
      </c>
      <c r="O20" s="167">
        <v>0</v>
      </c>
      <c r="P20" s="167">
        <v>0</v>
      </c>
      <c r="Q20" s="169">
        <f t="shared" si="6"/>
        <v>0</v>
      </c>
      <c r="R20" s="169">
        <f t="shared" si="6"/>
        <v>0</v>
      </c>
      <c r="S20" s="167">
        <v>0</v>
      </c>
      <c r="T20" s="167">
        <v>0</v>
      </c>
      <c r="U20" s="167">
        <v>0</v>
      </c>
      <c r="V20" s="167">
        <v>0</v>
      </c>
      <c r="W20" s="167">
        <v>0</v>
      </c>
      <c r="X20" s="167">
        <v>0</v>
      </c>
      <c r="Y20" s="169">
        <f t="shared" si="7"/>
        <v>0</v>
      </c>
      <c r="Z20" s="169">
        <f t="shared" si="7"/>
        <v>0</v>
      </c>
      <c r="AA20" s="167">
        <v>0</v>
      </c>
      <c r="AB20" s="167">
        <v>0</v>
      </c>
      <c r="AC20" s="167">
        <v>0</v>
      </c>
      <c r="AD20" s="167">
        <v>0</v>
      </c>
      <c r="AE20" s="263">
        <v>0</v>
      </c>
      <c r="AF20" s="263">
        <v>0</v>
      </c>
      <c r="AG20" s="169">
        <f t="shared" si="8"/>
        <v>0</v>
      </c>
      <c r="AH20" s="169">
        <f t="shared" si="8"/>
        <v>0</v>
      </c>
      <c r="AI20" s="167">
        <v>0</v>
      </c>
      <c r="AJ20" s="167"/>
      <c r="AK20" s="167">
        <v>1</v>
      </c>
      <c r="AL20" s="167"/>
      <c r="AM20" s="167">
        <v>0</v>
      </c>
      <c r="AN20" s="167"/>
      <c r="AO20" s="169">
        <f>AI20+AK20+AM20</f>
        <v>1</v>
      </c>
      <c r="AP20" s="169">
        <f t="shared" si="9"/>
        <v>0</v>
      </c>
      <c r="AQ20" s="204">
        <f t="shared" si="5"/>
        <v>1</v>
      </c>
      <c r="AR20" s="204">
        <f t="shared" si="5"/>
        <v>0</v>
      </c>
      <c r="AS20" s="284">
        <f t="shared" si="0"/>
        <v>0</v>
      </c>
    </row>
    <row r="21" spans="2:45" ht="23.25">
      <c r="B21" s="609" t="s">
        <v>23</v>
      </c>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1"/>
      <c r="AS21" s="285">
        <f>AVERAGE(AS13:AS20)</f>
        <v>0.75</v>
      </c>
    </row>
    <row r="22" spans="2:45" ht="17.25">
      <c r="B22" s="6"/>
      <c r="C22" s="6"/>
      <c r="D22" s="12"/>
      <c r="E22" s="6"/>
      <c r="F22" s="6"/>
      <c r="G22" s="6"/>
      <c r="H22" s="6"/>
      <c r="I22" s="6"/>
      <c r="J22" s="7"/>
    </row>
    <row r="23" spans="2:45" ht="15.75">
      <c r="B23" s="107" t="s">
        <v>4</v>
      </c>
      <c r="C23" s="829" t="s">
        <v>514</v>
      </c>
      <c r="D23" s="830"/>
      <c r="E23" s="830"/>
      <c r="F23" s="830"/>
      <c r="G23" s="830"/>
      <c r="H23" s="830"/>
      <c r="I23" s="830"/>
      <c r="J23" s="831"/>
    </row>
    <row r="24" spans="2:45" ht="17.25">
      <c r="B24" s="6"/>
      <c r="C24" s="676"/>
      <c r="D24" s="676"/>
      <c r="E24" s="676"/>
      <c r="F24" s="676"/>
      <c r="G24" s="676"/>
      <c r="H24" s="676"/>
      <c r="I24" s="676"/>
      <c r="J24" s="676"/>
    </row>
    <row r="25" spans="2:45" ht="49.5" customHeight="1">
      <c r="B25" s="108" t="s">
        <v>32</v>
      </c>
      <c r="C25" s="683" t="s">
        <v>902</v>
      </c>
      <c r="D25" s="684"/>
      <c r="E25" s="6"/>
      <c r="F25" s="6"/>
      <c r="G25" s="109" t="s">
        <v>22</v>
      </c>
      <c r="H25" s="693" t="s">
        <v>345</v>
      </c>
      <c r="I25" s="694"/>
      <c r="J25" s="694"/>
    </row>
    <row r="26" spans="2:45" ht="17.25">
      <c r="B26" s="6"/>
      <c r="C26" s="6"/>
      <c r="D26" s="12"/>
      <c r="E26" s="6"/>
      <c r="F26" s="6"/>
      <c r="G26" s="6"/>
      <c r="H26" s="6"/>
      <c r="I26" s="6"/>
      <c r="J26" s="7"/>
    </row>
    <row r="27" spans="2:45" ht="17.25">
      <c r="B27" s="6"/>
      <c r="C27" s="6"/>
      <c r="D27" s="12"/>
      <c r="E27" s="6"/>
      <c r="F27" s="6"/>
      <c r="G27" s="6"/>
      <c r="H27" s="6"/>
      <c r="I27" s="6"/>
      <c r="J27" s="7"/>
    </row>
    <row r="28" spans="2:45" ht="17.25">
      <c r="B28" s="6"/>
      <c r="C28" s="6"/>
      <c r="D28" s="12"/>
      <c r="E28" s="6"/>
      <c r="F28" s="6"/>
      <c r="G28" s="6"/>
      <c r="H28" s="6"/>
      <c r="I28" s="6"/>
      <c r="J28" s="7"/>
    </row>
    <row r="29" spans="2:45" ht="17.25">
      <c r="B29" s="6"/>
      <c r="C29" s="6"/>
      <c r="D29" s="12"/>
      <c r="E29" s="687"/>
      <c r="F29" s="687"/>
      <c r="G29" s="687"/>
      <c r="H29" s="687"/>
      <c r="I29" s="106"/>
      <c r="J29" s="6"/>
    </row>
    <row r="30" spans="2:45" ht="17.25">
      <c r="B30" s="6"/>
      <c r="C30" s="6"/>
      <c r="D30" s="12"/>
      <c r="E30" s="6"/>
      <c r="F30" s="6"/>
      <c r="G30" s="7"/>
      <c r="H30" s="6"/>
      <c r="I30" s="6"/>
      <c r="J30" s="6"/>
    </row>
    <row r="31" spans="2:45" ht="17.25">
      <c r="B31" s="6"/>
      <c r="C31" s="6"/>
      <c r="D31" s="12"/>
      <c r="E31" s="687"/>
      <c r="F31" s="687"/>
      <c r="G31" s="687"/>
      <c r="H31" s="687"/>
      <c r="I31" s="106"/>
      <c r="J31" s="6"/>
    </row>
    <row r="32" spans="2:45" ht="17.25">
      <c r="B32" s="6"/>
      <c r="C32" s="6"/>
      <c r="D32" s="12"/>
      <c r="E32" s="6"/>
      <c r="F32" s="6"/>
      <c r="G32" s="7"/>
      <c r="H32" s="6"/>
      <c r="I32" s="6"/>
      <c r="J32" s="6"/>
    </row>
    <row r="33" spans="2:10" ht="17.25">
      <c r="B33" s="6"/>
      <c r="C33" s="6"/>
      <c r="D33" s="12"/>
      <c r="E33" s="687"/>
      <c r="F33" s="687"/>
      <c r="G33" s="687"/>
      <c r="H33" s="687"/>
      <c r="I33" s="106"/>
      <c r="J33" s="6"/>
    </row>
  </sheetData>
  <sheetProtection algorithmName="SHA-512" hashValue="LY7JeChCsrXfClsokY0wftyicZbvFKGc32eVmr+R6ezuESHOoiROEWiJxCXUy8aNJov7KAwNvMrY5c3AfB7oRw==" saltValue="oIt4vvAVMLsbWxFctrspBQ=="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9:H29"/>
    <mergeCell ref="E31:H31"/>
    <mergeCell ref="E33:H33"/>
    <mergeCell ref="B13:B20"/>
    <mergeCell ref="AM11:AN11"/>
    <mergeCell ref="W11:X11"/>
    <mergeCell ref="Y11:Z11"/>
    <mergeCell ref="B21:AR21"/>
    <mergeCell ref="C23:J23"/>
    <mergeCell ref="C24:J24"/>
    <mergeCell ref="C25:D25"/>
    <mergeCell ref="H25:J25"/>
  </mergeCells>
  <conditionalFormatting sqref="G13:G18">
    <cfRule type="expression" dxfId="8" priority="10">
      <formula>$L13="Pesos ($)"</formula>
    </cfRule>
    <cfRule type="expression" dxfId="7" priority="11">
      <formula>OR(LEFT($L13,9)="Número de",$L13="Otra")</formula>
    </cfRule>
    <cfRule type="expression" dxfId="6" priority="12">
      <formula>$L13="Porcentaje"</formula>
    </cfRule>
  </conditionalFormatting>
  <conditionalFormatting sqref="G19">
    <cfRule type="expression" dxfId="5" priority="7">
      <formula>$L19="Pesos ($)"</formula>
    </cfRule>
    <cfRule type="expression" dxfId="4" priority="8">
      <formula>OR(LEFT($L19,9)="Número de",$L19="Otra")</formula>
    </cfRule>
    <cfRule type="expression" dxfId="3" priority="9">
      <formula>$L19="Porcentaje"</formula>
    </cfRule>
  </conditionalFormatting>
  <conditionalFormatting sqref="G20">
    <cfRule type="expression" dxfId="2" priority="1">
      <formula>$L20="Pesos ($)"</formula>
    </cfRule>
    <cfRule type="expression" dxfId="1" priority="2">
      <formula>OR(LEFT($L20,9)="Número de",$L20="Otra")</formula>
    </cfRule>
    <cfRule type="expression" dxfId="0" priority="3">
      <formula>$L20="Porcentaje"</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Q47"/>
  <sheetViews>
    <sheetView topLeftCell="A10" zoomScale="90" zoomScaleNormal="90" zoomScaleSheetLayoutView="85" zoomScalePageLayoutView="30" workbookViewId="0">
      <selection activeCell="AP17" sqref="AP17"/>
    </sheetView>
  </sheetViews>
  <sheetFormatPr baseColWidth="10" defaultColWidth="11.42578125" defaultRowHeight="12.75"/>
  <cols>
    <col min="1" max="1" width="4.28515625" style="47" customWidth="1"/>
    <col min="2" max="2" width="28.5703125" style="47" customWidth="1"/>
    <col min="3" max="13" width="7.140625" style="47" customWidth="1"/>
    <col min="14" max="14" width="14.28515625" style="47" customWidth="1"/>
    <col min="15" max="15" width="14.42578125" style="47" customWidth="1"/>
    <col min="16" max="16" width="6.7109375" style="47" customWidth="1"/>
    <col min="17" max="17" width="9.5703125" style="47" customWidth="1"/>
    <col min="18" max="18" width="17.140625" style="47" customWidth="1"/>
    <col min="19" max="16384" width="11.42578125" style="47"/>
  </cols>
  <sheetData>
    <row r="1" spans="1:17" s="35" customFormat="1" ht="7.5" customHeight="1" thickBot="1">
      <c r="A1" s="33"/>
      <c r="B1" s="34"/>
      <c r="C1" s="34"/>
      <c r="D1" s="34"/>
      <c r="E1" s="34"/>
      <c r="F1" s="34"/>
      <c r="G1" s="34"/>
      <c r="H1" s="34"/>
      <c r="I1" s="34"/>
      <c r="J1" s="34"/>
      <c r="K1" s="34"/>
      <c r="L1" s="34"/>
      <c r="M1" s="34"/>
      <c r="N1" s="34"/>
      <c r="O1" s="34"/>
      <c r="P1" s="34"/>
      <c r="Q1" s="33"/>
    </row>
    <row r="2" spans="1:17" s="35" customFormat="1" ht="15.75">
      <c r="A2" s="33"/>
      <c r="B2" s="837"/>
      <c r="C2" s="840" t="s">
        <v>59</v>
      </c>
      <c r="D2" s="841"/>
      <c r="E2" s="841"/>
      <c r="F2" s="841"/>
      <c r="G2" s="841"/>
      <c r="H2" s="841"/>
      <c r="I2" s="841"/>
      <c r="J2" s="841"/>
      <c r="K2" s="841"/>
      <c r="L2" s="841"/>
      <c r="M2" s="841"/>
      <c r="N2" s="846" t="s">
        <v>39</v>
      </c>
      <c r="O2" s="847"/>
      <c r="P2" s="34"/>
      <c r="Q2" s="33"/>
    </row>
    <row r="3" spans="1:17" s="35" customFormat="1" ht="15.75">
      <c r="A3" s="33"/>
      <c r="B3" s="838"/>
      <c r="C3" s="842"/>
      <c r="D3" s="843"/>
      <c r="E3" s="843"/>
      <c r="F3" s="843"/>
      <c r="G3" s="843"/>
      <c r="H3" s="843"/>
      <c r="I3" s="843"/>
      <c r="J3" s="843"/>
      <c r="K3" s="843"/>
      <c r="L3" s="843"/>
      <c r="M3" s="843"/>
      <c r="N3" s="36" t="s">
        <v>36</v>
      </c>
      <c r="O3" s="37" t="s">
        <v>37</v>
      </c>
      <c r="P3" s="34"/>
      <c r="Q3" s="33"/>
    </row>
    <row r="4" spans="1:17" s="35" customFormat="1" ht="15.75" customHeight="1">
      <c r="A4" s="33"/>
      <c r="B4" s="838"/>
      <c r="C4" s="842"/>
      <c r="D4" s="843"/>
      <c r="E4" s="843"/>
      <c r="F4" s="843"/>
      <c r="G4" s="843"/>
      <c r="H4" s="843"/>
      <c r="I4" s="843"/>
      <c r="J4" s="843"/>
      <c r="K4" s="843"/>
      <c r="L4" s="843"/>
      <c r="M4" s="843"/>
      <c r="N4" s="38">
        <v>3</v>
      </c>
      <c r="O4" s="39" t="s">
        <v>103</v>
      </c>
      <c r="P4" s="34"/>
      <c r="Q4" s="33"/>
    </row>
    <row r="5" spans="1:17" s="35" customFormat="1" ht="15.75">
      <c r="A5" s="33"/>
      <c r="B5" s="838"/>
      <c r="C5" s="842"/>
      <c r="D5" s="843"/>
      <c r="E5" s="843"/>
      <c r="F5" s="843"/>
      <c r="G5" s="843"/>
      <c r="H5" s="843"/>
      <c r="I5" s="843"/>
      <c r="J5" s="843"/>
      <c r="K5" s="843"/>
      <c r="L5" s="843"/>
      <c r="M5" s="843"/>
      <c r="N5" s="848" t="s">
        <v>38</v>
      </c>
      <c r="O5" s="849"/>
      <c r="P5" s="34"/>
      <c r="Q5" s="33"/>
    </row>
    <row r="6" spans="1:17" s="35" customFormat="1" ht="16.5" customHeight="1" thickBot="1">
      <c r="A6" s="33"/>
      <c r="B6" s="839"/>
      <c r="C6" s="844"/>
      <c r="D6" s="845"/>
      <c r="E6" s="845"/>
      <c r="F6" s="845"/>
      <c r="G6" s="845"/>
      <c r="H6" s="845"/>
      <c r="I6" s="845"/>
      <c r="J6" s="845"/>
      <c r="K6" s="845"/>
      <c r="L6" s="845"/>
      <c r="M6" s="845"/>
      <c r="N6" s="850" t="s">
        <v>100</v>
      </c>
      <c r="O6" s="851"/>
      <c r="P6" s="34"/>
      <c r="Q6" s="33"/>
    </row>
    <row r="7" spans="1:17" s="35" customFormat="1" ht="7.5" customHeight="1" thickBot="1">
      <c r="A7" s="33"/>
      <c r="B7" s="34"/>
      <c r="C7" s="34"/>
      <c r="D7" s="34"/>
      <c r="E7" s="34"/>
      <c r="F7" s="40">
        <f>D12</f>
        <v>0</v>
      </c>
      <c r="G7" s="34"/>
      <c r="H7" s="34"/>
      <c r="I7" s="34"/>
      <c r="J7" s="34"/>
      <c r="K7" s="34"/>
      <c r="L7" s="34"/>
      <c r="M7" s="34"/>
      <c r="N7" s="34"/>
      <c r="O7" s="34"/>
      <c r="P7" s="34"/>
      <c r="Q7" s="33"/>
    </row>
    <row r="8" spans="1:17" s="35" customFormat="1" ht="22.5" customHeight="1">
      <c r="A8" s="33"/>
      <c r="B8" s="832" t="s">
        <v>60</v>
      </c>
      <c r="C8" s="833"/>
      <c r="D8" s="833"/>
      <c r="E8" s="833"/>
      <c r="F8" s="833"/>
      <c r="G8" s="833"/>
      <c r="H8" s="833"/>
      <c r="I8" s="833"/>
      <c r="J8" s="833"/>
      <c r="K8" s="833"/>
      <c r="L8" s="833"/>
      <c r="M8" s="833"/>
      <c r="N8" s="833"/>
      <c r="O8" s="834"/>
      <c r="P8" s="34"/>
      <c r="Q8" s="33"/>
    </row>
    <row r="9" spans="1:17" s="35" customFormat="1" ht="75" customHeight="1" thickBot="1">
      <c r="A9" s="33"/>
      <c r="B9" s="854" t="s">
        <v>108</v>
      </c>
      <c r="C9" s="855"/>
      <c r="D9" s="855"/>
      <c r="E9" s="855"/>
      <c r="F9" s="855"/>
      <c r="G9" s="855"/>
      <c r="H9" s="855"/>
      <c r="I9" s="855"/>
      <c r="J9" s="855"/>
      <c r="K9" s="855"/>
      <c r="L9" s="855"/>
      <c r="M9" s="855"/>
      <c r="N9" s="855"/>
      <c r="O9" s="856"/>
      <c r="P9" s="34"/>
      <c r="Q9" s="33"/>
    </row>
    <row r="10" spans="1:17" s="35" customFormat="1" ht="7.5" customHeight="1" thickBot="1">
      <c r="A10" s="33"/>
      <c r="B10" s="34"/>
      <c r="C10" s="34"/>
      <c r="D10" s="34"/>
      <c r="E10" s="34"/>
      <c r="F10" s="40"/>
      <c r="G10" s="34"/>
      <c r="H10" s="34"/>
      <c r="I10" s="34"/>
      <c r="J10" s="34"/>
      <c r="K10" s="34"/>
      <c r="L10" s="34"/>
      <c r="M10" s="34"/>
      <c r="N10" s="34"/>
      <c r="O10" s="34"/>
      <c r="P10" s="34"/>
      <c r="Q10" s="33"/>
    </row>
    <row r="11" spans="1:17" s="35" customFormat="1" ht="22.5" customHeight="1" thickBot="1">
      <c r="A11" s="33"/>
      <c r="B11" s="41" t="s">
        <v>57</v>
      </c>
      <c r="C11" s="857" t="s">
        <v>58</v>
      </c>
      <c r="D11" s="857"/>
      <c r="E11" s="857"/>
      <c r="F11" s="857"/>
      <c r="G11" s="857"/>
      <c r="H11" s="857"/>
      <c r="I11" s="857"/>
      <c r="J11" s="857"/>
      <c r="K11" s="857"/>
      <c r="L11" s="857"/>
      <c r="M11" s="857"/>
      <c r="N11" s="857"/>
      <c r="O11" s="858"/>
      <c r="P11" s="34"/>
      <c r="Q11" s="33"/>
    </row>
    <row r="12" spans="1:17" s="35" customFormat="1" ht="45.75" customHeight="1">
      <c r="A12" s="33"/>
      <c r="B12" s="48" t="s">
        <v>61</v>
      </c>
      <c r="C12" s="859" t="s">
        <v>107</v>
      </c>
      <c r="D12" s="859"/>
      <c r="E12" s="859"/>
      <c r="F12" s="859"/>
      <c r="G12" s="859"/>
      <c r="H12" s="859"/>
      <c r="I12" s="859"/>
      <c r="J12" s="859"/>
      <c r="K12" s="859"/>
      <c r="L12" s="859"/>
      <c r="M12" s="859"/>
      <c r="N12" s="859"/>
      <c r="O12" s="860"/>
      <c r="P12" s="33"/>
      <c r="Q12" s="33"/>
    </row>
    <row r="13" spans="1:17" s="35" customFormat="1" ht="45.75" customHeight="1">
      <c r="A13" s="33"/>
      <c r="B13" s="42" t="s">
        <v>62</v>
      </c>
      <c r="C13" s="852" t="s">
        <v>74</v>
      </c>
      <c r="D13" s="852"/>
      <c r="E13" s="852"/>
      <c r="F13" s="852"/>
      <c r="G13" s="852"/>
      <c r="H13" s="852"/>
      <c r="I13" s="852"/>
      <c r="J13" s="852"/>
      <c r="K13" s="852"/>
      <c r="L13" s="852"/>
      <c r="M13" s="852"/>
      <c r="N13" s="852"/>
      <c r="O13" s="853"/>
      <c r="P13" s="33"/>
      <c r="Q13" s="33"/>
    </row>
    <row r="14" spans="1:17" s="35" customFormat="1" ht="45.75" customHeight="1">
      <c r="A14" s="33"/>
      <c r="B14" s="49" t="s">
        <v>64</v>
      </c>
      <c r="C14" s="852" t="s">
        <v>73</v>
      </c>
      <c r="D14" s="852"/>
      <c r="E14" s="852"/>
      <c r="F14" s="852"/>
      <c r="G14" s="852"/>
      <c r="H14" s="852"/>
      <c r="I14" s="852"/>
      <c r="J14" s="852"/>
      <c r="K14" s="852"/>
      <c r="L14" s="852"/>
      <c r="M14" s="852"/>
      <c r="N14" s="852"/>
      <c r="O14" s="853"/>
      <c r="P14" s="33"/>
      <c r="Q14" s="33"/>
    </row>
    <row r="15" spans="1:17" s="35" customFormat="1" ht="45.75" customHeight="1">
      <c r="A15" s="33"/>
      <c r="B15" s="43" t="s">
        <v>65</v>
      </c>
      <c r="C15" s="852" t="s">
        <v>72</v>
      </c>
      <c r="D15" s="852"/>
      <c r="E15" s="852"/>
      <c r="F15" s="852"/>
      <c r="G15" s="852"/>
      <c r="H15" s="852"/>
      <c r="I15" s="852"/>
      <c r="J15" s="852"/>
      <c r="K15" s="852"/>
      <c r="L15" s="852"/>
      <c r="M15" s="852"/>
      <c r="N15" s="852"/>
      <c r="O15" s="853"/>
      <c r="P15" s="33"/>
      <c r="Q15" s="33"/>
    </row>
    <row r="16" spans="1:17" s="35" customFormat="1" ht="45.75" customHeight="1">
      <c r="A16" s="33"/>
      <c r="B16" s="44" t="s">
        <v>68</v>
      </c>
      <c r="C16" s="852" t="s">
        <v>69</v>
      </c>
      <c r="D16" s="852"/>
      <c r="E16" s="852"/>
      <c r="F16" s="852"/>
      <c r="G16" s="852"/>
      <c r="H16" s="852"/>
      <c r="I16" s="852"/>
      <c r="J16" s="852"/>
      <c r="K16" s="852"/>
      <c r="L16" s="852"/>
      <c r="M16" s="852"/>
      <c r="N16" s="852"/>
      <c r="O16" s="853"/>
      <c r="P16" s="33"/>
      <c r="Q16" s="33"/>
    </row>
    <row r="17" spans="1:17" s="35" customFormat="1" ht="45.75" customHeight="1">
      <c r="A17" s="33"/>
      <c r="B17" s="45" t="s">
        <v>70</v>
      </c>
      <c r="C17" s="852" t="s">
        <v>71</v>
      </c>
      <c r="D17" s="852"/>
      <c r="E17" s="852"/>
      <c r="F17" s="852"/>
      <c r="G17" s="852"/>
      <c r="H17" s="852"/>
      <c r="I17" s="852"/>
      <c r="J17" s="852"/>
      <c r="K17" s="852"/>
      <c r="L17" s="852"/>
      <c r="M17" s="852"/>
      <c r="N17" s="852"/>
      <c r="O17" s="853"/>
      <c r="P17" s="33"/>
      <c r="Q17" s="33"/>
    </row>
    <row r="18" spans="1:17" s="35" customFormat="1" ht="45.75" customHeight="1">
      <c r="A18" s="33"/>
      <c r="B18" s="45" t="s">
        <v>75</v>
      </c>
      <c r="C18" s="852" t="s">
        <v>76</v>
      </c>
      <c r="D18" s="852"/>
      <c r="E18" s="852"/>
      <c r="F18" s="852"/>
      <c r="G18" s="852"/>
      <c r="H18" s="852"/>
      <c r="I18" s="852"/>
      <c r="J18" s="852"/>
      <c r="K18" s="852"/>
      <c r="L18" s="852"/>
      <c r="M18" s="852"/>
      <c r="N18" s="852"/>
      <c r="O18" s="853"/>
      <c r="P18" s="33"/>
      <c r="Q18" s="33"/>
    </row>
    <row r="19" spans="1:17" s="35" customFormat="1" ht="45.75" customHeight="1">
      <c r="A19" s="33"/>
      <c r="B19" s="46" t="s">
        <v>77</v>
      </c>
      <c r="C19" s="852" t="s">
        <v>78</v>
      </c>
      <c r="D19" s="852"/>
      <c r="E19" s="852"/>
      <c r="F19" s="852"/>
      <c r="G19" s="852"/>
      <c r="H19" s="852"/>
      <c r="I19" s="852"/>
      <c r="J19" s="852"/>
      <c r="K19" s="852"/>
      <c r="L19" s="852"/>
      <c r="M19" s="852"/>
      <c r="N19" s="852"/>
      <c r="O19" s="853"/>
      <c r="P19" s="33"/>
      <c r="Q19" s="33"/>
    </row>
    <row r="20" spans="1:17" s="35" customFormat="1" ht="45.75" customHeight="1">
      <c r="A20" s="33"/>
      <c r="B20" s="45" t="s">
        <v>79</v>
      </c>
      <c r="C20" s="852" t="s">
        <v>81</v>
      </c>
      <c r="D20" s="852"/>
      <c r="E20" s="852"/>
      <c r="F20" s="852"/>
      <c r="G20" s="852"/>
      <c r="H20" s="852"/>
      <c r="I20" s="852"/>
      <c r="J20" s="852"/>
      <c r="K20" s="852"/>
      <c r="L20" s="852"/>
      <c r="M20" s="852"/>
      <c r="N20" s="852"/>
      <c r="O20" s="853"/>
      <c r="P20" s="33"/>
      <c r="Q20" s="33"/>
    </row>
    <row r="21" spans="1:17" s="35" customFormat="1" ht="75" customHeight="1">
      <c r="A21" s="33"/>
      <c r="B21" s="45" t="s">
        <v>80</v>
      </c>
      <c r="C21" s="852" t="s">
        <v>82</v>
      </c>
      <c r="D21" s="852"/>
      <c r="E21" s="852"/>
      <c r="F21" s="852"/>
      <c r="G21" s="852"/>
      <c r="H21" s="852"/>
      <c r="I21" s="852"/>
      <c r="J21" s="852"/>
      <c r="K21" s="852"/>
      <c r="L21" s="852"/>
      <c r="M21" s="852"/>
      <c r="N21" s="852"/>
      <c r="O21" s="853"/>
      <c r="P21" s="33"/>
      <c r="Q21" s="33"/>
    </row>
    <row r="22" spans="1:17" s="35" customFormat="1" ht="45" customHeight="1">
      <c r="A22" s="33"/>
      <c r="B22" s="45" t="s">
        <v>83</v>
      </c>
      <c r="C22" s="835" t="s">
        <v>84</v>
      </c>
      <c r="D22" s="835"/>
      <c r="E22" s="835"/>
      <c r="F22" s="835"/>
      <c r="G22" s="835"/>
      <c r="H22" s="835"/>
      <c r="I22" s="835"/>
      <c r="J22" s="835"/>
      <c r="K22" s="835"/>
      <c r="L22" s="835"/>
      <c r="M22" s="835"/>
      <c r="N22" s="835"/>
      <c r="O22" s="836"/>
      <c r="P22" s="33"/>
      <c r="Q22" s="33"/>
    </row>
    <row r="23" spans="1:17" s="35" customFormat="1" ht="45.75" customHeight="1">
      <c r="A23" s="33"/>
      <c r="B23" s="45" t="s">
        <v>85</v>
      </c>
      <c r="C23" s="835" t="s">
        <v>86</v>
      </c>
      <c r="D23" s="835"/>
      <c r="E23" s="835"/>
      <c r="F23" s="835"/>
      <c r="G23" s="835"/>
      <c r="H23" s="835"/>
      <c r="I23" s="835"/>
      <c r="J23" s="835"/>
      <c r="K23" s="835"/>
      <c r="L23" s="835"/>
      <c r="M23" s="835"/>
      <c r="N23" s="835"/>
      <c r="O23" s="836"/>
      <c r="P23" s="33"/>
      <c r="Q23" s="33"/>
    </row>
    <row r="24" spans="1:17" s="35" customFormat="1" ht="45.75" customHeight="1">
      <c r="A24" s="33"/>
      <c r="B24" s="46" t="s">
        <v>24</v>
      </c>
      <c r="C24" s="835" t="s">
        <v>87</v>
      </c>
      <c r="D24" s="835"/>
      <c r="E24" s="835"/>
      <c r="F24" s="835"/>
      <c r="G24" s="835"/>
      <c r="H24" s="835"/>
      <c r="I24" s="835"/>
      <c r="J24" s="835"/>
      <c r="K24" s="835"/>
      <c r="L24" s="835"/>
      <c r="M24" s="835"/>
      <c r="N24" s="835"/>
      <c r="O24" s="836"/>
      <c r="P24" s="33"/>
      <c r="Q24" s="33"/>
    </row>
    <row r="25" spans="1:17" s="35" customFormat="1" ht="45" customHeight="1">
      <c r="A25" s="33"/>
      <c r="B25" s="56" t="s">
        <v>4</v>
      </c>
      <c r="C25" s="861" t="s">
        <v>109</v>
      </c>
      <c r="D25" s="861"/>
      <c r="E25" s="861"/>
      <c r="F25" s="861"/>
      <c r="G25" s="861"/>
      <c r="H25" s="861"/>
      <c r="I25" s="861"/>
      <c r="J25" s="861"/>
      <c r="K25" s="861"/>
      <c r="L25" s="861"/>
      <c r="M25" s="861"/>
      <c r="N25" s="861"/>
      <c r="O25" s="862"/>
      <c r="P25" s="33"/>
      <c r="Q25" s="33"/>
    </row>
    <row r="26" spans="1:17" s="35" customFormat="1" ht="75" customHeight="1">
      <c r="A26" s="33"/>
      <c r="B26" s="45" t="s">
        <v>111</v>
      </c>
      <c r="C26" s="852" t="s">
        <v>110</v>
      </c>
      <c r="D26" s="852"/>
      <c r="E26" s="852"/>
      <c r="F26" s="852"/>
      <c r="G26" s="852"/>
      <c r="H26" s="852"/>
      <c r="I26" s="852"/>
      <c r="J26" s="852"/>
      <c r="K26" s="852"/>
      <c r="L26" s="852"/>
      <c r="M26" s="852"/>
      <c r="N26" s="852"/>
      <c r="O26" s="853"/>
      <c r="P26" s="33"/>
      <c r="Q26" s="33"/>
    </row>
    <row r="27" spans="1:17" s="35" customFormat="1" ht="45.75" customHeight="1" thickBot="1">
      <c r="A27" s="33"/>
      <c r="B27" s="50" t="s">
        <v>22</v>
      </c>
      <c r="C27" s="863" t="s">
        <v>112</v>
      </c>
      <c r="D27" s="863"/>
      <c r="E27" s="863"/>
      <c r="F27" s="863"/>
      <c r="G27" s="863"/>
      <c r="H27" s="863"/>
      <c r="I27" s="863"/>
      <c r="J27" s="863"/>
      <c r="K27" s="863"/>
      <c r="L27" s="863"/>
      <c r="M27" s="863"/>
      <c r="N27" s="863"/>
      <c r="O27" s="864"/>
      <c r="P27" s="33"/>
      <c r="Q27" s="33"/>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O25"/>
  <sheetViews>
    <sheetView zoomScale="90" zoomScaleNormal="90" workbookViewId="0">
      <selection activeCell="AP17" sqref="AP17"/>
    </sheetView>
  </sheetViews>
  <sheetFormatPr baseColWidth="10" defaultRowHeight="15"/>
  <cols>
    <col min="1" max="1" width="4.28515625" style="30" customWidth="1"/>
    <col min="2" max="4" width="14.28515625" style="30" customWidth="1"/>
    <col min="5" max="15" width="7.140625" style="30" customWidth="1"/>
    <col min="16" max="16384" width="11.42578125" style="30"/>
  </cols>
  <sheetData>
    <row r="1" spans="2:15" ht="7.5" customHeight="1" thickBot="1"/>
    <row r="2" spans="2:15" ht="15.75" customHeight="1">
      <c r="B2" s="905"/>
      <c r="C2" s="906"/>
      <c r="D2" s="911" t="s">
        <v>59</v>
      </c>
      <c r="E2" s="911"/>
      <c r="F2" s="911"/>
      <c r="G2" s="911"/>
      <c r="H2" s="911"/>
      <c r="I2" s="911"/>
      <c r="J2" s="911"/>
      <c r="K2" s="911"/>
      <c r="L2" s="663" t="s">
        <v>39</v>
      </c>
      <c r="M2" s="914"/>
      <c r="N2" s="914"/>
      <c r="O2" s="664"/>
    </row>
    <row r="3" spans="2:15" ht="15.75" customHeight="1">
      <c r="B3" s="907"/>
      <c r="C3" s="908"/>
      <c r="D3" s="912"/>
      <c r="E3" s="912"/>
      <c r="F3" s="912"/>
      <c r="G3" s="912"/>
      <c r="H3" s="912"/>
      <c r="I3" s="912"/>
      <c r="J3" s="912"/>
      <c r="K3" s="912"/>
      <c r="L3" s="915" t="s">
        <v>36</v>
      </c>
      <c r="M3" s="916"/>
      <c r="N3" s="915" t="s">
        <v>37</v>
      </c>
      <c r="O3" s="917"/>
    </row>
    <row r="4" spans="2:15" ht="15.75" customHeight="1">
      <c r="B4" s="907"/>
      <c r="C4" s="908"/>
      <c r="D4" s="912"/>
      <c r="E4" s="912"/>
      <c r="F4" s="912"/>
      <c r="G4" s="912"/>
      <c r="H4" s="912"/>
      <c r="I4" s="912"/>
      <c r="J4" s="912"/>
      <c r="K4" s="912"/>
      <c r="L4" s="918">
        <v>3</v>
      </c>
      <c r="M4" s="919"/>
      <c r="N4" s="920" t="s">
        <v>88</v>
      </c>
      <c r="O4" s="921"/>
    </row>
    <row r="5" spans="2:15" ht="15.75" customHeight="1">
      <c r="B5" s="907"/>
      <c r="C5" s="908"/>
      <c r="D5" s="912"/>
      <c r="E5" s="912"/>
      <c r="F5" s="912"/>
      <c r="G5" s="912"/>
      <c r="H5" s="912"/>
      <c r="I5" s="912"/>
      <c r="J5" s="912"/>
      <c r="K5" s="912"/>
      <c r="L5" s="915" t="s">
        <v>38</v>
      </c>
      <c r="M5" s="922"/>
      <c r="N5" s="922"/>
      <c r="O5" s="923"/>
    </row>
    <row r="6" spans="2:15" ht="15.75" customHeight="1" thickBot="1">
      <c r="B6" s="909"/>
      <c r="C6" s="910"/>
      <c r="D6" s="913"/>
      <c r="E6" s="913"/>
      <c r="F6" s="913"/>
      <c r="G6" s="913"/>
      <c r="H6" s="913"/>
      <c r="I6" s="913"/>
      <c r="J6" s="913"/>
      <c r="K6" s="913"/>
      <c r="L6" s="667" t="s">
        <v>100</v>
      </c>
      <c r="M6" s="924"/>
      <c r="N6" s="924"/>
      <c r="O6" s="668"/>
    </row>
    <row r="8" spans="2:15" ht="22.5" customHeight="1">
      <c r="B8" s="900" t="s">
        <v>40</v>
      </c>
      <c r="C8" s="900"/>
      <c r="D8" s="900"/>
      <c r="E8" s="900"/>
      <c r="F8" s="900"/>
      <c r="G8" s="900"/>
      <c r="H8" s="900"/>
      <c r="I8" s="900"/>
      <c r="J8" s="900"/>
      <c r="K8" s="900"/>
      <c r="L8" s="900"/>
      <c r="M8" s="900"/>
      <c r="N8" s="900"/>
      <c r="O8" s="900"/>
    </row>
    <row r="9" spans="2:15" ht="37.5" customHeight="1">
      <c r="B9" s="891" t="s">
        <v>41</v>
      </c>
      <c r="C9" s="891"/>
      <c r="D9" s="891"/>
      <c r="E9" s="31">
        <v>0</v>
      </c>
      <c r="F9" s="31">
        <v>1</v>
      </c>
      <c r="G9" s="31" t="s">
        <v>89</v>
      </c>
      <c r="H9" s="31" t="s">
        <v>90</v>
      </c>
      <c r="I9" s="31">
        <v>0</v>
      </c>
      <c r="J9" s="31">
        <v>3</v>
      </c>
      <c r="K9" s="901" t="s">
        <v>94</v>
      </c>
      <c r="L9" s="901"/>
      <c r="M9" s="901"/>
      <c r="N9" s="901"/>
      <c r="O9" s="901"/>
    </row>
    <row r="10" spans="2:15" ht="15" customHeight="1">
      <c r="B10" s="891" t="s">
        <v>42</v>
      </c>
      <c r="C10" s="891"/>
      <c r="D10" s="891"/>
      <c r="E10" s="902" t="s">
        <v>43</v>
      </c>
      <c r="F10" s="902"/>
      <c r="G10" s="902"/>
      <c r="H10" s="902"/>
      <c r="I10" s="902"/>
      <c r="J10" s="902"/>
      <c r="K10" s="901"/>
      <c r="L10" s="901"/>
      <c r="M10" s="901"/>
      <c r="N10" s="901"/>
      <c r="O10" s="901"/>
    </row>
    <row r="11" spans="2:15" ht="30" customHeight="1">
      <c r="B11" s="891"/>
      <c r="C11" s="891"/>
      <c r="D11" s="891"/>
      <c r="E11" s="903">
        <v>41617</v>
      </c>
      <c r="F11" s="904"/>
      <c r="G11" s="904"/>
      <c r="H11" s="904"/>
      <c r="I11" s="904"/>
      <c r="J11" s="904"/>
      <c r="K11" s="901"/>
      <c r="L11" s="901"/>
      <c r="M11" s="901"/>
      <c r="N11" s="901"/>
      <c r="O11" s="901"/>
    </row>
    <row r="12" spans="2:15" ht="22.5" customHeight="1">
      <c r="B12" s="890" t="s">
        <v>91</v>
      </c>
      <c r="C12" s="890"/>
      <c r="D12" s="890"/>
      <c r="E12" s="890"/>
      <c r="F12" s="890"/>
      <c r="G12" s="890"/>
      <c r="H12" s="890"/>
      <c r="I12" s="890"/>
      <c r="J12" s="890"/>
      <c r="K12" s="890"/>
      <c r="L12" s="890"/>
      <c r="M12" s="890"/>
      <c r="N12" s="890"/>
      <c r="O12" s="890"/>
    </row>
    <row r="13" spans="2:15" ht="30" customHeight="1">
      <c r="B13" s="32" t="s">
        <v>44</v>
      </c>
      <c r="C13" s="891" t="s">
        <v>45</v>
      </c>
      <c r="D13" s="891"/>
      <c r="E13" s="891"/>
      <c r="F13" s="891"/>
      <c r="G13" s="891"/>
      <c r="H13" s="891"/>
      <c r="I13" s="891"/>
      <c r="J13" s="891"/>
      <c r="K13" s="891"/>
      <c r="L13" s="891"/>
      <c r="M13" s="891"/>
      <c r="N13" s="891"/>
      <c r="O13" s="891"/>
    </row>
    <row r="14" spans="2:15" ht="37.5" customHeight="1">
      <c r="B14" s="51">
        <v>2</v>
      </c>
      <c r="C14" s="892" t="s">
        <v>101</v>
      </c>
      <c r="D14" s="892"/>
      <c r="E14" s="892"/>
      <c r="F14" s="892"/>
      <c r="G14" s="892"/>
      <c r="H14" s="892"/>
      <c r="I14" s="892"/>
      <c r="J14" s="892"/>
      <c r="K14" s="892"/>
      <c r="L14" s="892"/>
      <c r="M14" s="892"/>
      <c r="N14" s="892"/>
      <c r="O14" s="892"/>
    </row>
    <row r="15" spans="2:15" ht="37.5" customHeight="1">
      <c r="B15" s="51">
        <v>3</v>
      </c>
      <c r="C15" s="892" t="s">
        <v>113</v>
      </c>
      <c r="D15" s="892"/>
      <c r="E15" s="892"/>
      <c r="F15" s="892"/>
      <c r="G15" s="892"/>
      <c r="H15" s="892"/>
      <c r="I15" s="892"/>
      <c r="J15" s="892"/>
      <c r="K15" s="892"/>
      <c r="L15" s="892"/>
      <c r="M15" s="892"/>
      <c r="N15" s="892"/>
      <c r="O15" s="892"/>
    </row>
    <row r="16" spans="2:15" ht="22.5" customHeight="1">
      <c r="B16" s="51"/>
      <c r="C16" s="892"/>
      <c r="D16" s="892"/>
      <c r="E16" s="892"/>
      <c r="F16" s="892"/>
      <c r="G16" s="892"/>
      <c r="H16" s="892"/>
      <c r="I16" s="892"/>
      <c r="J16" s="892"/>
      <c r="K16" s="892"/>
      <c r="L16" s="892"/>
      <c r="M16" s="892"/>
      <c r="N16" s="892"/>
      <c r="O16" s="892"/>
    </row>
    <row r="17" spans="2:15" ht="22.5" customHeight="1">
      <c r="B17" s="890" t="s">
        <v>46</v>
      </c>
      <c r="C17" s="890"/>
      <c r="D17" s="890"/>
      <c r="E17" s="890"/>
      <c r="F17" s="890"/>
      <c r="G17" s="890"/>
      <c r="H17" s="890"/>
      <c r="I17" s="890"/>
      <c r="J17" s="890"/>
      <c r="K17" s="890"/>
      <c r="L17" s="890"/>
      <c r="M17" s="890"/>
      <c r="N17" s="890"/>
      <c r="O17" s="890"/>
    </row>
    <row r="18" spans="2:15" ht="15" customHeight="1">
      <c r="B18" s="891" t="s">
        <v>44</v>
      </c>
      <c r="C18" s="893" t="s">
        <v>47</v>
      </c>
      <c r="D18" s="894"/>
      <c r="E18" s="894"/>
      <c r="F18" s="894"/>
      <c r="G18" s="895"/>
      <c r="H18" s="899" t="s">
        <v>48</v>
      </c>
      <c r="I18" s="899"/>
      <c r="J18" s="899"/>
      <c r="K18" s="891" t="s">
        <v>49</v>
      </c>
      <c r="L18" s="891"/>
      <c r="M18" s="893" t="s">
        <v>50</v>
      </c>
      <c r="N18" s="894"/>
      <c r="O18" s="895"/>
    </row>
    <row r="19" spans="2:15" ht="15" customHeight="1">
      <c r="B19" s="891"/>
      <c r="C19" s="896"/>
      <c r="D19" s="897"/>
      <c r="E19" s="897"/>
      <c r="F19" s="897"/>
      <c r="G19" s="898"/>
      <c r="H19" s="32" t="s">
        <v>51</v>
      </c>
      <c r="I19" s="32" t="s">
        <v>52</v>
      </c>
      <c r="J19" s="32" t="s">
        <v>53</v>
      </c>
      <c r="K19" s="891"/>
      <c r="L19" s="891"/>
      <c r="M19" s="896"/>
      <c r="N19" s="897"/>
      <c r="O19" s="898"/>
    </row>
    <row r="20" spans="2:15" ht="37.5" customHeight="1">
      <c r="B20" s="51">
        <v>2</v>
      </c>
      <c r="C20" s="879" t="s">
        <v>97</v>
      </c>
      <c r="D20" s="880"/>
      <c r="E20" s="880"/>
      <c r="F20" s="880"/>
      <c r="G20" s="881"/>
      <c r="H20" s="53" t="s">
        <v>96</v>
      </c>
      <c r="I20" s="51">
        <v>12</v>
      </c>
      <c r="J20" s="51">
        <v>2016</v>
      </c>
      <c r="K20" s="886">
        <v>1</v>
      </c>
      <c r="L20" s="886"/>
      <c r="M20" s="887" t="s">
        <v>98</v>
      </c>
      <c r="N20" s="888"/>
      <c r="O20" s="889"/>
    </row>
    <row r="21" spans="2:15" ht="37.5" customHeight="1">
      <c r="B21" s="54">
        <v>3</v>
      </c>
      <c r="C21" s="872" t="s">
        <v>104</v>
      </c>
      <c r="D21" s="873"/>
      <c r="E21" s="873"/>
      <c r="F21" s="873"/>
      <c r="G21" s="874"/>
      <c r="H21" s="55" t="s">
        <v>105</v>
      </c>
      <c r="I21" s="55" t="s">
        <v>106</v>
      </c>
      <c r="J21" s="54">
        <v>2017</v>
      </c>
      <c r="K21" s="875">
        <v>1</v>
      </c>
      <c r="L21" s="875"/>
      <c r="M21" s="876" t="s">
        <v>98</v>
      </c>
      <c r="N21" s="877"/>
      <c r="O21" s="878"/>
    </row>
    <row r="22" spans="2:15" ht="22.5" customHeight="1">
      <c r="B22" s="52"/>
      <c r="C22" s="879"/>
      <c r="D22" s="880"/>
      <c r="E22" s="880"/>
      <c r="F22" s="880"/>
      <c r="G22" s="881"/>
      <c r="H22" s="52"/>
      <c r="I22" s="52"/>
      <c r="J22" s="52"/>
      <c r="K22" s="882"/>
      <c r="L22" s="882"/>
      <c r="M22" s="883"/>
      <c r="N22" s="884"/>
      <c r="O22" s="885"/>
    </row>
    <row r="23" spans="2:15" ht="7.5" customHeight="1" thickBot="1"/>
    <row r="24" spans="2:15" ht="22.5" customHeight="1">
      <c r="B24" s="865" t="s">
        <v>54</v>
      </c>
      <c r="C24" s="866"/>
      <c r="D24" s="866"/>
      <c r="E24" s="866" t="s">
        <v>55</v>
      </c>
      <c r="F24" s="866"/>
      <c r="G24" s="866"/>
      <c r="H24" s="866"/>
      <c r="I24" s="866"/>
      <c r="J24" s="866"/>
      <c r="K24" s="866" t="s">
        <v>56</v>
      </c>
      <c r="L24" s="866"/>
      <c r="M24" s="866"/>
      <c r="N24" s="866"/>
      <c r="O24" s="867"/>
    </row>
    <row r="25" spans="2:15" ht="60" customHeight="1" thickBot="1">
      <c r="B25" s="868" t="s">
        <v>99</v>
      </c>
      <c r="C25" s="869"/>
      <c r="D25" s="869"/>
      <c r="E25" s="869" t="s">
        <v>92</v>
      </c>
      <c r="F25" s="869"/>
      <c r="G25" s="869"/>
      <c r="H25" s="869"/>
      <c r="I25" s="869"/>
      <c r="J25" s="869"/>
      <c r="K25" s="869" t="s">
        <v>93</v>
      </c>
      <c r="L25" s="870"/>
      <c r="M25" s="870"/>
      <c r="N25" s="870"/>
      <c r="O25" s="871"/>
    </row>
  </sheetData>
  <sheetProtection algorithmName="SHA-512" hashValue="XE18bFgg1iXIoCt1C4cmz5A1fZmQyHlmHUlCY67C+JNmT4DKergRP7egBwvIt0EibLG+w+OF2aOYj/b/8bEWOQ==" saltValue="KOVlK4YULK2pcHRj5yJOxw=="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Listas</vt:lpstr>
      <vt:lpstr>Rango en indicadores</vt:lpstr>
      <vt:lpstr>Cont. Procesos a Política SGC</vt:lpstr>
      <vt:lpstr>Resúmen Desempeño de Procesos</vt:lpstr>
      <vt:lpstr>Informe Cons. Desempeño - Sgto.</vt:lpstr>
      <vt:lpstr>01 Direcc Estratégico POA 2020 </vt:lpstr>
      <vt:lpstr>02 G. Conoc Innovación POA 2020</vt:lpstr>
      <vt:lpstr>03 Direccionamient TIC POA 2020</vt:lpstr>
      <vt:lpstr>04 Comunicación Estrat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2020-10-22T22:49:28Z</dcterms:modified>
</cp:coreProperties>
</file>