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0.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1.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2.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3.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14.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omments1.xml" ContentType="application/vnd.openxmlformats-officedocument.spreadsheetml.comments+xml"/>
  <Override PartName="/xl/drawings/drawing15.xml" ContentType="application/vnd.openxmlformats-officedocument.drawing+xml"/>
  <Override PartName="/xl/comments2.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24226"/>
  <mc:AlternateContent xmlns:mc="http://schemas.openxmlformats.org/markup-compatibility/2006">
    <mc:Choice Requires="x15">
      <x15ac:absPath xmlns:x15ac="http://schemas.microsoft.com/office/spreadsheetml/2010/11/ac" url="C:\0-Mayis\POA\POA2022\Seg_Trim_1_2022\"/>
    </mc:Choice>
  </mc:AlternateContent>
  <xr:revisionPtr revIDLastSave="0" documentId="13_ncr:1_{A09071BF-137A-4E29-BEE1-F75775B01C3A}" xr6:coauthVersionLast="47" xr6:coauthVersionMax="47" xr10:uidLastSave="{00000000-0000-0000-0000-000000000000}"/>
  <workbookProtection workbookAlgorithmName="SHA-512" workbookHashValue="nvjOgUl22PVtTKv1gnDQe/ANKJihdhbh2dkD8zTBBUGkQCmjq7tfEdKzP/Amovtk/8auwkFnKp7kI1dRKS0ClA==" workbookSaltValue="nt2YR4eu32fxHm90xAb7hA==" workbookSpinCount="100000" lockStructure="1"/>
  <bookViews>
    <workbookView xWindow="-108" yWindow="-108" windowWidth="23256" windowHeight="12576" tabRatio="599" firstSheet="16" activeTab="17" xr2:uid="{00000000-000D-0000-FFFF-FFFF00000000}"/>
  </bookViews>
  <sheets>
    <sheet name="01-PL-09 POA 2021 (Pág 1 de 2)" sheetId="49" state="hidden" r:id="rId1"/>
    <sheet name="01-PL-09 POA 2021 (Pág 2 de 2)" sheetId="57" state="hidden" r:id="rId2"/>
    <sheet name="Listas1" sheetId="61" state="hidden" r:id="rId3"/>
    <sheet name="4-Grado Cum Objetivos Est &amp; Cal" sheetId="70" state="hidden" r:id="rId4"/>
    <sheet name="3-Grado Cump Metas Estratégicas" sheetId="67" state="hidden" r:id="rId5"/>
    <sheet name="2- Resumen Ejec PEI 2021" sheetId="69" state="hidden" r:id="rId6"/>
    <sheet name="1-Infor Det Sgto PEI 2021-2024 " sheetId="64" state="hidden" r:id="rId7"/>
    <sheet name="Matriz PEI 2021-2024" sheetId="66" state="hidden" r:id="rId8"/>
    <sheet name="INSTRUCCIONES DILG (Pág 2 de 2)" sheetId="71" state="hidden" r:id="rId9"/>
    <sheet name="4.Segto Medición POA 2022 T4" sheetId="63" state="hidden" r:id="rId10"/>
    <sheet name="3.Resum Desemp Procesos POA T4 " sheetId="74" state="hidden" r:id="rId11"/>
    <sheet name="4.Segto Medición POA 2022 T3" sheetId="77" state="hidden" r:id="rId12"/>
    <sheet name="4.Segto Medición POA 2022 T2" sheetId="76" state="hidden" r:id="rId13"/>
    <sheet name="3.Resum Desemp Procesos POA T2" sheetId="72" state="hidden" r:id="rId14"/>
    <sheet name="3.Resum Desemp Procesos POA T3" sheetId="73" state="hidden" r:id="rId15"/>
    <sheet name="4.Segto Medición POA 2022 T1" sheetId="75" r:id="rId16"/>
    <sheet name="3.Resum Desemp Procesos POA T1" sheetId="62" r:id="rId17"/>
    <sheet name="2.Infor Detallado Desempeño POA" sheetId="60" r:id="rId18"/>
    <sheet name="1.Informe Seguimiento POA 2022" sheetId="58" r:id="rId19"/>
    <sheet name="LISTAS" sheetId="40" state="hidden" r:id="rId20"/>
    <sheet name="Rango indicadores" sheetId="59" state="hidden" r:id="rId21"/>
    <sheet name="01-FR-03 POA INSTITUCIONAL" sheetId="38" r:id="rId22"/>
    <sheet name="01-DIRECCIONAMIENTO ESTRATÉGICO" sheetId="37" r:id="rId23"/>
    <sheet name="02-G. CONOCIMIENTO INNOVACIÓN" sheetId="45" r:id="rId24"/>
    <sheet name="03-DIRECCIONAMIENTO TIC" sheetId="44" r:id="rId25"/>
    <sheet name="04-COMUNICACIÓN ESTRATÉGICA" sheetId="56" r:id="rId26"/>
    <sheet name="05-POA PROM DEFENSA DERECHOS" sheetId="41" r:id="rId27"/>
    <sheet name="06-PREV CTRL FUN PÚBLICA" sheetId="42" r:id="rId28"/>
    <sheet name="07-POTESTAD DISCIPLINARIA" sheetId="43" r:id="rId29"/>
    <sheet name="08-G. DEL TALENTO HUMANO" sheetId="47" r:id="rId30"/>
    <sheet name="09-G.  ADMINISTRATIVA" sheetId="48" r:id="rId31"/>
    <sheet name="10-GESTIÓN FINANCIERA" sheetId="51" r:id="rId32"/>
    <sheet name="11-GESTIÓN CONTRACTUAL" sheetId="50" r:id="rId33"/>
    <sheet name="12-GESTIÓN DOCUMENTAL" sheetId="52" r:id="rId34"/>
    <sheet name="13-GESTIÓN JURÍDICA" sheetId="53" r:id="rId35"/>
    <sheet name="14-SERVICIO AL USUARIO" sheetId="46" r:id="rId36"/>
    <sheet name="15-CTRL DISCIPLINARIO INTERNO" sheetId="54" r:id="rId37"/>
    <sheet name="16-EVALUACIÓN Y SEGUIMIENTO" sheetId="55" r:id="rId38"/>
    <sheet name="Instrucciones Dil (Pág 3 de 3)" sheetId="39" r:id="rId39"/>
  </sheets>
  <externalReferences>
    <externalReference r:id="rId40"/>
    <externalReference r:id="rId41"/>
    <externalReference r:id="rId42"/>
    <externalReference r:id="rId43"/>
    <externalReference r:id="rId44"/>
    <externalReference r:id="rId45"/>
    <externalReference r:id="rId46"/>
  </externalReferences>
  <definedNames>
    <definedName name="_xlnm.Print_Area" localSheetId="0">'01-PL-09 POA 2021 (Pág 1 de 2)'!$A$1:$F$29</definedName>
    <definedName name="_xlnm.Print_Area" localSheetId="26">'05-POA PROM DEFENSA DERECHOS'!$A$1:$BH$47</definedName>
    <definedName name="MATAS1">[1]Hoja1!$B$3:$B$16</definedName>
    <definedName name="METAS">[2]Hoja1!$B$3:$B$16</definedName>
    <definedName name="OBJE">#REF!</definedName>
    <definedName name="OBJETIVO">[2]Hoja1!$A$3:$A$8</definedName>
    <definedName name="Objetivo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154" i="60" l="1"/>
  <c r="M155" i="60"/>
  <c r="M156" i="60"/>
  <c r="M157" i="60"/>
  <c r="M153" i="60"/>
  <c r="V19" i="50"/>
  <c r="M138" i="60"/>
  <c r="M137" i="60"/>
  <c r="M136" i="60"/>
  <c r="M144" i="60"/>
  <c r="M146" i="60"/>
  <c r="M147" i="60"/>
  <c r="M145" i="60"/>
  <c r="AY129" i="60"/>
  <c r="AY128" i="60"/>
  <c r="AY127" i="60"/>
  <c r="E121" i="60"/>
  <c r="M121" i="60" s="1"/>
  <c r="E120" i="60"/>
  <c r="M120" i="60" s="1"/>
  <c r="AY114" i="60"/>
  <c r="AY113" i="60"/>
  <c r="AY112" i="60"/>
  <c r="AY111" i="60"/>
  <c r="AY110" i="60"/>
  <c r="AY109" i="60"/>
  <c r="AY108" i="60"/>
  <c r="AY107" i="60"/>
  <c r="M109" i="60"/>
  <c r="M108" i="60"/>
  <c r="M107" i="60"/>
  <c r="AY101" i="60"/>
  <c r="AY100" i="60"/>
  <c r="AY99" i="60"/>
  <c r="AY98" i="60"/>
  <c r="AY97" i="60"/>
  <c r="AY96" i="60"/>
  <c r="AY95" i="60"/>
  <c r="AY94" i="60"/>
  <c r="M97" i="60"/>
  <c r="M95" i="60"/>
  <c r="AY88" i="60" l="1"/>
  <c r="AY87" i="60"/>
  <c r="AY86" i="60"/>
  <c r="AY85" i="60"/>
  <c r="AY84" i="60"/>
  <c r="AY83" i="60"/>
  <c r="AY82" i="60"/>
  <c r="M63" i="60"/>
  <c r="AY58" i="60"/>
  <c r="AY59" i="60"/>
  <c r="AY60" i="60"/>
  <c r="AY61" i="60"/>
  <c r="AY62" i="60"/>
  <c r="AY63" i="60"/>
  <c r="AY64" i="60"/>
  <c r="AY65" i="60"/>
  <c r="AY66" i="60"/>
  <c r="AY67" i="60"/>
  <c r="AY68" i="60"/>
  <c r="AY69" i="60"/>
  <c r="AY70" i="60"/>
  <c r="AY71" i="60"/>
  <c r="AY72" i="60"/>
  <c r="AY73" i="60"/>
  <c r="AY74" i="60"/>
  <c r="AY75" i="60"/>
  <c r="AY76" i="60"/>
  <c r="AY57" i="60"/>
  <c r="X59" i="58"/>
  <c r="Y59" i="58" s="1"/>
  <c r="M49" i="60"/>
  <c r="M43" i="60"/>
  <c r="M42" i="60"/>
  <c r="Y43" i="58"/>
  <c r="Y41" i="58"/>
  <c r="Y19" i="58"/>
  <c r="Y94" i="58"/>
  <c r="Y93" i="58"/>
  <c r="Y86" i="58"/>
  <c r="Y85" i="58"/>
  <c r="Y84" i="58"/>
  <c r="Y83" i="58"/>
  <c r="Y82" i="58"/>
  <c r="Y81" i="58"/>
  <c r="Y80" i="58"/>
  <c r="Y79" i="58"/>
  <c r="Y76" i="58"/>
  <c r="Y75" i="58"/>
  <c r="Y70" i="58"/>
  <c r="Y69" i="58"/>
  <c r="Y65" i="58"/>
  <c r="Y64" i="58"/>
  <c r="Y63" i="58"/>
  <c r="Y62" i="58"/>
  <c r="Y61" i="58"/>
  <c r="Y48" i="58"/>
  <c r="Y49" i="58"/>
  <c r="Y50" i="58"/>
  <c r="F39" i="63" l="1"/>
  <c r="AL57" i="60"/>
  <c r="G24" i="77"/>
  <c r="F24" i="77"/>
  <c r="E24" i="77"/>
  <c r="D24" i="77"/>
  <c r="G23" i="77"/>
  <c r="F23" i="77"/>
  <c r="E23" i="77"/>
  <c r="D23" i="77"/>
  <c r="G22" i="77"/>
  <c r="F22" i="77"/>
  <c r="E22" i="77"/>
  <c r="D22" i="77"/>
  <c r="G21" i="77"/>
  <c r="F21" i="77"/>
  <c r="E21" i="77"/>
  <c r="D21" i="77"/>
  <c r="G20" i="77"/>
  <c r="F20" i="77"/>
  <c r="E20" i="77"/>
  <c r="D20" i="77"/>
  <c r="G19" i="77"/>
  <c r="F19" i="77"/>
  <c r="E19" i="77"/>
  <c r="D19" i="77"/>
  <c r="G18" i="77"/>
  <c r="F18" i="77"/>
  <c r="E18" i="77"/>
  <c r="D18" i="77"/>
  <c r="G17" i="77"/>
  <c r="F17" i="77"/>
  <c r="E17" i="77"/>
  <c r="D17" i="77"/>
  <c r="H17" i="77" s="1"/>
  <c r="I17" i="77" s="1"/>
  <c r="G16" i="77"/>
  <c r="F16" i="77"/>
  <c r="E16" i="77"/>
  <c r="D16" i="77"/>
  <c r="G15" i="77"/>
  <c r="F15" i="77"/>
  <c r="F25" i="77" s="1"/>
  <c r="E29" i="77" s="1"/>
  <c r="E15" i="77"/>
  <c r="D15" i="77"/>
  <c r="D25" i="77" s="1"/>
  <c r="H15" i="77"/>
  <c r="G14" i="77"/>
  <c r="F14" i="77"/>
  <c r="E14" i="77"/>
  <c r="D14" i="77"/>
  <c r="H14" i="77" s="1"/>
  <c r="I14" i="77" s="1"/>
  <c r="G13" i="77"/>
  <c r="F13" i="77"/>
  <c r="E13" i="77"/>
  <c r="D13" i="77"/>
  <c r="G12" i="77"/>
  <c r="F12" i="77"/>
  <c r="E12" i="77"/>
  <c r="D12" i="77"/>
  <c r="G11" i="77"/>
  <c r="F11" i="77"/>
  <c r="E11" i="77"/>
  <c r="D11" i="77"/>
  <c r="G10" i="77"/>
  <c r="F10" i="77"/>
  <c r="E10" i="77"/>
  <c r="D10" i="77"/>
  <c r="G9" i="77"/>
  <c r="F9" i="77"/>
  <c r="E9" i="77"/>
  <c r="D9" i="77"/>
  <c r="G53" i="77"/>
  <c r="F53" i="77"/>
  <c r="E53" i="77"/>
  <c r="D53" i="77"/>
  <c r="H53" i="77" s="1"/>
  <c r="G52" i="77"/>
  <c r="F52" i="77"/>
  <c r="E52" i="77"/>
  <c r="D52" i="77"/>
  <c r="H52" i="77" s="1"/>
  <c r="G51" i="77"/>
  <c r="F51" i="77"/>
  <c r="E51" i="77"/>
  <c r="D51" i="77"/>
  <c r="G50" i="77"/>
  <c r="F50" i="77"/>
  <c r="E50" i="77"/>
  <c r="D50" i="77"/>
  <c r="H50" i="77" s="1"/>
  <c r="G48" i="77"/>
  <c r="F48" i="77"/>
  <c r="E48" i="77"/>
  <c r="D48" i="77"/>
  <c r="H48" i="77" s="1"/>
  <c r="I48" i="77" s="1"/>
  <c r="G47" i="77"/>
  <c r="F47" i="77"/>
  <c r="E47" i="77"/>
  <c r="D47" i="77"/>
  <c r="H47" i="77" s="1"/>
  <c r="G46" i="77"/>
  <c r="F46" i="77"/>
  <c r="E46" i="77"/>
  <c r="D46" i="77"/>
  <c r="H46" i="77" s="1"/>
  <c r="G45" i="77"/>
  <c r="F45" i="77"/>
  <c r="E45" i="77"/>
  <c r="D45" i="77"/>
  <c r="G44" i="77"/>
  <c r="F44" i="77"/>
  <c r="E44" i="77"/>
  <c r="D44" i="77"/>
  <c r="H44" i="77" s="1"/>
  <c r="G43" i="77"/>
  <c r="F43" i="77"/>
  <c r="E43" i="77"/>
  <c r="D43" i="77"/>
  <c r="H43" i="77" s="1"/>
  <c r="G42" i="77"/>
  <c r="F42" i="77"/>
  <c r="E42" i="77"/>
  <c r="D42" i="77"/>
  <c r="H42" i="77" s="1"/>
  <c r="G41" i="77"/>
  <c r="F41" i="77"/>
  <c r="E41" i="77"/>
  <c r="D41" i="77"/>
  <c r="G40" i="77"/>
  <c r="F40" i="77"/>
  <c r="E40" i="77"/>
  <c r="D40" i="77"/>
  <c r="H40" i="77" s="1"/>
  <c r="I40" i="77" s="1"/>
  <c r="G39" i="77"/>
  <c r="F39" i="77"/>
  <c r="E39" i="77"/>
  <c r="D39" i="77"/>
  <c r="G38" i="77"/>
  <c r="F38" i="77"/>
  <c r="E38" i="77"/>
  <c r="D38" i="77"/>
  <c r="C37" i="62"/>
  <c r="C5" i="77"/>
  <c r="E36" i="77" s="1"/>
  <c r="C37" i="73"/>
  <c r="F79" i="77"/>
  <c r="E79" i="77"/>
  <c r="D79" i="77"/>
  <c r="C79" i="77"/>
  <c r="C53" i="77" s="1"/>
  <c r="F78" i="77"/>
  <c r="E78" i="77"/>
  <c r="D78" i="77"/>
  <c r="C78" i="77"/>
  <c r="F77" i="77"/>
  <c r="E77" i="77"/>
  <c r="D77" i="77"/>
  <c r="C77" i="77"/>
  <c r="C51" i="77" s="1"/>
  <c r="F76" i="77"/>
  <c r="E76" i="77"/>
  <c r="D76" i="77"/>
  <c r="C76" i="77"/>
  <c r="F75" i="77"/>
  <c r="E75" i="77"/>
  <c r="D75" i="77"/>
  <c r="C75" i="77"/>
  <c r="C49" i="77" s="1"/>
  <c r="F74" i="77"/>
  <c r="E74" i="77"/>
  <c r="D74" i="77"/>
  <c r="C74" i="77"/>
  <c r="F73" i="77"/>
  <c r="E73" i="77"/>
  <c r="D73" i="77"/>
  <c r="C73" i="77"/>
  <c r="C47" i="77" s="1"/>
  <c r="F72" i="77"/>
  <c r="E72" i="77"/>
  <c r="D72" i="77"/>
  <c r="C72" i="77"/>
  <c r="F71" i="77"/>
  <c r="E71" i="77"/>
  <c r="D71" i="77"/>
  <c r="C71" i="77"/>
  <c r="C45" i="77" s="1"/>
  <c r="F70" i="77"/>
  <c r="E70" i="77"/>
  <c r="D70" i="77"/>
  <c r="C70" i="77"/>
  <c r="F69" i="77"/>
  <c r="E69" i="77"/>
  <c r="D69" i="77"/>
  <c r="C69" i="77"/>
  <c r="C43" i="77" s="1"/>
  <c r="F68" i="77"/>
  <c r="E68" i="77"/>
  <c r="D68" i="77"/>
  <c r="C68" i="77"/>
  <c r="F67" i="77"/>
  <c r="E67" i="77"/>
  <c r="D67" i="77"/>
  <c r="C67" i="77"/>
  <c r="C41" i="77" s="1"/>
  <c r="F66" i="77"/>
  <c r="E66" i="77"/>
  <c r="D66" i="77"/>
  <c r="C66" i="77"/>
  <c r="F65" i="77"/>
  <c r="E65" i="77"/>
  <c r="D65" i="77"/>
  <c r="C65" i="77"/>
  <c r="C39" i="77" s="1"/>
  <c r="F64" i="77"/>
  <c r="F80" i="77" s="1"/>
  <c r="E64" i="77"/>
  <c r="E80" i="77" s="1"/>
  <c r="D64" i="77"/>
  <c r="D80" i="77" s="1"/>
  <c r="C64" i="77"/>
  <c r="C80" i="77" s="1"/>
  <c r="D59" i="77"/>
  <c r="D58" i="77"/>
  <c r="D57" i="77"/>
  <c r="D56" i="77"/>
  <c r="C52" i="77"/>
  <c r="H51" i="77"/>
  <c r="C50" i="77"/>
  <c r="C48" i="77"/>
  <c r="C46" i="77"/>
  <c r="H45" i="77"/>
  <c r="C44" i="77"/>
  <c r="C42" i="77"/>
  <c r="H41" i="77"/>
  <c r="C40" i="77"/>
  <c r="H39" i="77"/>
  <c r="C38" i="77"/>
  <c r="D34" i="77"/>
  <c r="D30" i="77"/>
  <c r="D29" i="77"/>
  <c r="D28" i="77"/>
  <c r="D27" i="77"/>
  <c r="H24" i="77"/>
  <c r="C24" i="77"/>
  <c r="I24" i="77" s="1"/>
  <c r="H23" i="77"/>
  <c r="C23" i="77"/>
  <c r="H22" i="77"/>
  <c r="I22" i="77" s="1"/>
  <c r="C22" i="77"/>
  <c r="H21" i="77"/>
  <c r="C21" i="77"/>
  <c r="I21" i="77" s="1"/>
  <c r="H20" i="77"/>
  <c r="C20" i="77"/>
  <c r="I20" i="77" s="1"/>
  <c r="H19" i="77"/>
  <c r="I19" i="77" s="1"/>
  <c r="C19" i="77"/>
  <c r="H18" i="77"/>
  <c r="I18" i="77" s="1"/>
  <c r="C18" i="77"/>
  <c r="C17" i="77"/>
  <c r="H16" i="77"/>
  <c r="C16" i="77"/>
  <c r="I16" i="77" s="1"/>
  <c r="C15" i="77"/>
  <c r="C14" i="77"/>
  <c r="H13" i="77"/>
  <c r="C13" i="77"/>
  <c r="H12" i="77"/>
  <c r="C12" i="77"/>
  <c r="C11" i="77"/>
  <c r="H10" i="77"/>
  <c r="I10" i="77" s="1"/>
  <c r="C10" i="77"/>
  <c r="E25" i="77"/>
  <c r="E28" i="77" s="1"/>
  <c r="C9" i="77"/>
  <c r="C25" i="77" s="1"/>
  <c r="B5" i="77"/>
  <c r="C3" i="77"/>
  <c r="G53" i="76"/>
  <c r="F53" i="76"/>
  <c r="E53" i="76"/>
  <c r="D53" i="76"/>
  <c r="G52" i="76"/>
  <c r="F52" i="76"/>
  <c r="H52" i="76" s="1"/>
  <c r="E52" i="76"/>
  <c r="D52" i="76"/>
  <c r="G51" i="76"/>
  <c r="F51" i="76"/>
  <c r="E51" i="76"/>
  <c r="D51" i="76"/>
  <c r="G50" i="76"/>
  <c r="F50" i="76"/>
  <c r="E50" i="76"/>
  <c r="D50" i="76"/>
  <c r="G48" i="76"/>
  <c r="F48" i="76"/>
  <c r="E48" i="76"/>
  <c r="D48" i="76"/>
  <c r="G47" i="76"/>
  <c r="F47" i="76"/>
  <c r="E47" i="76"/>
  <c r="D47" i="76"/>
  <c r="G46" i="76"/>
  <c r="F46" i="76"/>
  <c r="E46" i="76"/>
  <c r="D46" i="76"/>
  <c r="G45" i="76"/>
  <c r="F45" i="76"/>
  <c r="E45" i="76"/>
  <c r="D45" i="76"/>
  <c r="G44" i="76"/>
  <c r="F44" i="76"/>
  <c r="E44" i="76"/>
  <c r="D44" i="76"/>
  <c r="G43" i="76"/>
  <c r="F43" i="76"/>
  <c r="E43" i="76"/>
  <c r="D43" i="76"/>
  <c r="G42" i="76"/>
  <c r="F42" i="76"/>
  <c r="E42" i="76"/>
  <c r="D42" i="76"/>
  <c r="G41" i="76"/>
  <c r="F41" i="76"/>
  <c r="E41" i="76"/>
  <c r="D41" i="76"/>
  <c r="H41" i="76" s="1"/>
  <c r="G40" i="76"/>
  <c r="F40" i="76"/>
  <c r="E40" i="76"/>
  <c r="D40" i="76"/>
  <c r="G39" i="76"/>
  <c r="F39" i="76"/>
  <c r="E39" i="76"/>
  <c r="H39" i="76" s="1"/>
  <c r="D39" i="76"/>
  <c r="G38" i="76"/>
  <c r="F38" i="76"/>
  <c r="E38" i="76"/>
  <c r="D38" i="76"/>
  <c r="H38" i="76"/>
  <c r="I38" i="76" s="1"/>
  <c r="G24" i="76"/>
  <c r="F24" i="76"/>
  <c r="E24" i="76"/>
  <c r="D24" i="76"/>
  <c r="G23" i="76"/>
  <c r="F23" i="76"/>
  <c r="E23" i="76"/>
  <c r="D23" i="76"/>
  <c r="G22" i="76"/>
  <c r="F22" i="76"/>
  <c r="E22" i="76"/>
  <c r="D22" i="76"/>
  <c r="H22" i="76" s="1"/>
  <c r="I22" i="76" s="1"/>
  <c r="G21" i="76"/>
  <c r="F21" i="76"/>
  <c r="E21" i="76"/>
  <c r="H21" i="76" s="1"/>
  <c r="I21" i="76" s="1"/>
  <c r="D21" i="76"/>
  <c r="G20" i="76"/>
  <c r="F20" i="76"/>
  <c r="E20" i="76"/>
  <c r="D20" i="76"/>
  <c r="G19" i="76"/>
  <c r="F19" i="76"/>
  <c r="E19" i="76"/>
  <c r="D19" i="76"/>
  <c r="G18" i="76"/>
  <c r="F18" i="76"/>
  <c r="E18" i="76"/>
  <c r="D18" i="76"/>
  <c r="H18" i="76" s="1"/>
  <c r="G17" i="76"/>
  <c r="F17" i="76"/>
  <c r="E17" i="76"/>
  <c r="H17" i="76" s="1"/>
  <c r="D17" i="76"/>
  <c r="G16" i="76"/>
  <c r="F16" i="76"/>
  <c r="E16" i="76"/>
  <c r="D16" i="76"/>
  <c r="G15" i="76"/>
  <c r="F15" i="76"/>
  <c r="E15" i="76"/>
  <c r="H15" i="76" s="1"/>
  <c r="I15" i="76" s="1"/>
  <c r="D15" i="76"/>
  <c r="G14" i="76"/>
  <c r="F14" i="76"/>
  <c r="E14" i="76"/>
  <c r="D14" i="76"/>
  <c r="H14" i="76" s="1"/>
  <c r="I14" i="76" s="1"/>
  <c r="G13" i="76"/>
  <c r="F13" i="76"/>
  <c r="E13" i="76"/>
  <c r="H13" i="76" s="1"/>
  <c r="D13" i="76"/>
  <c r="G12" i="76"/>
  <c r="F12" i="76"/>
  <c r="E12" i="76"/>
  <c r="D12" i="76"/>
  <c r="G11" i="76"/>
  <c r="F11" i="76"/>
  <c r="E11" i="76"/>
  <c r="H11" i="76" s="1"/>
  <c r="D11" i="76"/>
  <c r="G10" i="76"/>
  <c r="F10" i="76"/>
  <c r="E10" i="76"/>
  <c r="D10" i="76"/>
  <c r="H10" i="76" s="1"/>
  <c r="G9" i="76"/>
  <c r="G25" i="76" s="1"/>
  <c r="E30" i="76" s="1"/>
  <c r="F9" i="76"/>
  <c r="F25" i="76" s="1"/>
  <c r="E29" i="76" s="1"/>
  <c r="E9" i="76"/>
  <c r="E25" i="76" s="1"/>
  <c r="E28" i="76" s="1"/>
  <c r="D9" i="76"/>
  <c r="C5" i="76"/>
  <c r="F79" i="76"/>
  <c r="E79" i="76"/>
  <c r="D79" i="76"/>
  <c r="C79" i="76"/>
  <c r="C53" i="76" s="1"/>
  <c r="F78" i="76"/>
  <c r="E78" i="76"/>
  <c r="D78" i="76"/>
  <c r="C78" i="76"/>
  <c r="C52" i="76" s="1"/>
  <c r="F77" i="76"/>
  <c r="E77" i="76"/>
  <c r="D77" i="76"/>
  <c r="C77" i="76"/>
  <c r="C51" i="76" s="1"/>
  <c r="F76" i="76"/>
  <c r="E76" i="76"/>
  <c r="D76" i="76"/>
  <c r="C76" i="76"/>
  <c r="C50" i="76" s="1"/>
  <c r="F75" i="76"/>
  <c r="E75" i="76"/>
  <c r="D75" i="76"/>
  <c r="C75" i="76"/>
  <c r="F74" i="76"/>
  <c r="E74" i="76"/>
  <c r="D74" i="76"/>
  <c r="C74" i="76"/>
  <c r="F73" i="76"/>
  <c r="E73" i="76"/>
  <c r="D73" i="76"/>
  <c r="C73" i="76"/>
  <c r="F72" i="76"/>
  <c r="E72" i="76"/>
  <c r="D72" i="76"/>
  <c r="C72" i="76"/>
  <c r="F71" i="76"/>
  <c r="E71" i="76"/>
  <c r="D71" i="76"/>
  <c r="C71" i="76"/>
  <c r="F70" i="76"/>
  <c r="E70" i="76"/>
  <c r="D70" i="76"/>
  <c r="C70" i="76"/>
  <c r="C44" i="76" s="1"/>
  <c r="F69" i="76"/>
  <c r="E69" i="76"/>
  <c r="D69" i="76"/>
  <c r="C69" i="76"/>
  <c r="F68" i="76"/>
  <c r="E68" i="76"/>
  <c r="D68" i="76"/>
  <c r="C68" i="76"/>
  <c r="F67" i="76"/>
  <c r="E67" i="76"/>
  <c r="D67" i="76"/>
  <c r="C67" i="76"/>
  <c r="F66" i="76"/>
  <c r="E66" i="76"/>
  <c r="D66" i="76"/>
  <c r="C66" i="76"/>
  <c r="F65" i="76"/>
  <c r="E65" i="76"/>
  <c r="D65" i="76"/>
  <c r="C65" i="76"/>
  <c r="F64" i="76"/>
  <c r="F80" i="76" s="1"/>
  <c r="E64" i="76"/>
  <c r="E80" i="76" s="1"/>
  <c r="D64" i="76"/>
  <c r="D80" i="76" s="1"/>
  <c r="C64" i="76"/>
  <c r="C80" i="76" s="1"/>
  <c r="D59" i="76"/>
  <c r="D58" i="76"/>
  <c r="D57" i="76"/>
  <c r="D56" i="76"/>
  <c r="H53" i="76"/>
  <c r="H51" i="76"/>
  <c r="H50" i="76"/>
  <c r="C49" i="76"/>
  <c r="H48" i="76"/>
  <c r="C48" i="76"/>
  <c r="H47" i="76"/>
  <c r="C47" i="76"/>
  <c r="H46" i="76"/>
  <c r="I46" i="76" s="1"/>
  <c r="C46" i="76"/>
  <c r="H45" i="76"/>
  <c r="I45" i="76" s="1"/>
  <c r="C45" i="76"/>
  <c r="H44" i="76"/>
  <c r="H43" i="76"/>
  <c r="C43" i="76"/>
  <c r="H42" i="76"/>
  <c r="C42" i="76"/>
  <c r="C41" i="76"/>
  <c r="C40" i="76"/>
  <c r="C39" i="76"/>
  <c r="C38" i="76"/>
  <c r="D34" i="76"/>
  <c r="D30" i="76"/>
  <c r="D29" i="76"/>
  <c r="D28" i="76"/>
  <c r="D27" i="76"/>
  <c r="H24" i="76"/>
  <c r="I24" i="76" s="1"/>
  <c r="C24" i="76"/>
  <c r="H23" i="76"/>
  <c r="I23" i="76" s="1"/>
  <c r="C23" i="76"/>
  <c r="C22" i="76"/>
  <c r="C21" i="76"/>
  <c r="H20" i="76"/>
  <c r="C20" i="76"/>
  <c r="H19" i="76"/>
  <c r="C19" i="76"/>
  <c r="C18" i="76"/>
  <c r="C17" i="76"/>
  <c r="H16" i="76"/>
  <c r="I16" i="76" s="1"/>
  <c r="C16" i="76"/>
  <c r="C15" i="76"/>
  <c r="C14" i="76"/>
  <c r="C13" i="76"/>
  <c r="H12" i="76"/>
  <c r="C12" i="76"/>
  <c r="C11" i="76"/>
  <c r="C10" i="76"/>
  <c r="D25" i="76"/>
  <c r="C9" i="76"/>
  <c r="C25" i="76" s="1"/>
  <c r="E36" i="76"/>
  <c r="B5" i="76"/>
  <c r="C3" i="76"/>
  <c r="G53" i="75"/>
  <c r="H53" i="75" s="1"/>
  <c r="G52" i="75"/>
  <c r="G51" i="75"/>
  <c r="H51" i="75" s="1"/>
  <c r="G50" i="75"/>
  <c r="G48" i="75"/>
  <c r="G47" i="75"/>
  <c r="H47" i="75" s="1"/>
  <c r="G46" i="75"/>
  <c r="G45" i="75"/>
  <c r="H45" i="75" s="1"/>
  <c r="G44" i="75"/>
  <c r="G43" i="75"/>
  <c r="H43" i="75" s="1"/>
  <c r="G42" i="75"/>
  <c r="G41" i="75"/>
  <c r="H41" i="75" s="1"/>
  <c r="G40" i="75"/>
  <c r="G39" i="75"/>
  <c r="F53" i="75"/>
  <c r="E53" i="75"/>
  <c r="D53" i="75"/>
  <c r="F52" i="75"/>
  <c r="E52" i="75"/>
  <c r="D52" i="75"/>
  <c r="H52" i="75" s="1"/>
  <c r="F51" i="75"/>
  <c r="E51" i="75"/>
  <c r="D51" i="75"/>
  <c r="F50" i="75"/>
  <c r="E50" i="75"/>
  <c r="D50" i="75"/>
  <c r="F48" i="75"/>
  <c r="E48" i="75"/>
  <c r="D48" i="75"/>
  <c r="H48" i="75" s="1"/>
  <c r="I48" i="75" s="1"/>
  <c r="F47" i="75"/>
  <c r="E47" i="75"/>
  <c r="D47" i="75"/>
  <c r="F46" i="75"/>
  <c r="E46" i="75"/>
  <c r="D46" i="75"/>
  <c r="F45" i="75"/>
  <c r="E45" i="75"/>
  <c r="D45" i="75"/>
  <c r="F44" i="75"/>
  <c r="E44" i="75"/>
  <c r="D44" i="75"/>
  <c r="F43" i="75"/>
  <c r="E43" i="75"/>
  <c r="D43" i="75"/>
  <c r="F42" i="75"/>
  <c r="E42" i="75"/>
  <c r="D42" i="75"/>
  <c r="F41" i="75"/>
  <c r="E41" i="75"/>
  <c r="D41" i="75"/>
  <c r="F40" i="75"/>
  <c r="E40" i="75"/>
  <c r="D40" i="75"/>
  <c r="H40" i="75" s="1"/>
  <c r="I40" i="75" s="1"/>
  <c r="F39" i="75"/>
  <c r="E39" i="75"/>
  <c r="D39" i="75"/>
  <c r="G38" i="75"/>
  <c r="F38" i="75"/>
  <c r="E38" i="75"/>
  <c r="D38" i="75"/>
  <c r="G24" i="75"/>
  <c r="F24" i="75"/>
  <c r="E24" i="75"/>
  <c r="G23" i="75"/>
  <c r="F23" i="75"/>
  <c r="E23" i="75"/>
  <c r="G22" i="75"/>
  <c r="F22" i="75"/>
  <c r="E22" i="75"/>
  <c r="H22" i="75" s="1"/>
  <c r="G21" i="75"/>
  <c r="F21" i="75"/>
  <c r="E21" i="75"/>
  <c r="G19" i="75"/>
  <c r="F19" i="75"/>
  <c r="E19" i="75"/>
  <c r="H19" i="75" s="1"/>
  <c r="G18" i="75"/>
  <c r="F18" i="75"/>
  <c r="E18" i="75"/>
  <c r="H18" i="75" s="1"/>
  <c r="I18" i="75" s="1"/>
  <c r="G17" i="75"/>
  <c r="F17" i="75"/>
  <c r="E17" i="75"/>
  <c r="G16" i="75"/>
  <c r="F16" i="75"/>
  <c r="E16" i="75"/>
  <c r="G15" i="75"/>
  <c r="F15" i="75"/>
  <c r="E15" i="75"/>
  <c r="G10" i="75"/>
  <c r="G14" i="75"/>
  <c r="F14" i="75"/>
  <c r="E14" i="75"/>
  <c r="G13" i="75"/>
  <c r="F13" i="75"/>
  <c r="E13" i="75"/>
  <c r="G12" i="75"/>
  <c r="F12" i="75"/>
  <c r="E12" i="75"/>
  <c r="G11" i="75"/>
  <c r="F11" i="75"/>
  <c r="E11" i="75"/>
  <c r="F10" i="75"/>
  <c r="E10" i="75"/>
  <c r="G9" i="75"/>
  <c r="F9" i="75"/>
  <c r="E9" i="75"/>
  <c r="D24" i="75"/>
  <c r="D23" i="75"/>
  <c r="D22" i="75"/>
  <c r="D21" i="75"/>
  <c r="D19" i="75"/>
  <c r="D18" i="75"/>
  <c r="D17" i="75"/>
  <c r="D16" i="75"/>
  <c r="D15" i="75"/>
  <c r="D14" i="75"/>
  <c r="D13" i="75"/>
  <c r="D12" i="75"/>
  <c r="D11" i="75"/>
  <c r="D10" i="75"/>
  <c r="D9" i="75"/>
  <c r="C5" i="75"/>
  <c r="F79" i="75"/>
  <c r="E79" i="75"/>
  <c r="D79" i="75"/>
  <c r="C79" i="75"/>
  <c r="C53" i="75" s="1"/>
  <c r="F78" i="75"/>
  <c r="E78" i="75"/>
  <c r="D78" i="75"/>
  <c r="C78" i="75"/>
  <c r="F77" i="75"/>
  <c r="E77" i="75"/>
  <c r="D77" i="75"/>
  <c r="C77" i="75"/>
  <c r="C51" i="75" s="1"/>
  <c r="F76" i="75"/>
  <c r="E76" i="75"/>
  <c r="D76" i="75"/>
  <c r="C76" i="75"/>
  <c r="F75" i="75"/>
  <c r="E75" i="75"/>
  <c r="D75" i="75"/>
  <c r="C75" i="75"/>
  <c r="C49" i="75" s="1"/>
  <c r="F74" i="75"/>
  <c r="E74" i="75"/>
  <c r="D74" i="75"/>
  <c r="C74" i="75"/>
  <c r="F73" i="75"/>
  <c r="E73" i="75"/>
  <c r="D73" i="75"/>
  <c r="C73" i="75"/>
  <c r="C47" i="75" s="1"/>
  <c r="F72" i="75"/>
  <c r="E72" i="75"/>
  <c r="D72" i="75"/>
  <c r="C72" i="75"/>
  <c r="F71" i="75"/>
  <c r="E71" i="75"/>
  <c r="D71" i="75"/>
  <c r="C71" i="75"/>
  <c r="C45" i="75" s="1"/>
  <c r="F70" i="75"/>
  <c r="E70" i="75"/>
  <c r="D70" i="75"/>
  <c r="C70" i="75"/>
  <c r="F69" i="75"/>
  <c r="E69" i="75"/>
  <c r="D69" i="75"/>
  <c r="C69" i="75"/>
  <c r="C43" i="75" s="1"/>
  <c r="F68" i="75"/>
  <c r="E68" i="75"/>
  <c r="D68" i="75"/>
  <c r="C68" i="75"/>
  <c r="F67" i="75"/>
  <c r="E67" i="75"/>
  <c r="D67" i="75"/>
  <c r="C67" i="75"/>
  <c r="C41" i="75" s="1"/>
  <c r="F66" i="75"/>
  <c r="E66" i="75"/>
  <c r="D66" i="75"/>
  <c r="C66" i="75"/>
  <c r="F65" i="75"/>
  <c r="E65" i="75"/>
  <c r="D65" i="75"/>
  <c r="C65" i="75"/>
  <c r="C39" i="75" s="1"/>
  <c r="F64" i="75"/>
  <c r="F80" i="75" s="1"/>
  <c r="E64" i="75"/>
  <c r="E80" i="75" s="1"/>
  <c r="D64" i="75"/>
  <c r="D80" i="75" s="1"/>
  <c r="C64" i="75"/>
  <c r="C80" i="75" s="1"/>
  <c r="D59" i="75"/>
  <c r="D58" i="75"/>
  <c r="D57" i="75"/>
  <c r="D56" i="75"/>
  <c r="C52" i="75"/>
  <c r="C50" i="75"/>
  <c r="C48" i="75"/>
  <c r="C46" i="75"/>
  <c r="C44" i="75"/>
  <c r="C42" i="75"/>
  <c r="C40" i="75"/>
  <c r="C38" i="75"/>
  <c r="C54" i="75" s="1"/>
  <c r="D34" i="75"/>
  <c r="D30" i="75"/>
  <c r="D29" i="75"/>
  <c r="D28" i="75"/>
  <c r="D27" i="75"/>
  <c r="C24" i="75"/>
  <c r="C23" i="75"/>
  <c r="C22" i="75"/>
  <c r="C21" i="75"/>
  <c r="C20" i="75"/>
  <c r="C19" i="75"/>
  <c r="C18" i="75"/>
  <c r="C17" i="75"/>
  <c r="C16" i="75"/>
  <c r="C15" i="75"/>
  <c r="H14" i="75"/>
  <c r="C14" i="75"/>
  <c r="C13" i="75"/>
  <c r="C12" i="75"/>
  <c r="C11" i="75"/>
  <c r="C10" i="75"/>
  <c r="C9" i="75"/>
  <c r="C25" i="75" s="1"/>
  <c r="E36" i="75"/>
  <c r="B5" i="75"/>
  <c r="C3" i="75"/>
  <c r="E36" i="63"/>
  <c r="C5" i="63"/>
  <c r="C3" i="63"/>
  <c r="E59" i="74"/>
  <c r="E33" i="74" s="1"/>
  <c r="E58" i="74"/>
  <c r="E56" i="74"/>
  <c r="E55" i="74"/>
  <c r="E54" i="74"/>
  <c r="E53" i="74"/>
  <c r="E52" i="74"/>
  <c r="E51" i="74"/>
  <c r="E49" i="74"/>
  <c r="E31" i="74" s="1"/>
  <c r="E48" i="74"/>
  <c r="E47" i="74"/>
  <c r="E44" i="74"/>
  <c r="E43" i="74"/>
  <c r="E42" i="74"/>
  <c r="E41" i="74"/>
  <c r="F59" i="74"/>
  <c r="F58" i="74"/>
  <c r="F56" i="74"/>
  <c r="F55" i="74"/>
  <c r="F54" i="74"/>
  <c r="F53" i="74"/>
  <c r="F51" i="74"/>
  <c r="F49" i="74"/>
  <c r="F48" i="74"/>
  <c r="F47" i="74"/>
  <c r="F45" i="74"/>
  <c r="F44" i="74"/>
  <c r="C12" i="74" s="1"/>
  <c r="F43" i="74"/>
  <c r="F42" i="74"/>
  <c r="F41" i="74"/>
  <c r="D59" i="74"/>
  <c r="D58" i="74"/>
  <c r="D56" i="74"/>
  <c r="D55" i="74"/>
  <c r="D54" i="74"/>
  <c r="D53" i="74"/>
  <c r="D52" i="74"/>
  <c r="D51" i="74"/>
  <c r="D57" i="74" s="1"/>
  <c r="D49" i="74"/>
  <c r="D48" i="74"/>
  <c r="D45" i="74"/>
  <c r="D43" i="74"/>
  <c r="D42" i="74"/>
  <c r="D41" i="74"/>
  <c r="D46" i="74" s="1"/>
  <c r="F39" i="74"/>
  <c r="E39" i="74"/>
  <c r="D39" i="74"/>
  <c r="D29" i="74" s="1"/>
  <c r="F39" i="73"/>
  <c r="E39" i="73"/>
  <c r="D29" i="73"/>
  <c r="D39" i="73"/>
  <c r="D39" i="72"/>
  <c r="D29" i="72" s="1"/>
  <c r="D29" i="62"/>
  <c r="C59" i="74"/>
  <c r="F60" i="74"/>
  <c r="D60" i="74"/>
  <c r="C58" i="74"/>
  <c r="C60" i="74" s="1"/>
  <c r="C56" i="74"/>
  <c r="C21" i="74"/>
  <c r="C55" i="74"/>
  <c r="C20" i="74"/>
  <c r="C54" i="74"/>
  <c r="C19" i="74"/>
  <c r="C53" i="74"/>
  <c r="C52" i="74"/>
  <c r="C51" i="74"/>
  <c r="C57" i="74" s="1"/>
  <c r="C32" i="74" s="1"/>
  <c r="F50" i="74"/>
  <c r="C49" i="74"/>
  <c r="C48" i="74"/>
  <c r="C50" i="74" s="1"/>
  <c r="C31" i="74" s="1"/>
  <c r="C47" i="74"/>
  <c r="C13" i="74"/>
  <c r="E45" i="74"/>
  <c r="C45" i="74"/>
  <c r="D44" i="74"/>
  <c r="C44" i="74"/>
  <c r="C11" i="74"/>
  <c r="C43" i="74"/>
  <c r="F30" i="74"/>
  <c r="C42" i="74"/>
  <c r="C46" i="74" s="1"/>
  <c r="C30" i="74" s="1"/>
  <c r="C41" i="74"/>
  <c r="F33" i="74"/>
  <c r="D33" i="74"/>
  <c r="F31" i="74"/>
  <c r="C24" i="74"/>
  <c r="C23" i="74"/>
  <c r="C22" i="74"/>
  <c r="C17" i="74"/>
  <c r="C16" i="74"/>
  <c r="C15" i="74"/>
  <c r="C14" i="74"/>
  <c r="C10" i="74"/>
  <c r="C9" i="74"/>
  <c r="B5" i="74"/>
  <c r="B37" i="74" s="1"/>
  <c r="D59" i="73"/>
  <c r="D58" i="73"/>
  <c r="D60" i="73" s="1"/>
  <c r="D56" i="73"/>
  <c r="D55" i="73"/>
  <c r="D54" i="73"/>
  <c r="D53" i="73"/>
  <c r="D52" i="73"/>
  <c r="D51" i="73"/>
  <c r="D49" i="73"/>
  <c r="D48" i="73"/>
  <c r="D47" i="73"/>
  <c r="D31" i="73" s="1"/>
  <c r="D45" i="73"/>
  <c r="D30" i="73" s="1"/>
  <c r="D43" i="73"/>
  <c r="D42" i="73"/>
  <c r="E45" i="72"/>
  <c r="E45" i="73"/>
  <c r="E59" i="73"/>
  <c r="E60" i="73" s="1"/>
  <c r="E58" i="73"/>
  <c r="E56" i="73"/>
  <c r="E55" i="73"/>
  <c r="E53" i="73"/>
  <c r="E52" i="73"/>
  <c r="E51" i="73"/>
  <c r="E49" i="73"/>
  <c r="E50" i="73" s="1"/>
  <c r="E48" i="73"/>
  <c r="E47" i="73"/>
  <c r="E44" i="73"/>
  <c r="E43" i="73"/>
  <c r="E42" i="73"/>
  <c r="F59" i="73"/>
  <c r="F58" i="73"/>
  <c r="F56" i="73"/>
  <c r="F55" i="73"/>
  <c r="F54" i="73"/>
  <c r="F53" i="73"/>
  <c r="F51" i="73"/>
  <c r="F49" i="73"/>
  <c r="F48" i="73"/>
  <c r="F47" i="73"/>
  <c r="F45" i="73"/>
  <c r="F44" i="73"/>
  <c r="F43" i="73"/>
  <c r="F42" i="73"/>
  <c r="F41" i="73"/>
  <c r="E41" i="73"/>
  <c r="D41" i="73"/>
  <c r="C59" i="73"/>
  <c r="F60" i="73"/>
  <c r="C58" i="73"/>
  <c r="C60" i="73" s="1"/>
  <c r="C22" i="73"/>
  <c r="C56" i="73"/>
  <c r="C55" i="73"/>
  <c r="C20" i="73"/>
  <c r="C54" i="73"/>
  <c r="C53" i="73"/>
  <c r="C52" i="73"/>
  <c r="C51" i="73"/>
  <c r="C57" i="73" s="1"/>
  <c r="C32" i="73" s="1"/>
  <c r="C49" i="73"/>
  <c r="F50" i="73"/>
  <c r="C48" i="73"/>
  <c r="C47" i="73"/>
  <c r="C50" i="73" s="1"/>
  <c r="C31" i="73" s="1"/>
  <c r="C13" i="73"/>
  <c r="C45" i="73"/>
  <c r="C12" i="73"/>
  <c r="D44" i="73"/>
  <c r="C44" i="73"/>
  <c r="C43" i="73"/>
  <c r="F30" i="73"/>
  <c r="C42" i="73"/>
  <c r="C41" i="73"/>
  <c r="C46" i="73" s="1"/>
  <c r="C30" i="73" s="1"/>
  <c r="F33" i="73"/>
  <c r="E33" i="73"/>
  <c r="D33" i="73"/>
  <c r="C24" i="73"/>
  <c r="C21" i="73"/>
  <c r="C19" i="73"/>
  <c r="C16" i="73"/>
  <c r="C14" i="73"/>
  <c r="C11" i="73"/>
  <c r="C9" i="73"/>
  <c r="B5" i="73"/>
  <c r="B37" i="73" s="1"/>
  <c r="F59" i="72"/>
  <c r="F58" i="72"/>
  <c r="C23" i="72" s="1"/>
  <c r="F56" i="72"/>
  <c r="F55" i="72"/>
  <c r="C21" i="72" s="1"/>
  <c r="F54" i="72"/>
  <c r="C20" i="72" s="1"/>
  <c r="F53" i="72"/>
  <c r="C19" i="72" s="1"/>
  <c r="F51" i="72"/>
  <c r="F49" i="72"/>
  <c r="C16" i="72" s="1"/>
  <c r="F48" i="72"/>
  <c r="F47" i="72"/>
  <c r="C14" i="72" s="1"/>
  <c r="F45" i="72"/>
  <c r="C13" i="72" s="1"/>
  <c r="F44" i="72"/>
  <c r="C12" i="72" s="1"/>
  <c r="F43" i="72"/>
  <c r="C11" i="72" s="1"/>
  <c r="F42" i="72"/>
  <c r="F41" i="72"/>
  <c r="C9" i="72" s="1"/>
  <c r="F39" i="72"/>
  <c r="E39" i="72"/>
  <c r="E59" i="72"/>
  <c r="E58" i="72"/>
  <c r="E56" i="72"/>
  <c r="E55" i="72"/>
  <c r="E53" i="72"/>
  <c r="E52" i="72"/>
  <c r="E51" i="72"/>
  <c r="E49" i="72"/>
  <c r="E48" i="72"/>
  <c r="E47" i="72"/>
  <c r="E44" i="72"/>
  <c r="E43" i="72"/>
  <c r="E42" i="72"/>
  <c r="E41" i="72"/>
  <c r="D59" i="72"/>
  <c r="D33" i="72" s="1"/>
  <c r="D58" i="72"/>
  <c r="D56" i="72"/>
  <c r="D55" i="72"/>
  <c r="D54" i="72"/>
  <c r="D53" i="72"/>
  <c r="D52" i="72"/>
  <c r="D57" i="72" s="1"/>
  <c r="D51" i="72"/>
  <c r="D49" i="72"/>
  <c r="D50" i="72" s="1"/>
  <c r="D48" i="72"/>
  <c r="D45" i="72"/>
  <c r="D44" i="72"/>
  <c r="D43" i="72"/>
  <c r="D30" i="72" s="1"/>
  <c r="D42" i="72"/>
  <c r="D41" i="72"/>
  <c r="D46" i="72" s="1"/>
  <c r="D62" i="72" s="1"/>
  <c r="D47" i="72"/>
  <c r="C59" i="72"/>
  <c r="D60" i="72"/>
  <c r="C58" i="72"/>
  <c r="C60" i="72" s="1"/>
  <c r="C56" i="72"/>
  <c r="C55" i="72"/>
  <c r="C54" i="72"/>
  <c r="C53" i="72"/>
  <c r="C52" i="72"/>
  <c r="C51" i="72"/>
  <c r="C57" i="72" s="1"/>
  <c r="C32" i="72" s="1"/>
  <c r="C49" i="72"/>
  <c r="C48" i="72"/>
  <c r="C50" i="72" s="1"/>
  <c r="C31" i="72" s="1"/>
  <c r="C47" i="72"/>
  <c r="C45" i="72"/>
  <c r="C44" i="72"/>
  <c r="C43" i="72"/>
  <c r="C42" i="72"/>
  <c r="C46" i="72" s="1"/>
  <c r="C30" i="72" s="1"/>
  <c r="C41" i="72"/>
  <c r="F33" i="72"/>
  <c r="C24" i="72"/>
  <c r="C22" i="72"/>
  <c r="C17" i="72"/>
  <c r="C15" i="72"/>
  <c r="B5" i="72"/>
  <c r="B37" i="72" s="1"/>
  <c r="F59" i="62"/>
  <c r="F58" i="62"/>
  <c r="F53" i="62"/>
  <c r="F48" i="62"/>
  <c r="F47" i="62"/>
  <c r="F45" i="62"/>
  <c r="F44" i="62"/>
  <c r="F43" i="62"/>
  <c r="F42" i="62"/>
  <c r="E59" i="62"/>
  <c r="E58" i="62"/>
  <c r="E56" i="62"/>
  <c r="E55" i="62"/>
  <c r="E53" i="62"/>
  <c r="E52" i="62"/>
  <c r="E51" i="62"/>
  <c r="E49" i="62"/>
  <c r="E48" i="62"/>
  <c r="E47" i="62"/>
  <c r="F39" i="62"/>
  <c r="E39" i="62"/>
  <c r="D39" i="62"/>
  <c r="E45" i="62"/>
  <c r="E44" i="62"/>
  <c r="E43" i="62"/>
  <c r="E42" i="62"/>
  <c r="D59" i="62"/>
  <c r="D58" i="62"/>
  <c r="D56" i="62"/>
  <c r="D55" i="62"/>
  <c r="D53" i="62"/>
  <c r="D52" i="62"/>
  <c r="D51" i="62"/>
  <c r="D49" i="62"/>
  <c r="D48" i="62"/>
  <c r="D47" i="62"/>
  <c r="D45" i="62"/>
  <c r="D44" i="62"/>
  <c r="D43" i="62"/>
  <c r="M174" i="60"/>
  <c r="L174" i="60"/>
  <c r="K174" i="60"/>
  <c r="V174" i="60"/>
  <c r="U174" i="60"/>
  <c r="T174" i="60"/>
  <c r="AE174" i="60"/>
  <c r="AD174" i="60"/>
  <c r="AC174" i="60"/>
  <c r="M166" i="60"/>
  <c r="L166" i="60"/>
  <c r="K166" i="60"/>
  <c r="V166" i="60"/>
  <c r="U166" i="60"/>
  <c r="T166" i="60"/>
  <c r="AE166" i="60"/>
  <c r="AD166" i="60"/>
  <c r="AC166" i="60"/>
  <c r="M158" i="60"/>
  <c r="F56" i="62" s="1"/>
  <c r="L158" i="60"/>
  <c r="K158" i="60"/>
  <c r="V158" i="60"/>
  <c r="U158" i="60"/>
  <c r="T158" i="60"/>
  <c r="AE158" i="60"/>
  <c r="AD158" i="60"/>
  <c r="AC158" i="60"/>
  <c r="M148" i="60"/>
  <c r="F55" i="62" s="1"/>
  <c r="L148" i="60"/>
  <c r="K148" i="60"/>
  <c r="V148" i="60"/>
  <c r="U148" i="60"/>
  <c r="T148" i="60"/>
  <c r="AE148" i="60"/>
  <c r="AD148" i="60"/>
  <c r="AC148" i="60"/>
  <c r="M139" i="60"/>
  <c r="F54" i="62" s="1"/>
  <c r="V139" i="60"/>
  <c r="T139" i="60"/>
  <c r="AE139" i="60"/>
  <c r="AC139" i="60"/>
  <c r="M130" i="60"/>
  <c r="L130" i="60"/>
  <c r="K130" i="60"/>
  <c r="V130" i="60"/>
  <c r="U130" i="60"/>
  <c r="T130" i="60"/>
  <c r="AE130" i="60"/>
  <c r="AD130" i="60"/>
  <c r="AC130" i="60"/>
  <c r="M122" i="60"/>
  <c r="F52" i="62" s="1"/>
  <c r="L122" i="60"/>
  <c r="K122" i="60"/>
  <c r="U122" i="60"/>
  <c r="T122" i="60"/>
  <c r="AD122" i="60"/>
  <c r="AC122" i="60"/>
  <c r="M115" i="60"/>
  <c r="F51" i="62" s="1"/>
  <c r="L115" i="60"/>
  <c r="K115" i="60"/>
  <c r="V115" i="60"/>
  <c r="U115" i="60"/>
  <c r="T115" i="60"/>
  <c r="AE115" i="60"/>
  <c r="AD115" i="60"/>
  <c r="AC115" i="60"/>
  <c r="M102" i="60"/>
  <c r="F49" i="62" s="1"/>
  <c r="L102" i="60"/>
  <c r="K102" i="60"/>
  <c r="V102" i="60"/>
  <c r="U102" i="60"/>
  <c r="T102" i="60"/>
  <c r="AE102" i="60"/>
  <c r="AD102" i="60"/>
  <c r="AC102" i="60"/>
  <c r="M89" i="60"/>
  <c r="L89" i="60"/>
  <c r="K89" i="60"/>
  <c r="V89" i="60"/>
  <c r="U89" i="60"/>
  <c r="T89" i="60"/>
  <c r="AE89" i="60"/>
  <c r="AD89" i="60"/>
  <c r="AC89" i="60"/>
  <c r="M77" i="60"/>
  <c r="L77" i="60"/>
  <c r="K77" i="60"/>
  <c r="V77" i="60"/>
  <c r="U77" i="60"/>
  <c r="T77" i="60"/>
  <c r="AE77" i="60"/>
  <c r="AD77" i="60"/>
  <c r="AC77" i="60"/>
  <c r="M52" i="60"/>
  <c r="L52" i="60"/>
  <c r="K52" i="60"/>
  <c r="V52" i="60"/>
  <c r="U52" i="60"/>
  <c r="T52" i="60"/>
  <c r="AE52" i="60"/>
  <c r="AD52" i="60"/>
  <c r="AC52" i="60"/>
  <c r="M44" i="60"/>
  <c r="L44" i="60"/>
  <c r="K44" i="60"/>
  <c r="V44" i="60"/>
  <c r="U44" i="60"/>
  <c r="T44" i="60"/>
  <c r="AE44" i="60"/>
  <c r="AD44" i="60"/>
  <c r="AC44" i="60"/>
  <c r="M37" i="60"/>
  <c r="L37" i="60"/>
  <c r="K37" i="60"/>
  <c r="V37" i="60"/>
  <c r="U37" i="60"/>
  <c r="T37" i="60"/>
  <c r="AE37" i="60"/>
  <c r="AD37" i="60"/>
  <c r="AC37" i="60"/>
  <c r="AE25" i="60"/>
  <c r="AD25" i="60"/>
  <c r="AC25" i="60"/>
  <c r="V25" i="60"/>
  <c r="U25" i="60"/>
  <c r="T25" i="60"/>
  <c r="M25" i="60"/>
  <c r="L25" i="60"/>
  <c r="K25" i="60"/>
  <c r="D42" i="62" s="1"/>
  <c r="F41" i="62"/>
  <c r="E41" i="62"/>
  <c r="D41" i="62"/>
  <c r="AE16" i="60"/>
  <c r="AD16" i="60"/>
  <c r="AC16" i="60"/>
  <c r="V16" i="60"/>
  <c r="U16" i="60"/>
  <c r="T16" i="60"/>
  <c r="M16" i="60"/>
  <c r="L16" i="60"/>
  <c r="K16" i="60"/>
  <c r="AK173" i="60"/>
  <c r="AK172" i="60"/>
  <c r="AK171" i="60"/>
  <c r="X172" i="60"/>
  <c r="Y172" i="60"/>
  <c r="Z172" i="60"/>
  <c r="AB172" i="60" s="1"/>
  <c r="AA172" i="60"/>
  <c r="X173" i="60"/>
  <c r="Y173" i="60"/>
  <c r="Z173" i="60"/>
  <c r="AB173" i="60" s="1"/>
  <c r="AA173" i="60"/>
  <c r="AA171" i="60"/>
  <c r="Z171" i="60"/>
  <c r="Y171" i="60"/>
  <c r="X171" i="60"/>
  <c r="AB171" i="60"/>
  <c r="AE171" i="60" s="1"/>
  <c r="AC171" i="60"/>
  <c r="O172" i="60"/>
  <c r="P172" i="60"/>
  <c r="Q172" i="60"/>
  <c r="S172" i="60" s="1"/>
  <c r="R172" i="60"/>
  <c r="O173" i="60"/>
  <c r="P173" i="60"/>
  <c r="U173" i="60" s="1"/>
  <c r="Q173" i="60"/>
  <c r="S173" i="60" s="1"/>
  <c r="R173" i="60"/>
  <c r="O171" i="60"/>
  <c r="T171" i="60" s="1"/>
  <c r="R171" i="60"/>
  <c r="Q171" i="60"/>
  <c r="P171" i="60"/>
  <c r="S171" i="60"/>
  <c r="V171" i="60" s="1"/>
  <c r="AN165" i="60"/>
  <c r="AM165" i="60"/>
  <c r="AL165" i="60"/>
  <c r="AN164" i="60"/>
  <c r="AM164" i="60"/>
  <c r="AL164" i="60"/>
  <c r="AN163" i="60"/>
  <c r="AM163" i="60"/>
  <c r="AL163" i="60"/>
  <c r="AN157" i="60"/>
  <c r="AM157" i="60"/>
  <c r="AL157" i="60"/>
  <c r="AN156" i="60"/>
  <c r="AM156" i="60"/>
  <c r="AL156" i="60"/>
  <c r="AN155" i="60"/>
  <c r="AM155" i="60"/>
  <c r="AL155" i="60"/>
  <c r="AN154" i="60"/>
  <c r="AM154" i="60"/>
  <c r="AL154" i="60"/>
  <c r="AN153" i="60"/>
  <c r="AM153" i="60"/>
  <c r="AL153" i="60"/>
  <c r="AN147" i="60"/>
  <c r="AM147" i="60"/>
  <c r="AL147" i="60"/>
  <c r="AN146" i="60"/>
  <c r="AM146" i="60"/>
  <c r="AL146" i="60"/>
  <c r="AN145" i="60"/>
  <c r="AM145" i="60"/>
  <c r="AL145" i="60"/>
  <c r="AN144" i="60"/>
  <c r="AM144" i="60"/>
  <c r="AL144" i="60"/>
  <c r="AN173" i="60"/>
  <c r="AN172" i="60"/>
  <c r="AN171" i="60"/>
  <c r="AF173" i="60"/>
  <c r="AE173" i="60"/>
  <c r="AD173" i="60"/>
  <c r="AC173" i="60"/>
  <c r="AF172" i="60"/>
  <c r="AE172" i="60"/>
  <c r="AD172" i="60"/>
  <c r="AC172" i="60"/>
  <c r="AF171" i="60"/>
  <c r="AD171" i="60"/>
  <c r="W173" i="60"/>
  <c r="V173" i="60"/>
  <c r="W172" i="60"/>
  <c r="V172" i="60"/>
  <c r="U172" i="60"/>
  <c r="T172" i="60"/>
  <c r="W171" i="60"/>
  <c r="U171" i="60"/>
  <c r="K172" i="60"/>
  <c r="L172" i="60"/>
  <c r="M172" i="60"/>
  <c r="N172" i="60"/>
  <c r="K173" i="60"/>
  <c r="L173" i="60"/>
  <c r="M173" i="60"/>
  <c r="N173" i="60"/>
  <c r="N171" i="60"/>
  <c r="M171" i="60"/>
  <c r="L171" i="60"/>
  <c r="K171" i="60"/>
  <c r="F172" i="60"/>
  <c r="G172" i="60"/>
  <c r="H172" i="60"/>
  <c r="I172" i="60"/>
  <c r="J172" i="60" s="1"/>
  <c r="F173" i="60"/>
  <c r="G173" i="60"/>
  <c r="H173" i="60"/>
  <c r="I173" i="60"/>
  <c r="J173" i="60"/>
  <c r="I171" i="60"/>
  <c r="H171" i="60"/>
  <c r="G171" i="60"/>
  <c r="F171" i="60"/>
  <c r="J171" i="60"/>
  <c r="AK164" i="60"/>
  <c r="AK165" i="60"/>
  <c r="AK163" i="60"/>
  <c r="X164" i="60"/>
  <c r="Y164" i="60"/>
  <c r="Z164" i="60"/>
  <c r="AA164" i="60"/>
  <c r="AB164" i="60"/>
  <c r="X165" i="60"/>
  <c r="Y165" i="60"/>
  <c r="Z165" i="60"/>
  <c r="AB165" i="60" s="1"/>
  <c r="AE165" i="60" s="1"/>
  <c r="AA165" i="60"/>
  <c r="AA163" i="60"/>
  <c r="Z163" i="60"/>
  <c r="AB163" i="60" s="1"/>
  <c r="Y163" i="60"/>
  <c r="X163" i="60"/>
  <c r="AD163" i="60"/>
  <c r="O164" i="60"/>
  <c r="P164" i="60"/>
  <c r="Q164" i="60"/>
  <c r="R164" i="60"/>
  <c r="S164" i="60"/>
  <c r="O165" i="60"/>
  <c r="T165" i="60" s="1"/>
  <c r="P165" i="60"/>
  <c r="U165" i="60" s="1"/>
  <c r="Q165" i="60"/>
  <c r="S165" i="60" s="1"/>
  <c r="R165" i="60"/>
  <c r="R135" i="60"/>
  <c r="R22" i="60"/>
  <c r="R23" i="60"/>
  <c r="R24" i="60"/>
  <c r="R21" i="60"/>
  <c r="R127" i="60"/>
  <c r="R128" i="60"/>
  <c r="R129" i="60"/>
  <c r="R146" i="60"/>
  <c r="R147" i="60"/>
  <c r="R163" i="60"/>
  <c r="Q163" i="60"/>
  <c r="S163" i="60" s="1"/>
  <c r="P163" i="60"/>
  <c r="O163" i="60"/>
  <c r="F164" i="60"/>
  <c r="G164" i="60"/>
  <c r="H164" i="60"/>
  <c r="I164" i="60"/>
  <c r="J164" i="60"/>
  <c r="AE164" i="60" s="1"/>
  <c r="F165" i="60"/>
  <c r="K165" i="60" s="1"/>
  <c r="G165" i="60"/>
  <c r="H165" i="60"/>
  <c r="I165" i="60"/>
  <c r="J165" i="60"/>
  <c r="I163" i="60"/>
  <c r="J163" i="60" s="1"/>
  <c r="H163" i="60"/>
  <c r="G163" i="60"/>
  <c r="F163" i="60"/>
  <c r="K163" i="60" s="1"/>
  <c r="AF165" i="60"/>
  <c r="AD165" i="60"/>
  <c r="AC165" i="60"/>
  <c r="AF164" i="60"/>
  <c r="AD164" i="60"/>
  <c r="AC164" i="60"/>
  <c r="AF163" i="60"/>
  <c r="W165" i="60"/>
  <c r="W164" i="60"/>
  <c r="V164" i="60"/>
  <c r="U164" i="60"/>
  <c r="T164" i="60"/>
  <c r="W163" i="60"/>
  <c r="U163" i="60"/>
  <c r="T163" i="60"/>
  <c r="K164" i="60"/>
  <c r="L164" i="60"/>
  <c r="M164" i="60"/>
  <c r="N164" i="60"/>
  <c r="L165" i="60"/>
  <c r="N165" i="60"/>
  <c r="N163" i="60"/>
  <c r="AK154" i="60"/>
  <c r="AK155" i="60"/>
  <c r="AK156" i="60"/>
  <c r="AK157" i="60"/>
  <c r="AK153" i="60"/>
  <c r="X154" i="60"/>
  <c r="Y154" i="60"/>
  <c r="Z154" i="60"/>
  <c r="AA154" i="60"/>
  <c r="AB154" i="60"/>
  <c r="X155" i="60"/>
  <c r="Y155" i="60"/>
  <c r="Z155" i="60"/>
  <c r="AB155" i="60" s="1"/>
  <c r="AE155" i="60" s="1"/>
  <c r="AA155" i="60"/>
  <c r="X156" i="60"/>
  <c r="Y156" i="60"/>
  <c r="Z156" i="60"/>
  <c r="AC156" i="60" s="1"/>
  <c r="AA156" i="60"/>
  <c r="AB156" i="60"/>
  <c r="X157" i="60"/>
  <c r="AC157" i="60" s="1"/>
  <c r="Y157" i="60"/>
  <c r="Z157" i="60"/>
  <c r="AA157" i="60"/>
  <c r="AB157" i="60"/>
  <c r="AA153" i="60"/>
  <c r="Z153" i="60"/>
  <c r="Y153" i="60"/>
  <c r="AD153" i="60" s="1"/>
  <c r="X153" i="60"/>
  <c r="AB153" i="60"/>
  <c r="AK145" i="60"/>
  <c r="AK144" i="60"/>
  <c r="AB145" i="60"/>
  <c r="AB144" i="60"/>
  <c r="S120" i="60"/>
  <c r="AK108" i="60"/>
  <c r="AK109" i="60"/>
  <c r="AK107" i="60"/>
  <c r="AB108" i="60"/>
  <c r="AB109" i="60"/>
  <c r="AB107" i="60"/>
  <c r="S108" i="60"/>
  <c r="S109" i="60"/>
  <c r="S107" i="60"/>
  <c r="AK97" i="60"/>
  <c r="AK95" i="60"/>
  <c r="AB97" i="60"/>
  <c r="AB95" i="60"/>
  <c r="S97" i="60"/>
  <c r="S95" i="60"/>
  <c r="V95" i="60" s="1"/>
  <c r="AK63" i="60"/>
  <c r="AB63" i="60"/>
  <c r="AB49" i="60"/>
  <c r="AK43" i="60"/>
  <c r="AK42" i="60"/>
  <c r="AB43" i="60"/>
  <c r="AB42" i="60"/>
  <c r="S43" i="60"/>
  <c r="S42" i="60"/>
  <c r="AK137" i="60"/>
  <c r="AK138" i="60"/>
  <c r="AK136" i="60"/>
  <c r="AB137" i="60"/>
  <c r="AB138" i="60"/>
  <c r="AB136" i="60"/>
  <c r="S137" i="60"/>
  <c r="S138" i="60"/>
  <c r="S136" i="60"/>
  <c r="S144" i="60"/>
  <c r="S145" i="60"/>
  <c r="S154" i="60"/>
  <c r="V154" i="60" s="1"/>
  <c r="S155" i="60"/>
  <c r="S156" i="60"/>
  <c r="S157" i="60"/>
  <c r="S153" i="60"/>
  <c r="O154" i="60"/>
  <c r="P154" i="60"/>
  <c r="Q154" i="60"/>
  <c r="R154" i="60"/>
  <c r="O155" i="60"/>
  <c r="P155" i="60" s="1"/>
  <c r="U155" i="60" s="1"/>
  <c r="Q155" i="60"/>
  <c r="R155" i="60"/>
  <c r="O156" i="60"/>
  <c r="P156" i="60"/>
  <c r="U156" i="60" s="1"/>
  <c r="Q156" i="60"/>
  <c r="R156" i="60"/>
  <c r="O157" i="60"/>
  <c r="P157" i="60" s="1"/>
  <c r="U157" i="60" s="1"/>
  <c r="Q157" i="60"/>
  <c r="R157" i="60"/>
  <c r="R153" i="60"/>
  <c r="Q153" i="60"/>
  <c r="O153" i="60"/>
  <c r="P153" i="60"/>
  <c r="U153" i="60" s="1"/>
  <c r="F154" i="60"/>
  <c r="G154" i="60"/>
  <c r="H154" i="60"/>
  <c r="I154" i="60"/>
  <c r="J154" i="60"/>
  <c r="F155" i="60"/>
  <c r="G155" i="60"/>
  <c r="L155" i="60" s="1"/>
  <c r="H155" i="60"/>
  <c r="I155" i="60"/>
  <c r="J155" i="60"/>
  <c r="F156" i="60"/>
  <c r="G156" i="60"/>
  <c r="H156" i="60"/>
  <c r="I156" i="60"/>
  <c r="J156" i="60" s="1"/>
  <c r="F157" i="60"/>
  <c r="K157" i="60" s="1"/>
  <c r="G157" i="60"/>
  <c r="H157" i="60"/>
  <c r="I157" i="60"/>
  <c r="J157" i="60" s="1"/>
  <c r="I153" i="60"/>
  <c r="H153" i="60"/>
  <c r="G153" i="60"/>
  <c r="F153" i="60"/>
  <c r="AF157" i="60"/>
  <c r="AD157" i="60"/>
  <c r="AF156" i="60"/>
  <c r="AD156" i="60"/>
  <c r="AF155" i="60"/>
  <c r="AD155" i="60"/>
  <c r="AF154" i="60"/>
  <c r="AE154" i="60"/>
  <c r="AD154" i="60"/>
  <c r="AC154" i="60"/>
  <c r="AF153" i="60"/>
  <c r="AE153" i="60"/>
  <c r="AC153" i="60"/>
  <c r="W157" i="60"/>
  <c r="W156" i="60"/>
  <c r="W155" i="60"/>
  <c r="W154" i="60"/>
  <c r="U154" i="60"/>
  <c r="T154" i="60"/>
  <c r="W153" i="60"/>
  <c r="N154" i="60"/>
  <c r="N155" i="60"/>
  <c r="N156" i="60"/>
  <c r="N157" i="60"/>
  <c r="N153" i="60"/>
  <c r="K154" i="60"/>
  <c r="L154" i="60"/>
  <c r="K155" i="60"/>
  <c r="K156" i="60"/>
  <c r="L156" i="60"/>
  <c r="L157" i="60"/>
  <c r="L153" i="60"/>
  <c r="K153" i="60"/>
  <c r="J153" i="60"/>
  <c r="R111" i="60"/>
  <c r="R112" i="60"/>
  <c r="R113" i="60"/>
  <c r="U113" i="60" s="1"/>
  <c r="R110" i="60"/>
  <c r="R114" i="60"/>
  <c r="P114" i="60"/>
  <c r="P147" i="60"/>
  <c r="P146" i="60"/>
  <c r="X147" i="60"/>
  <c r="Y147" i="60"/>
  <c r="Z147" i="60"/>
  <c r="AK147" i="60" s="1"/>
  <c r="AA147" i="60"/>
  <c r="AA146" i="60"/>
  <c r="Z146" i="60"/>
  <c r="Y146" i="60"/>
  <c r="X146" i="60"/>
  <c r="AK146" i="60"/>
  <c r="AB146" i="60"/>
  <c r="AC146" i="60"/>
  <c r="O147" i="60"/>
  <c r="Q147" i="60"/>
  <c r="S147" i="60" s="1"/>
  <c r="U146" i="60"/>
  <c r="Q146" i="60"/>
  <c r="T146" i="60" s="1"/>
  <c r="O146" i="60"/>
  <c r="F147" i="60"/>
  <c r="G147" i="60"/>
  <c r="H147" i="60"/>
  <c r="I147" i="60"/>
  <c r="J147" i="60" s="1"/>
  <c r="I146" i="60"/>
  <c r="H146" i="60"/>
  <c r="G146" i="60"/>
  <c r="L146" i="60" s="1"/>
  <c r="F146" i="60"/>
  <c r="J146" i="60"/>
  <c r="K146" i="60"/>
  <c r="X145" i="60"/>
  <c r="Y145" i="60"/>
  <c r="AD145" i="60" s="1"/>
  <c r="Z145" i="60"/>
  <c r="AA145" i="60"/>
  <c r="AA144" i="60"/>
  <c r="Z144" i="60"/>
  <c r="Y144" i="60"/>
  <c r="X144" i="60"/>
  <c r="AD144" i="60"/>
  <c r="O145" i="60"/>
  <c r="P145" i="60"/>
  <c r="Q145" i="60"/>
  <c r="R145" i="60"/>
  <c r="R144" i="60"/>
  <c r="Q144" i="60"/>
  <c r="O144" i="60"/>
  <c r="P144" i="60" s="1"/>
  <c r="U144" i="60" s="1"/>
  <c r="T144" i="60"/>
  <c r="F145" i="60"/>
  <c r="G145" i="60"/>
  <c r="H145" i="60"/>
  <c r="I145" i="60"/>
  <c r="J145" i="60"/>
  <c r="I144" i="60"/>
  <c r="H144" i="60"/>
  <c r="G144" i="60"/>
  <c r="F144" i="60"/>
  <c r="J144" i="60"/>
  <c r="AF147" i="60"/>
  <c r="AD147" i="60"/>
  <c r="AC147" i="60"/>
  <c r="AF146" i="60"/>
  <c r="AD146" i="60"/>
  <c r="AF145" i="60"/>
  <c r="AC145" i="60"/>
  <c r="AF144" i="60"/>
  <c r="AC144" i="60"/>
  <c r="W147" i="60"/>
  <c r="U147" i="60"/>
  <c r="T147" i="60"/>
  <c r="W146" i="60"/>
  <c r="W145" i="60"/>
  <c r="U145" i="60"/>
  <c r="T145" i="60"/>
  <c r="W144" i="60"/>
  <c r="N145" i="60"/>
  <c r="N146" i="60"/>
  <c r="N147" i="60"/>
  <c r="N144" i="60"/>
  <c r="L147" i="60"/>
  <c r="K147" i="60"/>
  <c r="L145" i="60"/>
  <c r="K145" i="60"/>
  <c r="L144" i="60"/>
  <c r="K144" i="60"/>
  <c r="AN137" i="60"/>
  <c r="X137" i="60"/>
  <c r="Y137" i="60"/>
  <c r="Z137" i="60"/>
  <c r="AA137" i="60"/>
  <c r="X138" i="60"/>
  <c r="AC138" i="60" s="1"/>
  <c r="Z138" i="60"/>
  <c r="AA138" i="60"/>
  <c r="AA136" i="60"/>
  <c r="Z136" i="60"/>
  <c r="Y136" i="60"/>
  <c r="AD136" i="60" s="1"/>
  <c r="X136" i="60"/>
  <c r="O137" i="60"/>
  <c r="P137" i="60"/>
  <c r="Q137" i="60"/>
  <c r="R137" i="60"/>
  <c r="O138" i="60"/>
  <c r="T138" i="60" s="1"/>
  <c r="Q138" i="60"/>
  <c r="R138" i="60"/>
  <c r="R136" i="60"/>
  <c r="Q136" i="60"/>
  <c r="O136" i="60"/>
  <c r="P136" i="60"/>
  <c r="AK135" i="60"/>
  <c r="AA135" i="60"/>
  <c r="Z135" i="60"/>
  <c r="Y135" i="60"/>
  <c r="AD135" i="60" s="1"/>
  <c r="X135" i="60"/>
  <c r="AB135" i="60"/>
  <c r="AC135" i="60"/>
  <c r="P111" i="60"/>
  <c r="P112" i="60"/>
  <c r="P113" i="60"/>
  <c r="P110" i="60"/>
  <c r="U110" i="60" s="1"/>
  <c r="P129" i="60"/>
  <c r="P128" i="60"/>
  <c r="U128" i="60" s="1"/>
  <c r="P127" i="60"/>
  <c r="U127" i="60" s="1"/>
  <c r="P135" i="60"/>
  <c r="U135" i="60" s="1"/>
  <c r="Q135" i="60"/>
  <c r="O135" i="60"/>
  <c r="S135" i="60"/>
  <c r="V135" i="60" s="1"/>
  <c r="F137" i="60"/>
  <c r="G137" i="60"/>
  <c r="H137" i="60"/>
  <c r="I137" i="60"/>
  <c r="J137" i="60"/>
  <c r="H138" i="60"/>
  <c r="I138" i="60"/>
  <c r="J138" i="60"/>
  <c r="I136" i="60"/>
  <c r="L136" i="60" s="1"/>
  <c r="H136" i="60"/>
  <c r="G136" i="60"/>
  <c r="F136" i="60"/>
  <c r="K136" i="60"/>
  <c r="AF136" i="60"/>
  <c r="AF137" i="60"/>
  <c r="AF138" i="60"/>
  <c r="AF135" i="60"/>
  <c r="W136" i="60"/>
  <c r="W137" i="60"/>
  <c r="W138" i="60"/>
  <c r="W135" i="60"/>
  <c r="N136" i="60"/>
  <c r="N137" i="60"/>
  <c r="N138" i="60"/>
  <c r="N135" i="60"/>
  <c r="AN138" i="60"/>
  <c r="AM138" i="60"/>
  <c r="AL138" i="60"/>
  <c r="AM137" i="60"/>
  <c r="AL137" i="60"/>
  <c r="AM136" i="60"/>
  <c r="AL136" i="60"/>
  <c r="AN135" i="60"/>
  <c r="AM135" i="60"/>
  <c r="AL135" i="60"/>
  <c r="AD137" i="60"/>
  <c r="AC137" i="60"/>
  <c r="AC136" i="60"/>
  <c r="U137" i="60"/>
  <c r="T137" i="60"/>
  <c r="U136" i="60"/>
  <c r="T136" i="60"/>
  <c r="T135" i="60"/>
  <c r="I135" i="60"/>
  <c r="H135" i="60"/>
  <c r="G135" i="60"/>
  <c r="F135" i="60"/>
  <c r="L137" i="60"/>
  <c r="K137" i="60"/>
  <c r="M135" i="60"/>
  <c r="L135" i="60"/>
  <c r="K135" i="60"/>
  <c r="J135" i="60"/>
  <c r="AK128" i="60"/>
  <c r="AK129" i="60"/>
  <c r="AK127" i="60"/>
  <c r="AF128" i="60"/>
  <c r="AF129" i="60"/>
  <c r="AF127" i="60"/>
  <c r="W128" i="60"/>
  <c r="X128" i="60"/>
  <c r="Y128" i="60"/>
  <c r="Z128" i="60"/>
  <c r="AA128" i="60"/>
  <c r="AB128" i="60"/>
  <c r="AE128" i="60" s="1"/>
  <c r="W129" i="60"/>
  <c r="AE129" i="60" s="1"/>
  <c r="X129" i="60"/>
  <c r="AC129" i="60" s="1"/>
  <c r="Y129" i="60"/>
  <c r="Z129" i="60"/>
  <c r="AA129" i="60"/>
  <c r="AB129" i="60"/>
  <c r="AA127" i="60"/>
  <c r="Z127" i="60"/>
  <c r="Y127" i="60"/>
  <c r="X127" i="60"/>
  <c r="AB127" i="60"/>
  <c r="AC127" i="60"/>
  <c r="W127" i="60"/>
  <c r="N128" i="60"/>
  <c r="O128" i="60"/>
  <c r="Q128" i="60"/>
  <c r="S128" i="60"/>
  <c r="V128" i="60" s="1"/>
  <c r="N129" i="60"/>
  <c r="O129" i="60"/>
  <c r="Q129" i="60"/>
  <c r="S129" i="60"/>
  <c r="Q127" i="60"/>
  <c r="O127" i="60"/>
  <c r="S127" i="60"/>
  <c r="N127" i="60"/>
  <c r="F128" i="60"/>
  <c r="G128" i="60"/>
  <c r="H128" i="60"/>
  <c r="I128" i="60"/>
  <c r="J128" i="60"/>
  <c r="F129" i="60"/>
  <c r="K129" i="60" s="1"/>
  <c r="G129" i="60"/>
  <c r="L129" i="60" s="1"/>
  <c r="H129" i="60"/>
  <c r="I129" i="60"/>
  <c r="J129" i="60"/>
  <c r="G127" i="60"/>
  <c r="F127" i="60"/>
  <c r="AV156" i="60"/>
  <c r="AU156" i="60"/>
  <c r="AT156" i="60"/>
  <c r="AS156" i="60"/>
  <c r="AR156" i="60"/>
  <c r="AQ156" i="60"/>
  <c r="AP156" i="60"/>
  <c r="AO156" i="60"/>
  <c r="E156" i="60"/>
  <c r="D156" i="60"/>
  <c r="C156" i="60"/>
  <c r="AJ155" i="60"/>
  <c r="AI155" i="60"/>
  <c r="AH155" i="60"/>
  <c r="AG155" i="60"/>
  <c r="AM81" i="60"/>
  <c r="AL81" i="60"/>
  <c r="AD81" i="60"/>
  <c r="AC81" i="60"/>
  <c r="U81" i="60"/>
  <c r="T81" i="60"/>
  <c r="L81" i="60"/>
  <c r="AN129" i="60"/>
  <c r="AM129" i="60"/>
  <c r="AL129" i="60"/>
  <c r="AN128" i="60"/>
  <c r="AM128" i="60"/>
  <c r="AL128" i="60"/>
  <c r="AL127" i="60"/>
  <c r="AD129" i="60"/>
  <c r="AD128" i="60"/>
  <c r="AC128" i="60"/>
  <c r="AD127" i="60"/>
  <c r="V129" i="60"/>
  <c r="U129" i="60"/>
  <c r="T129" i="60"/>
  <c r="T128" i="60"/>
  <c r="T127" i="60"/>
  <c r="M129" i="60"/>
  <c r="M128" i="60"/>
  <c r="L128" i="60"/>
  <c r="K128" i="60"/>
  <c r="X121" i="60"/>
  <c r="Y121" i="60"/>
  <c r="Z121" i="60"/>
  <c r="AA121" i="60"/>
  <c r="AA120" i="60"/>
  <c r="Z120" i="60"/>
  <c r="Y120" i="60"/>
  <c r="X120" i="60"/>
  <c r="O121" i="60"/>
  <c r="P121" i="60"/>
  <c r="U121" i="60" s="1"/>
  <c r="Q121" i="60"/>
  <c r="R121" i="60"/>
  <c r="R120" i="60"/>
  <c r="Q120" i="60"/>
  <c r="O120" i="60"/>
  <c r="F121" i="60"/>
  <c r="G121" i="60"/>
  <c r="L121" i="60" s="1"/>
  <c r="H121" i="60"/>
  <c r="I121" i="60"/>
  <c r="J121" i="60" s="1"/>
  <c r="I120" i="60"/>
  <c r="L120" i="60" s="1"/>
  <c r="H120" i="60"/>
  <c r="G120" i="60"/>
  <c r="F120" i="60"/>
  <c r="K120" i="60" s="1"/>
  <c r="P120" i="60"/>
  <c r="U120" i="60" s="1"/>
  <c r="AG121" i="60"/>
  <c r="AH121" i="60"/>
  <c r="AM121" i="60" s="1"/>
  <c r="AI121" i="60"/>
  <c r="AJ121" i="60"/>
  <c r="N121" i="60"/>
  <c r="W121" i="60" s="1"/>
  <c r="N120" i="60"/>
  <c r="W120" i="60" s="1"/>
  <c r="AL121" i="60"/>
  <c r="AM120" i="60"/>
  <c r="AL120" i="60"/>
  <c r="AD121" i="60"/>
  <c r="AC121" i="60"/>
  <c r="AD120" i="60"/>
  <c r="AC120" i="60"/>
  <c r="T121" i="60"/>
  <c r="T120" i="60"/>
  <c r="K121" i="60"/>
  <c r="AK114" i="60"/>
  <c r="AK111" i="60"/>
  <c r="AK112" i="60"/>
  <c r="AK113" i="60"/>
  <c r="AK110" i="60"/>
  <c r="AF108" i="60"/>
  <c r="AG108" i="60"/>
  <c r="AH108" i="60"/>
  <c r="AI108" i="60"/>
  <c r="AJ108" i="60"/>
  <c r="AF109" i="60"/>
  <c r="AG109" i="60"/>
  <c r="AL109" i="60" s="1"/>
  <c r="AH109" i="60"/>
  <c r="AI109" i="60"/>
  <c r="AJ109" i="60"/>
  <c r="X114" i="60"/>
  <c r="Y114" i="60"/>
  <c r="Z114" i="60"/>
  <c r="AA114" i="60"/>
  <c r="AB114" i="60"/>
  <c r="X111" i="60"/>
  <c r="Y111" i="60"/>
  <c r="Z111" i="60"/>
  <c r="AB111" i="60" s="1"/>
  <c r="AA111" i="60"/>
  <c r="X112" i="60"/>
  <c r="Y112" i="60"/>
  <c r="Z112" i="60"/>
  <c r="AB112" i="60" s="1"/>
  <c r="AA112" i="60"/>
  <c r="X113" i="60"/>
  <c r="AC113" i="60" s="1"/>
  <c r="Y113" i="60"/>
  <c r="Z113" i="60"/>
  <c r="AB113" i="60" s="1"/>
  <c r="AE113" i="60" s="1"/>
  <c r="AA113" i="60"/>
  <c r="AD113" i="60" s="1"/>
  <c r="AA110" i="60"/>
  <c r="Z110" i="60"/>
  <c r="Y110" i="60"/>
  <c r="X110" i="60"/>
  <c r="AC110" i="60" s="1"/>
  <c r="Y43" i="60"/>
  <c r="Y42" i="60"/>
  <c r="X108" i="60"/>
  <c r="Y108" i="60"/>
  <c r="AD108" i="60" s="1"/>
  <c r="Z108" i="60"/>
  <c r="AA108" i="60"/>
  <c r="X109" i="60"/>
  <c r="AC109" i="60" s="1"/>
  <c r="Y109" i="60"/>
  <c r="Z109" i="60"/>
  <c r="AE109" i="60" s="1"/>
  <c r="AA109" i="60"/>
  <c r="Y107" i="60"/>
  <c r="AA107" i="60"/>
  <c r="Z107" i="60"/>
  <c r="X107" i="60"/>
  <c r="AC107" i="60" s="1"/>
  <c r="AB110" i="60"/>
  <c r="AD110" i="60"/>
  <c r="O111" i="60"/>
  <c r="Q111" i="60"/>
  <c r="S111" i="60" s="1"/>
  <c r="O112" i="60"/>
  <c r="U112" i="60"/>
  <c r="Q112" i="60"/>
  <c r="S112" i="60" s="1"/>
  <c r="O113" i="60"/>
  <c r="Q113" i="60"/>
  <c r="S113" i="60"/>
  <c r="O114" i="60"/>
  <c r="T114" i="60" s="1"/>
  <c r="Q114" i="60"/>
  <c r="S114" i="60"/>
  <c r="Q110" i="60"/>
  <c r="S110" i="60" s="1"/>
  <c r="O110" i="60"/>
  <c r="V109" i="60"/>
  <c r="R109" i="60"/>
  <c r="Q109" i="60"/>
  <c r="P109" i="60"/>
  <c r="O109" i="60"/>
  <c r="R108" i="60"/>
  <c r="Q108" i="60"/>
  <c r="P108" i="60"/>
  <c r="U108" i="60" s="1"/>
  <c r="O108" i="60"/>
  <c r="R107" i="60"/>
  <c r="Q107" i="60"/>
  <c r="O107" i="60"/>
  <c r="P107" i="60"/>
  <c r="F108" i="60"/>
  <c r="G108" i="60"/>
  <c r="H108" i="60"/>
  <c r="I108" i="60"/>
  <c r="J108" i="60" s="1"/>
  <c r="F109" i="60"/>
  <c r="G109" i="60"/>
  <c r="L109" i="60" s="1"/>
  <c r="H109" i="60"/>
  <c r="K109" i="60" s="1"/>
  <c r="I109" i="60"/>
  <c r="J109" i="60"/>
  <c r="F110" i="60"/>
  <c r="G110" i="60"/>
  <c r="H110" i="60"/>
  <c r="I110" i="60"/>
  <c r="J110" i="60"/>
  <c r="F111" i="60"/>
  <c r="K111" i="60" s="1"/>
  <c r="G111" i="60"/>
  <c r="H111" i="60"/>
  <c r="I111" i="60"/>
  <c r="J111" i="60" s="1"/>
  <c r="F112" i="60"/>
  <c r="G112" i="60"/>
  <c r="H112" i="60"/>
  <c r="K112" i="60" s="1"/>
  <c r="I112" i="60"/>
  <c r="J112" i="60" s="1"/>
  <c r="F113" i="60"/>
  <c r="G113" i="60"/>
  <c r="H113" i="60"/>
  <c r="I113" i="60"/>
  <c r="J113" i="60"/>
  <c r="F114" i="60"/>
  <c r="K114" i="60" s="1"/>
  <c r="G114" i="60"/>
  <c r="L114" i="60" s="1"/>
  <c r="H114" i="60"/>
  <c r="I114" i="60"/>
  <c r="J114" i="60" s="1"/>
  <c r="I107" i="60"/>
  <c r="J107" i="60" s="1"/>
  <c r="H107" i="60"/>
  <c r="K107" i="60" s="1"/>
  <c r="G107" i="60"/>
  <c r="F107" i="60"/>
  <c r="AM114" i="60"/>
  <c r="AL114" i="60"/>
  <c r="AN113" i="60"/>
  <c r="AM113" i="60"/>
  <c r="AL113" i="60"/>
  <c r="AM112" i="60"/>
  <c r="AL112" i="60"/>
  <c r="AM111" i="60"/>
  <c r="AL111" i="60"/>
  <c r="AM110" i="60"/>
  <c r="AL110" i="60"/>
  <c r="AN109" i="60"/>
  <c r="AM109" i="60"/>
  <c r="AM108" i="60"/>
  <c r="AL108" i="60"/>
  <c r="AM107" i="60"/>
  <c r="AL107" i="60"/>
  <c r="AD114" i="60"/>
  <c r="AC114" i="60"/>
  <c r="AD112" i="60"/>
  <c r="AC112" i="60"/>
  <c r="AD111" i="60"/>
  <c r="AC111" i="60"/>
  <c r="AD109" i="60"/>
  <c r="AC108" i="60"/>
  <c r="V113" i="60"/>
  <c r="T113" i="60"/>
  <c r="U111" i="60"/>
  <c r="T111" i="60"/>
  <c r="T110" i="60"/>
  <c r="U109" i="60"/>
  <c r="T109" i="60"/>
  <c r="T108" i="60"/>
  <c r="T107" i="60"/>
  <c r="K108" i="60"/>
  <c r="L108" i="60"/>
  <c r="K110" i="60"/>
  <c r="L110" i="60"/>
  <c r="M110" i="60"/>
  <c r="L111" i="60"/>
  <c r="K113" i="60"/>
  <c r="L113" i="60"/>
  <c r="M113" i="60"/>
  <c r="L107" i="60"/>
  <c r="AF110" i="60"/>
  <c r="AF111" i="60"/>
  <c r="AF112" i="60"/>
  <c r="AF113" i="60"/>
  <c r="AF107" i="60"/>
  <c r="W108" i="60"/>
  <c r="W109" i="60"/>
  <c r="W110" i="60"/>
  <c r="W111" i="60"/>
  <c r="W112" i="60"/>
  <c r="W113" i="60"/>
  <c r="W107" i="60"/>
  <c r="AF114" i="60"/>
  <c r="W114" i="60"/>
  <c r="N108" i="60"/>
  <c r="N109" i="60"/>
  <c r="N110" i="60"/>
  <c r="N111" i="60"/>
  <c r="N112" i="60"/>
  <c r="N113" i="60"/>
  <c r="N114" i="60"/>
  <c r="N107" i="60"/>
  <c r="AN95" i="60"/>
  <c r="AJ95" i="60"/>
  <c r="AI95" i="60"/>
  <c r="AH95" i="60"/>
  <c r="AG95" i="60"/>
  <c r="AJ97" i="60"/>
  <c r="AI97" i="60"/>
  <c r="AH97" i="60"/>
  <c r="AG97" i="60"/>
  <c r="AG99" i="60"/>
  <c r="AH99" i="60"/>
  <c r="AI99" i="60"/>
  <c r="AJ99" i="60"/>
  <c r="AK99" i="60"/>
  <c r="AG100" i="60"/>
  <c r="AH100" i="60"/>
  <c r="AI100" i="60"/>
  <c r="AK100" i="60" s="1"/>
  <c r="AJ100" i="60"/>
  <c r="AG101" i="60"/>
  <c r="AH101" i="60"/>
  <c r="AI101" i="60"/>
  <c r="AJ101" i="60"/>
  <c r="AK101" i="60"/>
  <c r="AJ98" i="60"/>
  <c r="AI98" i="60"/>
  <c r="AK98" i="60" s="1"/>
  <c r="AH98" i="60"/>
  <c r="AG98" i="60"/>
  <c r="AJ96" i="60"/>
  <c r="AI96" i="60"/>
  <c r="AK96" i="60" s="1"/>
  <c r="AH96" i="60"/>
  <c r="AG96" i="60"/>
  <c r="AJ83" i="60"/>
  <c r="AJ84" i="60"/>
  <c r="AJ85" i="60"/>
  <c r="AJ86" i="60"/>
  <c r="AJ87" i="60"/>
  <c r="AJ88" i="60"/>
  <c r="AJ82" i="60"/>
  <c r="AJ94" i="60"/>
  <c r="AI94" i="60"/>
  <c r="AL94" i="60" s="1"/>
  <c r="AH94" i="60"/>
  <c r="AG94" i="60"/>
  <c r="AF95" i="60"/>
  <c r="AF96" i="60"/>
  <c r="AF97" i="60"/>
  <c r="AF98" i="60"/>
  <c r="AF99" i="60"/>
  <c r="AN99" i="60" s="1"/>
  <c r="AF100" i="60"/>
  <c r="AF101" i="60"/>
  <c r="AF94" i="60"/>
  <c r="AE97" i="60"/>
  <c r="AA97" i="60"/>
  <c r="Z97" i="60"/>
  <c r="Y97" i="60"/>
  <c r="X97" i="60"/>
  <c r="AA95" i="60"/>
  <c r="Z95" i="60"/>
  <c r="Y95" i="60"/>
  <c r="X95" i="60"/>
  <c r="W97" i="60"/>
  <c r="W95" i="60"/>
  <c r="W96" i="60"/>
  <c r="X96" i="60"/>
  <c r="AC96" i="60" s="1"/>
  <c r="Y96" i="60"/>
  <c r="Z96" i="60"/>
  <c r="AA96" i="60"/>
  <c r="AB96" i="60"/>
  <c r="W98" i="60"/>
  <c r="X98" i="60"/>
  <c r="Y98" i="60"/>
  <c r="AD98" i="60" s="1"/>
  <c r="Z98" i="60"/>
  <c r="AC98" i="60" s="1"/>
  <c r="AA98" i="60"/>
  <c r="W99" i="60"/>
  <c r="X99" i="60"/>
  <c r="Y99" i="60"/>
  <c r="Z99" i="60"/>
  <c r="AA99" i="60"/>
  <c r="AD99" i="60" s="1"/>
  <c r="AB99" i="60"/>
  <c r="W100" i="60"/>
  <c r="X100" i="60"/>
  <c r="AC100" i="60" s="1"/>
  <c r="Y100" i="60"/>
  <c r="Z100" i="60"/>
  <c r="AA100" i="60"/>
  <c r="AB100" i="60"/>
  <c r="W101" i="60"/>
  <c r="X101" i="60"/>
  <c r="AC101" i="60" s="1"/>
  <c r="Y101" i="60"/>
  <c r="AD101" i="60" s="1"/>
  <c r="Z101" i="60"/>
  <c r="AB101" i="60" s="1"/>
  <c r="AA101" i="60"/>
  <c r="AA94" i="60"/>
  <c r="Z94" i="60"/>
  <c r="AB94" i="60" s="1"/>
  <c r="AE94" i="60" s="1"/>
  <c r="Y94" i="60"/>
  <c r="X94" i="60"/>
  <c r="W94" i="60"/>
  <c r="R97" i="60"/>
  <c r="Q97" i="60"/>
  <c r="O97" i="60"/>
  <c r="T97" i="60" s="1"/>
  <c r="AN63" i="60"/>
  <c r="S63" i="60"/>
  <c r="V63" i="60" s="1"/>
  <c r="R95" i="60"/>
  <c r="Q95" i="60"/>
  <c r="O95" i="60"/>
  <c r="N97" i="60"/>
  <c r="N95" i="60"/>
  <c r="P95" i="60"/>
  <c r="U95" i="60" s="1"/>
  <c r="R101" i="60"/>
  <c r="Q101" i="60"/>
  <c r="S101" i="60" s="1"/>
  <c r="V101" i="60" s="1"/>
  <c r="O101" i="60"/>
  <c r="P101" i="60" s="1"/>
  <c r="U101" i="60" s="1"/>
  <c r="N101" i="60"/>
  <c r="S100" i="60"/>
  <c r="R100" i="60"/>
  <c r="U100" i="60" s="1"/>
  <c r="Q100" i="60"/>
  <c r="P100" i="60"/>
  <c r="O100" i="60"/>
  <c r="N100" i="60"/>
  <c r="R99" i="60"/>
  <c r="Q99" i="60"/>
  <c r="S99" i="60" s="1"/>
  <c r="V99" i="60" s="1"/>
  <c r="P99" i="60"/>
  <c r="U99" i="60" s="1"/>
  <c r="O99" i="60"/>
  <c r="N99" i="60"/>
  <c r="R98" i="60"/>
  <c r="Q98" i="60"/>
  <c r="S98" i="60" s="1"/>
  <c r="O98" i="60"/>
  <c r="P98" i="60" s="1"/>
  <c r="U98" i="60" s="1"/>
  <c r="N98" i="60"/>
  <c r="V98" i="60" s="1"/>
  <c r="S96" i="60"/>
  <c r="R96" i="60"/>
  <c r="Q96" i="60"/>
  <c r="O96" i="60"/>
  <c r="P96" i="60" s="1"/>
  <c r="U96" i="60" s="1"/>
  <c r="N96" i="60"/>
  <c r="V96" i="60" s="1"/>
  <c r="R94" i="60"/>
  <c r="Q94" i="60"/>
  <c r="S94" i="60" s="1"/>
  <c r="V94" i="60" s="1"/>
  <c r="O94" i="60"/>
  <c r="P94" i="60" s="1"/>
  <c r="U94" i="60" s="1"/>
  <c r="N94" i="60"/>
  <c r="AN101" i="60"/>
  <c r="AM101" i="60"/>
  <c r="AL101" i="60"/>
  <c r="AN100" i="60"/>
  <c r="AM100" i="60"/>
  <c r="AM99" i="60"/>
  <c r="AL99" i="60"/>
  <c r="AN98" i="60"/>
  <c r="AM98" i="60"/>
  <c r="AL98" i="60"/>
  <c r="AL97" i="60"/>
  <c r="AN96" i="60"/>
  <c r="AM96" i="60"/>
  <c r="AL96" i="60"/>
  <c r="AM95" i="60"/>
  <c r="AL95" i="60"/>
  <c r="AM94" i="60"/>
  <c r="AE100" i="60"/>
  <c r="AD100" i="60"/>
  <c r="AE99" i="60"/>
  <c r="AC99" i="60"/>
  <c r="AE98" i="60"/>
  <c r="AD97" i="60"/>
  <c r="AC97" i="60"/>
  <c r="AE96" i="60"/>
  <c r="AD96" i="60"/>
  <c r="T101" i="60"/>
  <c r="V100" i="60"/>
  <c r="T100" i="60"/>
  <c r="T99" i="60"/>
  <c r="T98" i="60"/>
  <c r="V97" i="60"/>
  <c r="I97" i="60"/>
  <c r="J97" i="60" s="1"/>
  <c r="H97" i="60"/>
  <c r="G97" i="60"/>
  <c r="L97" i="60" s="1"/>
  <c r="F97" i="60"/>
  <c r="I95" i="60"/>
  <c r="J95" i="60" s="1"/>
  <c r="H95" i="60"/>
  <c r="G95" i="60"/>
  <c r="L95" i="60" s="1"/>
  <c r="F95" i="60"/>
  <c r="I101" i="60"/>
  <c r="J101" i="60" s="1"/>
  <c r="M101" i="60" s="1"/>
  <c r="H101" i="60"/>
  <c r="G101" i="60"/>
  <c r="F101" i="60"/>
  <c r="I100" i="60"/>
  <c r="J100" i="60" s="1"/>
  <c r="M100" i="60" s="1"/>
  <c r="H100" i="60"/>
  <c r="K100" i="60" s="1"/>
  <c r="G100" i="60"/>
  <c r="F100" i="60"/>
  <c r="I99" i="60"/>
  <c r="J99" i="60" s="1"/>
  <c r="M99" i="60" s="1"/>
  <c r="H99" i="60"/>
  <c r="G99" i="60"/>
  <c r="F99" i="60"/>
  <c r="K99" i="60" s="1"/>
  <c r="J98" i="60"/>
  <c r="M98" i="60" s="1"/>
  <c r="I98" i="60"/>
  <c r="H98" i="60"/>
  <c r="G98" i="60"/>
  <c r="F98" i="60"/>
  <c r="I96" i="60"/>
  <c r="J96" i="60" s="1"/>
  <c r="M96" i="60" s="1"/>
  <c r="H96" i="60"/>
  <c r="G96" i="60"/>
  <c r="F96" i="60"/>
  <c r="K96" i="60" s="1"/>
  <c r="L96" i="60"/>
  <c r="K97" i="60"/>
  <c r="K98" i="60"/>
  <c r="L98" i="60"/>
  <c r="L99" i="60"/>
  <c r="L100" i="60"/>
  <c r="K101" i="60"/>
  <c r="L101" i="60"/>
  <c r="M94" i="60"/>
  <c r="L94" i="60"/>
  <c r="K94" i="60"/>
  <c r="I94" i="60"/>
  <c r="J94" i="60" s="1"/>
  <c r="H94" i="60"/>
  <c r="G94" i="60"/>
  <c r="F94" i="60"/>
  <c r="AG83" i="60"/>
  <c r="AH83" i="60"/>
  <c r="AI83" i="60"/>
  <c r="AK83" i="60"/>
  <c r="AG84" i="60"/>
  <c r="AH84" i="60"/>
  <c r="AI84" i="60"/>
  <c r="AK84" i="60" s="1"/>
  <c r="AN84" i="60" s="1"/>
  <c r="AG85" i="60"/>
  <c r="AH85" i="60"/>
  <c r="AI85" i="60"/>
  <c r="AK85" i="60" s="1"/>
  <c r="AN85" i="60" s="1"/>
  <c r="AM85" i="60"/>
  <c r="AG86" i="60"/>
  <c r="AL86" i="60" s="1"/>
  <c r="AH86" i="60"/>
  <c r="AI86" i="60"/>
  <c r="AK86" i="60" s="1"/>
  <c r="AG87" i="60"/>
  <c r="AL87" i="60" s="1"/>
  <c r="AH87" i="60"/>
  <c r="AM87" i="60" s="1"/>
  <c r="AI87" i="60"/>
  <c r="AK87" i="60"/>
  <c r="AG88" i="60"/>
  <c r="AH88" i="60"/>
  <c r="AI88" i="60"/>
  <c r="AK88" i="60"/>
  <c r="AN88" i="60" s="1"/>
  <c r="AI82" i="60"/>
  <c r="AK82" i="60" s="1"/>
  <c r="AH82" i="60"/>
  <c r="AG82" i="60"/>
  <c r="AL82" i="60" s="1"/>
  <c r="X83" i="60"/>
  <c r="Y83" i="60"/>
  <c r="Z83" i="60"/>
  <c r="AA83" i="60"/>
  <c r="AB83" i="60"/>
  <c r="X84" i="60"/>
  <c r="Y84" i="60"/>
  <c r="Z84" i="60"/>
  <c r="AB84" i="60" s="1"/>
  <c r="AE84" i="60" s="1"/>
  <c r="AA84" i="60"/>
  <c r="AD84" i="60" s="1"/>
  <c r="X85" i="60"/>
  <c r="Y85" i="60"/>
  <c r="AD85" i="60" s="1"/>
  <c r="Z85" i="60"/>
  <c r="AB85" i="60" s="1"/>
  <c r="AE85" i="60" s="1"/>
  <c r="AA85" i="60"/>
  <c r="X86" i="60"/>
  <c r="AC86" i="60" s="1"/>
  <c r="Y86" i="60"/>
  <c r="AD86" i="60" s="1"/>
  <c r="Z86" i="60"/>
  <c r="AA86" i="60"/>
  <c r="AB86" i="60"/>
  <c r="X87" i="60"/>
  <c r="Y87" i="60"/>
  <c r="Z87" i="60"/>
  <c r="AA87" i="60"/>
  <c r="AD87" i="60" s="1"/>
  <c r="AB87" i="60"/>
  <c r="AE87" i="60" s="1"/>
  <c r="X88" i="60"/>
  <c r="Y88" i="60"/>
  <c r="Z88" i="60"/>
  <c r="AC88" i="60" s="1"/>
  <c r="AA88" i="60"/>
  <c r="AA82" i="60"/>
  <c r="AD82" i="60" s="1"/>
  <c r="Z82" i="60"/>
  <c r="AB82" i="60" s="1"/>
  <c r="Y82" i="60"/>
  <c r="X82" i="60"/>
  <c r="AM88" i="60"/>
  <c r="AL88" i="60"/>
  <c r="AN87" i="60"/>
  <c r="AN86" i="60"/>
  <c r="AM86" i="60"/>
  <c r="AL85" i="60"/>
  <c r="AM84" i="60"/>
  <c r="AL84" i="60"/>
  <c r="AN83" i="60"/>
  <c r="AM83" i="60"/>
  <c r="AL83" i="60"/>
  <c r="AN82" i="60"/>
  <c r="AD88" i="60"/>
  <c r="AC87" i="60"/>
  <c r="AE86" i="60"/>
  <c r="AC85" i="60"/>
  <c r="AE83" i="60"/>
  <c r="AD83" i="60"/>
  <c r="AC83" i="60"/>
  <c r="AE82" i="60"/>
  <c r="O83" i="60"/>
  <c r="P83" i="60" s="1"/>
  <c r="U83" i="60" s="1"/>
  <c r="Q83" i="60"/>
  <c r="S83" i="60" s="1"/>
  <c r="R83" i="60"/>
  <c r="O84" i="60"/>
  <c r="P84" i="60"/>
  <c r="Q84" i="60"/>
  <c r="S84" i="60" s="1"/>
  <c r="V84" i="60" s="1"/>
  <c r="R84" i="60"/>
  <c r="O85" i="60"/>
  <c r="P85" i="60"/>
  <c r="U85" i="60" s="1"/>
  <c r="Q85" i="60"/>
  <c r="R85" i="60"/>
  <c r="S85" i="60"/>
  <c r="O86" i="60"/>
  <c r="P86" i="60" s="1"/>
  <c r="U86" i="60" s="1"/>
  <c r="Q86" i="60"/>
  <c r="R86" i="60"/>
  <c r="S86" i="60"/>
  <c r="O87" i="60"/>
  <c r="P87" i="60" s="1"/>
  <c r="Q87" i="60"/>
  <c r="S87" i="60" s="1"/>
  <c r="V87" i="60" s="1"/>
  <c r="R87" i="60"/>
  <c r="O88" i="60"/>
  <c r="P88" i="60" s="1"/>
  <c r="U88" i="60" s="1"/>
  <c r="Q88" i="60"/>
  <c r="S88" i="60" s="1"/>
  <c r="V88" i="60" s="1"/>
  <c r="R88" i="60"/>
  <c r="S82" i="60"/>
  <c r="R82" i="60"/>
  <c r="Q82" i="60"/>
  <c r="O82" i="60"/>
  <c r="V85" i="60"/>
  <c r="T87" i="60"/>
  <c r="T88" i="60"/>
  <c r="V86" i="60"/>
  <c r="T85" i="60"/>
  <c r="U84" i="60"/>
  <c r="T84" i="60"/>
  <c r="V83" i="60"/>
  <c r="T83" i="60"/>
  <c r="V82" i="60"/>
  <c r="J83" i="60"/>
  <c r="M83" i="60" s="1"/>
  <c r="J84" i="60"/>
  <c r="J85" i="60"/>
  <c r="J86" i="60"/>
  <c r="J87" i="60"/>
  <c r="J88" i="60"/>
  <c r="F83" i="60"/>
  <c r="G83" i="60"/>
  <c r="L83" i="60" s="1"/>
  <c r="H83" i="60"/>
  <c r="I83" i="60"/>
  <c r="F84" i="60"/>
  <c r="G84" i="60"/>
  <c r="L84" i="60" s="1"/>
  <c r="H84" i="60"/>
  <c r="I84" i="60"/>
  <c r="F85" i="60"/>
  <c r="G85" i="60"/>
  <c r="L85" i="60" s="1"/>
  <c r="H85" i="60"/>
  <c r="I85" i="60"/>
  <c r="F86" i="60"/>
  <c r="G86" i="60"/>
  <c r="L86" i="60" s="1"/>
  <c r="H86" i="60"/>
  <c r="I86" i="60"/>
  <c r="F87" i="60"/>
  <c r="G87" i="60"/>
  <c r="L87" i="60" s="1"/>
  <c r="H87" i="60"/>
  <c r="I87" i="60"/>
  <c r="F88" i="60"/>
  <c r="G88" i="60"/>
  <c r="L88" i="60" s="1"/>
  <c r="H88" i="60"/>
  <c r="I88" i="60"/>
  <c r="I82" i="60"/>
  <c r="H82" i="60"/>
  <c r="G82" i="60"/>
  <c r="F82" i="60"/>
  <c r="K82" i="60" s="1"/>
  <c r="J82" i="60"/>
  <c r="M82" i="60" s="1"/>
  <c r="L82" i="60"/>
  <c r="M84" i="60"/>
  <c r="M85" i="60"/>
  <c r="M86" i="60"/>
  <c r="M87" i="60"/>
  <c r="M88" i="60"/>
  <c r="K88" i="60"/>
  <c r="K87" i="60"/>
  <c r="K86" i="60"/>
  <c r="K85" i="60"/>
  <c r="K84" i="60"/>
  <c r="K83" i="60"/>
  <c r="AF83" i="60"/>
  <c r="AF84" i="60"/>
  <c r="AF85" i="60"/>
  <c r="AF86" i="60"/>
  <c r="AF87" i="60"/>
  <c r="AF88" i="60"/>
  <c r="AF82" i="60"/>
  <c r="W83" i="60"/>
  <c r="W84" i="60"/>
  <c r="W85" i="60"/>
  <c r="W86" i="60"/>
  <c r="W87" i="60"/>
  <c r="W88" i="60"/>
  <c r="W82" i="60"/>
  <c r="N83" i="60"/>
  <c r="N84" i="60"/>
  <c r="N85" i="60"/>
  <c r="N86" i="60"/>
  <c r="N87" i="60"/>
  <c r="N88" i="60"/>
  <c r="N82" i="60"/>
  <c r="AK76" i="60"/>
  <c r="AK75" i="60"/>
  <c r="AK74" i="60"/>
  <c r="AK73" i="60"/>
  <c r="AK72" i="60"/>
  <c r="AK71" i="60"/>
  <c r="AK70" i="60"/>
  <c r="AK69" i="60"/>
  <c r="AK68" i="60"/>
  <c r="AK67" i="60"/>
  <c r="AK66" i="60"/>
  <c r="AK65" i="60"/>
  <c r="AK64" i="60"/>
  <c r="AK58" i="60"/>
  <c r="AK59" i="60"/>
  <c r="AN59" i="60" s="1"/>
  <c r="AK60" i="60"/>
  <c r="AK61" i="60"/>
  <c r="AK62" i="60"/>
  <c r="AK57" i="60"/>
  <c r="AN43" i="60"/>
  <c r="AE63" i="60"/>
  <c r="AA63" i="60"/>
  <c r="Z63" i="60"/>
  <c r="AC63" i="60" s="1"/>
  <c r="Y63" i="60"/>
  <c r="X58" i="60"/>
  <c r="Y58" i="60"/>
  <c r="Z58" i="60"/>
  <c r="AB58" i="60" s="1"/>
  <c r="AE58" i="60" s="1"/>
  <c r="AA58" i="60"/>
  <c r="X59" i="60"/>
  <c r="AC59" i="60" s="1"/>
  <c r="Y59" i="60"/>
  <c r="Z59" i="60"/>
  <c r="AB59" i="60" s="1"/>
  <c r="AE59" i="60" s="1"/>
  <c r="AA59" i="60"/>
  <c r="X60" i="60"/>
  <c r="Y60" i="60"/>
  <c r="Z60" i="60"/>
  <c r="AB60" i="60" s="1"/>
  <c r="AE60" i="60" s="1"/>
  <c r="AA60" i="60"/>
  <c r="AD60" i="60" s="1"/>
  <c r="X61" i="60"/>
  <c r="Y61" i="60"/>
  <c r="Z61" i="60"/>
  <c r="AA61" i="60"/>
  <c r="AB61" i="60"/>
  <c r="X62" i="60"/>
  <c r="Y62" i="60"/>
  <c r="AD62" i="60" s="1"/>
  <c r="Z62" i="60"/>
  <c r="AB62" i="60" s="1"/>
  <c r="AA62" i="60"/>
  <c r="X63" i="60"/>
  <c r="X64" i="60"/>
  <c r="Y64" i="60"/>
  <c r="AD64" i="60" s="1"/>
  <c r="Z64" i="60"/>
  <c r="AB64" i="60" s="1"/>
  <c r="AE64" i="60" s="1"/>
  <c r="AA64" i="60"/>
  <c r="X65" i="60"/>
  <c r="Y65" i="60"/>
  <c r="Z65" i="60"/>
  <c r="AC65" i="60" s="1"/>
  <c r="AA65" i="60"/>
  <c r="X66" i="60"/>
  <c r="Y66" i="60"/>
  <c r="Z66" i="60"/>
  <c r="AA66" i="60"/>
  <c r="AB66" i="60"/>
  <c r="X67" i="60"/>
  <c r="AC67" i="60" s="1"/>
  <c r="Y67" i="60"/>
  <c r="Z67" i="60"/>
  <c r="AB67" i="60" s="1"/>
  <c r="AA67" i="60"/>
  <c r="X68" i="60"/>
  <c r="Y68" i="60"/>
  <c r="Z68" i="60"/>
  <c r="AB68" i="60" s="1"/>
  <c r="AE68" i="60" s="1"/>
  <c r="AA68" i="60"/>
  <c r="AD68" i="60" s="1"/>
  <c r="X69" i="60"/>
  <c r="AC69" i="60" s="1"/>
  <c r="Y69" i="60"/>
  <c r="Z69" i="60"/>
  <c r="AA69" i="60"/>
  <c r="AB69" i="60"/>
  <c r="X70" i="60"/>
  <c r="Y70" i="60"/>
  <c r="AD70" i="60" s="1"/>
  <c r="Z70" i="60"/>
  <c r="AA70" i="60"/>
  <c r="AB70" i="60"/>
  <c r="X71" i="60"/>
  <c r="Y71" i="60"/>
  <c r="Z71" i="60"/>
  <c r="AA71" i="60"/>
  <c r="AB71" i="60"/>
  <c r="AE71" i="60" s="1"/>
  <c r="X72" i="60"/>
  <c r="Y72" i="60"/>
  <c r="AD72" i="60" s="1"/>
  <c r="Z72" i="60"/>
  <c r="AB72" i="60" s="1"/>
  <c r="AE72" i="60" s="1"/>
  <c r="AA72" i="60"/>
  <c r="X73" i="60"/>
  <c r="Y73" i="60"/>
  <c r="Z73" i="60"/>
  <c r="AC73" i="60" s="1"/>
  <c r="AA73" i="60"/>
  <c r="X74" i="60"/>
  <c r="Y74" i="60"/>
  <c r="Z74" i="60"/>
  <c r="AA74" i="60"/>
  <c r="AB74" i="60"/>
  <c r="X75" i="60"/>
  <c r="AC75" i="60" s="1"/>
  <c r="Y75" i="60"/>
  <c r="Z75" i="60"/>
  <c r="AB75" i="60" s="1"/>
  <c r="AA75" i="60"/>
  <c r="X76" i="60"/>
  <c r="Y76" i="60"/>
  <c r="Z76" i="60"/>
  <c r="AB76" i="60" s="1"/>
  <c r="AA76" i="60"/>
  <c r="AA57" i="60"/>
  <c r="Z57" i="60"/>
  <c r="AB57" i="60" s="1"/>
  <c r="AE57" i="60" s="1"/>
  <c r="Y57" i="60"/>
  <c r="X57" i="60"/>
  <c r="AC57" i="60" s="1"/>
  <c r="R63" i="60"/>
  <c r="P63" i="60"/>
  <c r="O58" i="60"/>
  <c r="P58" i="60" s="1"/>
  <c r="U58" i="60" s="1"/>
  <c r="Q58" i="60"/>
  <c r="R58" i="60"/>
  <c r="S58" i="60"/>
  <c r="O59" i="60"/>
  <c r="P59" i="60" s="1"/>
  <c r="U59" i="60" s="1"/>
  <c r="Q59" i="60"/>
  <c r="S59" i="60" s="1"/>
  <c r="V59" i="60" s="1"/>
  <c r="R59" i="60"/>
  <c r="O60" i="60"/>
  <c r="P60" i="60"/>
  <c r="Q60" i="60"/>
  <c r="R60" i="60"/>
  <c r="S60" i="60"/>
  <c r="V60" i="60" s="1"/>
  <c r="O61" i="60"/>
  <c r="P61" i="60" s="1"/>
  <c r="U61" i="60" s="1"/>
  <c r="Q61" i="60"/>
  <c r="S61" i="60" s="1"/>
  <c r="V61" i="60" s="1"/>
  <c r="R61" i="60"/>
  <c r="O62" i="60"/>
  <c r="P62" i="60"/>
  <c r="Q62" i="60"/>
  <c r="R62" i="60"/>
  <c r="U62" i="60" s="1"/>
  <c r="S62" i="60"/>
  <c r="O63" i="60"/>
  <c r="Q63" i="60"/>
  <c r="O64" i="60"/>
  <c r="T64" i="60" s="1"/>
  <c r="P64" i="60"/>
  <c r="Q64" i="60"/>
  <c r="S64" i="60" s="1"/>
  <c r="V64" i="60" s="1"/>
  <c r="R64" i="60"/>
  <c r="O65" i="60"/>
  <c r="P65" i="60"/>
  <c r="Q65" i="60"/>
  <c r="R65" i="60"/>
  <c r="U65" i="60" s="1"/>
  <c r="S65" i="60"/>
  <c r="V65" i="60" s="1"/>
  <c r="O66" i="60"/>
  <c r="P66" i="60" s="1"/>
  <c r="U66" i="60" s="1"/>
  <c r="Q66" i="60"/>
  <c r="R66" i="60"/>
  <c r="S66" i="60"/>
  <c r="O67" i="60"/>
  <c r="P67" i="60"/>
  <c r="Q67" i="60"/>
  <c r="S67" i="60" s="1"/>
  <c r="R67" i="60"/>
  <c r="O68" i="60"/>
  <c r="P68" i="60"/>
  <c r="Q68" i="60"/>
  <c r="R68" i="60"/>
  <c r="U68" i="60" s="1"/>
  <c r="S68" i="60"/>
  <c r="V68" i="60" s="1"/>
  <c r="O69" i="60"/>
  <c r="T69" i="60" s="1"/>
  <c r="P69" i="60"/>
  <c r="U69" i="60" s="1"/>
  <c r="Q69" i="60"/>
  <c r="S69" i="60" s="1"/>
  <c r="V69" i="60" s="1"/>
  <c r="R69" i="60"/>
  <c r="O70" i="60"/>
  <c r="P70" i="60"/>
  <c r="Q70" i="60"/>
  <c r="R70" i="60"/>
  <c r="U70" i="60" s="1"/>
  <c r="S70" i="60"/>
  <c r="V70" i="60" s="1"/>
  <c r="O71" i="60"/>
  <c r="P71" i="60" s="1"/>
  <c r="U71" i="60" s="1"/>
  <c r="Q71" i="60"/>
  <c r="R71" i="60"/>
  <c r="S71" i="60"/>
  <c r="V71" i="60" s="1"/>
  <c r="O72" i="60"/>
  <c r="T72" i="60" s="1"/>
  <c r="P72" i="60"/>
  <c r="Q72" i="60"/>
  <c r="S72" i="60" s="1"/>
  <c r="V72" i="60" s="1"/>
  <c r="R72" i="60"/>
  <c r="O73" i="60"/>
  <c r="P73" i="60"/>
  <c r="Q73" i="60"/>
  <c r="R73" i="60"/>
  <c r="U73" i="60" s="1"/>
  <c r="S73" i="60"/>
  <c r="V73" i="60" s="1"/>
  <c r="O74" i="60"/>
  <c r="P74" i="60" s="1"/>
  <c r="U74" i="60" s="1"/>
  <c r="Q74" i="60"/>
  <c r="R74" i="60"/>
  <c r="S74" i="60"/>
  <c r="O75" i="60"/>
  <c r="P75" i="60"/>
  <c r="Q75" i="60"/>
  <c r="S75" i="60" s="1"/>
  <c r="R75" i="60"/>
  <c r="O76" i="60"/>
  <c r="P76" i="60"/>
  <c r="Q76" i="60"/>
  <c r="R76" i="60"/>
  <c r="S76" i="60"/>
  <c r="S57" i="60"/>
  <c r="R57" i="60"/>
  <c r="Q57" i="60"/>
  <c r="P57" i="60"/>
  <c r="O57" i="60"/>
  <c r="T57" i="60" s="1"/>
  <c r="AN76" i="60"/>
  <c r="AM76" i="60"/>
  <c r="AL76" i="60"/>
  <c r="AN75" i="60"/>
  <c r="AM75" i="60"/>
  <c r="AL75" i="60"/>
  <c r="AN74" i="60"/>
  <c r="AM74" i="60"/>
  <c r="AL74" i="60"/>
  <c r="AN73" i="60"/>
  <c r="AM73" i="60"/>
  <c r="AL73" i="60"/>
  <c r="AN72" i="60"/>
  <c r="AM72" i="60"/>
  <c r="AL72" i="60"/>
  <c r="AN71" i="60"/>
  <c r="AM71" i="60"/>
  <c r="AL71" i="60"/>
  <c r="AN70" i="60"/>
  <c r="AM70" i="60"/>
  <c r="AL70" i="60"/>
  <c r="AN69" i="60"/>
  <c r="AM69" i="60"/>
  <c r="AL69" i="60"/>
  <c r="AN68" i="60"/>
  <c r="AM68" i="60"/>
  <c r="AL68" i="60"/>
  <c r="AN67" i="60"/>
  <c r="AM67" i="60"/>
  <c r="AL67" i="60"/>
  <c r="AN66" i="60"/>
  <c r="AM66" i="60"/>
  <c r="AL66" i="60"/>
  <c r="AN65" i="60"/>
  <c r="AM65" i="60"/>
  <c r="AL65" i="60"/>
  <c r="AN64" i="60"/>
  <c r="AM64" i="60"/>
  <c r="AL64" i="60"/>
  <c r="AM63" i="60"/>
  <c r="AL63" i="60"/>
  <c r="AN62" i="60"/>
  <c r="AM62" i="60"/>
  <c r="AL62" i="60"/>
  <c r="AN61" i="60"/>
  <c r="AM61" i="60"/>
  <c r="AL61" i="60"/>
  <c r="AN60" i="60"/>
  <c r="AM60" i="60"/>
  <c r="AL60" i="60"/>
  <c r="AM59" i="60"/>
  <c r="AL59" i="60"/>
  <c r="AN58" i="60"/>
  <c r="AM58" i="60"/>
  <c r="AL58" i="60"/>
  <c r="AN57" i="60"/>
  <c r="AM57" i="60"/>
  <c r="AE76" i="60"/>
  <c r="AD76" i="60"/>
  <c r="AC76" i="60"/>
  <c r="AE75" i="60"/>
  <c r="AD75" i="60"/>
  <c r="AE74" i="60"/>
  <c r="AD74" i="60"/>
  <c r="AC74" i="60"/>
  <c r="AD73" i="60"/>
  <c r="AC72" i="60"/>
  <c r="AD71" i="60"/>
  <c r="AC71" i="60"/>
  <c r="AE70" i="60"/>
  <c r="AC70" i="60"/>
  <c r="AE69" i="60"/>
  <c r="AD69" i="60"/>
  <c r="AC68" i="60"/>
  <c r="AE67" i="60"/>
  <c r="AD67" i="60"/>
  <c r="AE66" i="60"/>
  <c r="AD66" i="60"/>
  <c r="AC66" i="60"/>
  <c r="AD65" i="60"/>
  <c r="AC64" i="60"/>
  <c r="AE62" i="60"/>
  <c r="AC62" i="60"/>
  <c r="AE61" i="60"/>
  <c r="AD61" i="60"/>
  <c r="AC61" i="60"/>
  <c r="AC60" i="60"/>
  <c r="AD59" i="60"/>
  <c r="AD58" i="60"/>
  <c r="AC58" i="60"/>
  <c r="V76" i="60"/>
  <c r="U76" i="60"/>
  <c r="T76" i="60"/>
  <c r="V75" i="60"/>
  <c r="U75" i="60"/>
  <c r="T75" i="60"/>
  <c r="V74" i="60"/>
  <c r="T73" i="60"/>
  <c r="U72" i="60"/>
  <c r="T71" i="60"/>
  <c r="T70" i="60"/>
  <c r="T68" i="60"/>
  <c r="V67" i="60"/>
  <c r="U67" i="60"/>
  <c r="T67" i="60"/>
  <c r="V66" i="60"/>
  <c r="T65" i="60"/>
  <c r="U64" i="60"/>
  <c r="T63" i="60"/>
  <c r="V62" i="60"/>
  <c r="T62" i="60"/>
  <c r="U60" i="60"/>
  <c r="T60" i="60"/>
  <c r="T59" i="60"/>
  <c r="V58" i="60"/>
  <c r="T58" i="60"/>
  <c r="V57" i="60"/>
  <c r="AF58" i="60"/>
  <c r="AF59" i="60"/>
  <c r="AF60" i="60"/>
  <c r="AF61" i="60"/>
  <c r="AF62" i="60"/>
  <c r="AF63" i="60"/>
  <c r="AF64" i="60"/>
  <c r="AF65" i="60"/>
  <c r="AF66" i="60"/>
  <c r="AF67" i="60"/>
  <c r="AF68" i="60"/>
  <c r="AF69" i="60"/>
  <c r="AF70" i="60"/>
  <c r="AF71" i="60"/>
  <c r="AF72" i="60"/>
  <c r="AF73" i="60"/>
  <c r="AF74" i="60"/>
  <c r="AF75" i="60"/>
  <c r="AF76" i="60"/>
  <c r="W58" i="60"/>
  <c r="W59" i="60"/>
  <c r="W60" i="60"/>
  <c r="W61" i="60"/>
  <c r="W62" i="60"/>
  <c r="W63" i="60"/>
  <c r="W64" i="60"/>
  <c r="W65" i="60"/>
  <c r="W66" i="60"/>
  <c r="W67" i="60"/>
  <c r="W68" i="60"/>
  <c r="W69" i="60"/>
  <c r="W70" i="60"/>
  <c r="W71" i="60"/>
  <c r="W72" i="60"/>
  <c r="W73" i="60"/>
  <c r="W74" i="60"/>
  <c r="W75" i="60"/>
  <c r="W76" i="60"/>
  <c r="N58" i="60"/>
  <c r="N59" i="60"/>
  <c r="N60" i="60"/>
  <c r="N61" i="60"/>
  <c r="N62" i="60"/>
  <c r="N63" i="60"/>
  <c r="N64" i="60"/>
  <c r="N65" i="60"/>
  <c r="N66" i="60"/>
  <c r="N67" i="60"/>
  <c r="N68" i="60"/>
  <c r="N69" i="60"/>
  <c r="N70" i="60"/>
  <c r="N71" i="60"/>
  <c r="N72" i="60"/>
  <c r="N73" i="60"/>
  <c r="N74" i="60"/>
  <c r="N75" i="60"/>
  <c r="N76" i="60"/>
  <c r="AF57" i="60"/>
  <c r="W57" i="60"/>
  <c r="N57" i="60"/>
  <c r="J58" i="60"/>
  <c r="J59" i="60"/>
  <c r="J60" i="60"/>
  <c r="J61" i="60"/>
  <c r="J62" i="60"/>
  <c r="J63" i="60"/>
  <c r="J64" i="60"/>
  <c r="J65" i="60"/>
  <c r="M65" i="60" s="1"/>
  <c r="J66" i="60"/>
  <c r="J67" i="60"/>
  <c r="J68" i="60"/>
  <c r="J69" i="60"/>
  <c r="J70" i="60"/>
  <c r="J71" i="60"/>
  <c r="J72" i="60"/>
  <c r="J73" i="60"/>
  <c r="M73" i="60" s="1"/>
  <c r="J74" i="60"/>
  <c r="J75" i="60"/>
  <c r="J76" i="60"/>
  <c r="J57" i="60"/>
  <c r="I74" i="60"/>
  <c r="I75" i="60"/>
  <c r="I76" i="60"/>
  <c r="I65" i="60"/>
  <c r="I66" i="60"/>
  <c r="I67" i="60"/>
  <c r="I68" i="60"/>
  <c r="I69" i="60"/>
  <c r="I70" i="60"/>
  <c r="I71" i="60"/>
  <c r="I72" i="60"/>
  <c r="I73" i="60"/>
  <c r="I64" i="60"/>
  <c r="I63" i="60"/>
  <c r="I58" i="60"/>
  <c r="I59" i="60"/>
  <c r="I60" i="60"/>
  <c r="I61" i="60"/>
  <c r="I62" i="60"/>
  <c r="I57" i="60"/>
  <c r="H74" i="60"/>
  <c r="H75" i="60"/>
  <c r="H76" i="60"/>
  <c r="H65" i="60"/>
  <c r="H66" i="60"/>
  <c r="H67" i="60"/>
  <c r="H68" i="60"/>
  <c r="H69" i="60"/>
  <c r="H70" i="60"/>
  <c r="H71" i="60"/>
  <c r="H72" i="60"/>
  <c r="H73" i="60"/>
  <c r="H64" i="60"/>
  <c r="H63" i="60"/>
  <c r="H58" i="60"/>
  <c r="H59" i="60"/>
  <c r="H60" i="60"/>
  <c r="H61" i="60"/>
  <c r="H62" i="60"/>
  <c r="H57" i="60"/>
  <c r="M67" i="60"/>
  <c r="M58" i="60"/>
  <c r="M59" i="60"/>
  <c r="M60" i="60"/>
  <c r="M61" i="60"/>
  <c r="M62" i="60"/>
  <c r="M64" i="60"/>
  <c r="M66" i="60"/>
  <c r="M68" i="60"/>
  <c r="M69" i="60"/>
  <c r="M70" i="60"/>
  <c r="M71" i="60"/>
  <c r="M72" i="60"/>
  <c r="M74" i="60"/>
  <c r="M75" i="60"/>
  <c r="M76" i="60"/>
  <c r="M57" i="60"/>
  <c r="G73" i="60"/>
  <c r="G74" i="60"/>
  <c r="G75" i="60"/>
  <c r="G76" i="60"/>
  <c r="G69" i="60"/>
  <c r="G70" i="60"/>
  <c r="G71" i="60"/>
  <c r="G72" i="60"/>
  <c r="G65" i="60"/>
  <c r="G66" i="60"/>
  <c r="G67" i="60"/>
  <c r="G68" i="60"/>
  <c r="G64" i="60"/>
  <c r="G63" i="60"/>
  <c r="G58" i="60"/>
  <c r="G59" i="60"/>
  <c r="G60" i="60"/>
  <c r="G61" i="60"/>
  <c r="G62" i="60"/>
  <c r="G57" i="60"/>
  <c r="AN51" i="60"/>
  <c r="AN50" i="60"/>
  <c r="AE51" i="60"/>
  <c r="AE50" i="60"/>
  <c r="V51" i="60"/>
  <c r="V50" i="60"/>
  <c r="V49" i="60"/>
  <c r="AF50" i="60"/>
  <c r="AK51" i="60"/>
  <c r="AK50" i="60"/>
  <c r="AB51" i="60"/>
  <c r="AC51" i="60"/>
  <c r="AB50" i="60"/>
  <c r="AK49" i="60"/>
  <c r="AN49" i="60" s="1"/>
  <c r="AN42" i="60"/>
  <c r="S51" i="60"/>
  <c r="S50" i="60"/>
  <c r="S49" i="60"/>
  <c r="M50" i="60"/>
  <c r="M51" i="60"/>
  <c r="AE43" i="60"/>
  <c r="AE42" i="60"/>
  <c r="V43" i="60"/>
  <c r="V42" i="60"/>
  <c r="AB31" i="60"/>
  <c r="AB32" i="60"/>
  <c r="AB33" i="60"/>
  <c r="AB34" i="60"/>
  <c r="AB35" i="60"/>
  <c r="AB36" i="60"/>
  <c r="AB30" i="60"/>
  <c r="AE30" i="60" s="1"/>
  <c r="AN36" i="60"/>
  <c r="AN35" i="60"/>
  <c r="AN34" i="60"/>
  <c r="AN33" i="60"/>
  <c r="AN32" i="60"/>
  <c r="AN31" i="60"/>
  <c r="AN30" i="60"/>
  <c r="AE36" i="60"/>
  <c r="AE35" i="60"/>
  <c r="AE34" i="60"/>
  <c r="AE33" i="60"/>
  <c r="AE32" i="60"/>
  <c r="AE31" i="60"/>
  <c r="V36" i="60"/>
  <c r="V35" i="60"/>
  <c r="V34" i="60"/>
  <c r="V33" i="60"/>
  <c r="V32" i="60"/>
  <c r="V31" i="60"/>
  <c r="V30" i="60"/>
  <c r="M31" i="60"/>
  <c r="M32" i="60"/>
  <c r="M33" i="60"/>
  <c r="M34" i="60"/>
  <c r="M35" i="60"/>
  <c r="M36" i="60"/>
  <c r="M30" i="60"/>
  <c r="AK31" i="60"/>
  <c r="AK32" i="60"/>
  <c r="AK33" i="60"/>
  <c r="AK34" i="60"/>
  <c r="AK35" i="60"/>
  <c r="AK36" i="60"/>
  <c r="AK30" i="60"/>
  <c r="S33" i="60"/>
  <c r="S34" i="60"/>
  <c r="S35" i="60"/>
  <c r="S36" i="60"/>
  <c r="S31" i="60"/>
  <c r="S32" i="60"/>
  <c r="S30" i="60"/>
  <c r="AK24" i="60"/>
  <c r="AK23" i="60"/>
  <c r="AK22" i="60"/>
  <c r="AK21" i="60"/>
  <c r="AB24" i="60"/>
  <c r="AB23" i="60"/>
  <c r="AB22" i="60"/>
  <c r="AB21" i="60"/>
  <c r="S22" i="60"/>
  <c r="S23" i="60"/>
  <c r="S24" i="60"/>
  <c r="S21" i="60"/>
  <c r="AN24" i="60"/>
  <c r="AN23" i="60"/>
  <c r="AN22" i="60"/>
  <c r="AN21" i="60"/>
  <c r="AE24" i="60"/>
  <c r="AE23" i="60"/>
  <c r="AE22" i="60"/>
  <c r="AE21" i="60"/>
  <c r="V24" i="60"/>
  <c r="V23" i="60"/>
  <c r="V22" i="60"/>
  <c r="V21" i="60"/>
  <c r="M22" i="60"/>
  <c r="M23" i="60"/>
  <c r="M24" i="60"/>
  <c r="M21" i="60"/>
  <c r="AK13" i="60"/>
  <c r="AN13" i="60" s="1"/>
  <c r="AK14" i="60"/>
  <c r="AN14" i="60" s="1"/>
  <c r="AK15" i="60"/>
  <c r="AK12" i="60"/>
  <c r="AB13" i="60"/>
  <c r="AB14" i="60"/>
  <c r="AB15" i="60"/>
  <c r="AB12" i="60"/>
  <c r="AE12" i="60"/>
  <c r="S13" i="60"/>
  <c r="V13" i="60" s="1"/>
  <c r="S14" i="60"/>
  <c r="V14" i="60" s="1"/>
  <c r="S15" i="60"/>
  <c r="S12" i="60"/>
  <c r="V12" i="60" s="1"/>
  <c r="AN15" i="60"/>
  <c r="AN12" i="60"/>
  <c r="AE15" i="60"/>
  <c r="AE14" i="60"/>
  <c r="AE13" i="60"/>
  <c r="V15" i="60"/>
  <c r="M13" i="60"/>
  <c r="M14" i="60"/>
  <c r="M15" i="60"/>
  <c r="M12" i="60"/>
  <c r="AL17" i="45"/>
  <c r="AM17" i="45"/>
  <c r="AD17" i="45"/>
  <c r="AE17" i="45"/>
  <c r="V17" i="45"/>
  <c r="W17" i="45"/>
  <c r="AZ17" i="50"/>
  <c r="AY17" i="50"/>
  <c r="AX17" i="50"/>
  <c r="AW17" i="50"/>
  <c r="AB30" i="58"/>
  <c r="W20" i="53"/>
  <c r="W19" i="53"/>
  <c r="AK121" i="60" l="1"/>
  <c r="AF121" i="60"/>
  <c r="AB121" i="60"/>
  <c r="S121" i="60"/>
  <c r="V121" i="60" s="1"/>
  <c r="AK120" i="60"/>
  <c r="AB120" i="60"/>
  <c r="AF120" i="60"/>
  <c r="G25" i="77"/>
  <c r="E30" i="77" s="1"/>
  <c r="H11" i="77"/>
  <c r="I11" i="77" s="1"/>
  <c r="I39" i="77"/>
  <c r="I47" i="77"/>
  <c r="I50" i="77"/>
  <c r="I42" i="77"/>
  <c r="I52" i="77"/>
  <c r="E27" i="77"/>
  <c r="I13" i="77"/>
  <c r="I44" i="77"/>
  <c r="I41" i="77"/>
  <c r="I43" i="77"/>
  <c r="I45" i="77"/>
  <c r="I51" i="77"/>
  <c r="I53" i="77"/>
  <c r="I46" i="77"/>
  <c r="I15" i="77"/>
  <c r="C54" i="77"/>
  <c r="I12" i="77"/>
  <c r="I23" i="77"/>
  <c r="H9" i="77"/>
  <c r="I9" i="77" s="1"/>
  <c r="H38" i="77"/>
  <c r="I38" i="77" s="1"/>
  <c r="I53" i="76"/>
  <c r="I52" i="76"/>
  <c r="I50" i="76"/>
  <c r="I48" i="76"/>
  <c r="I47" i="76"/>
  <c r="I44" i="76"/>
  <c r="I42" i="76"/>
  <c r="I41" i="76"/>
  <c r="H40" i="76"/>
  <c r="I40" i="76" s="1"/>
  <c r="I17" i="76"/>
  <c r="I18" i="76"/>
  <c r="E27" i="76"/>
  <c r="E60" i="76" s="1"/>
  <c r="H25" i="76"/>
  <c r="I25" i="76" s="1"/>
  <c r="I11" i="76"/>
  <c r="I20" i="76"/>
  <c r="I39" i="76"/>
  <c r="C54" i="76"/>
  <c r="I13" i="76"/>
  <c r="I51" i="76"/>
  <c r="I10" i="76"/>
  <c r="I19" i="76"/>
  <c r="I43" i="76"/>
  <c r="I12" i="76"/>
  <c r="H9" i="76"/>
  <c r="I9" i="76" s="1"/>
  <c r="H50" i="75"/>
  <c r="I50" i="75" s="1"/>
  <c r="I47" i="75"/>
  <c r="H46" i="75"/>
  <c r="I46" i="75" s="1"/>
  <c r="H44" i="75"/>
  <c r="I44" i="75" s="1"/>
  <c r="H42" i="75"/>
  <c r="I42" i="75" s="1"/>
  <c r="H39" i="75"/>
  <c r="I39" i="75" s="1"/>
  <c r="I51" i="75"/>
  <c r="H23" i="75"/>
  <c r="I23" i="75" s="1"/>
  <c r="H21" i="75"/>
  <c r="I21" i="75" s="1"/>
  <c r="H17" i="75"/>
  <c r="I17" i="75" s="1"/>
  <c r="H15" i="75"/>
  <c r="I15" i="75" s="1"/>
  <c r="H13" i="75"/>
  <c r="H12" i="75"/>
  <c r="H11" i="75"/>
  <c r="H10" i="75"/>
  <c r="I10" i="75" s="1"/>
  <c r="H9" i="75"/>
  <c r="I9" i="75" s="1"/>
  <c r="H24" i="75"/>
  <c r="I24" i="75" s="1"/>
  <c r="I19" i="75"/>
  <c r="H16" i="75"/>
  <c r="I16" i="75" s="1"/>
  <c r="I14" i="75"/>
  <c r="I11" i="75"/>
  <c r="I12" i="75"/>
  <c r="I52" i="75"/>
  <c r="I41" i="75"/>
  <c r="I43" i="75"/>
  <c r="I45" i="75"/>
  <c r="I53" i="75"/>
  <c r="I22" i="75"/>
  <c r="I13" i="75"/>
  <c r="H38" i="75"/>
  <c r="I38" i="75" s="1"/>
  <c r="E57" i="74"/>
  <c r="E32" i="74"/>
  <c r="E50" i="74"/>
  <c r="E30" i="74"/>
  <c r="D32" i="74"/>
  <c r="C62" i="74"/>
  <c r="C33" i="74"/>
  <c r="C34" i="74"/>
  <c r="F46" i="74"/>
  <c r="E46" i="74"/>
  <c r="E60" i="74"/>
  <c r="D30" i="74"/>
  <c r="D57" i="73"/>
  <c r="D32" i="73"/>
  <c r="D34" i="73" s="1"/>
  <c r="D50" i="73"/>
  <c r="E31" i="73"/>
  <c r="C17" i="73"/>
  <c r="E30" i="73"/>
  <c r="C62" i="73"/>
  <c r="C33" i="73"/>
  <c r="C34" i="73" s="1"/>
  <c r="C15" i="73"/>
  <c r="C23" i="73"/>
  <c r="D46" i="73"/>
  <c r="E46" i="73"/>
  <c r="C10" i="73"/>
  <c r="F31" i="73"/>
  <c r="F46" i="73"/>
  <c r="F60" i="72"/>
  <c r="F31" i="72"/>
  <c r="F50" i="72"/>
  <c r="F30" i="72"/>
  <c r="C10" i="72"/>
  <c r="E60" i="72"/>
  <c r="E33" i="72"/>
  <c r="E31" i="72"/>
  <c r="E50" i="72"/>
  <c r="E30" i="72"/>
  <c r="D32" i="72"/>
  <c r="C62" i="72"/>
  <c r="C33" i="72"/>
  <c r="C34" i="72"/>
  <c r="D31" i="72"/>
  <c r="D34" i="72" s="1"/>
  <c r="E46" i="72"/>
  <c r="F46" i="72"/>
  <c r="T173" i="60"/>
  <c r="AC163" i="60"/>
  <c r="V165" i="60"/>
  <c r="M165" i="60"/>
  <c r="L163" i="60"/>
  <c r="V163" i="60"/>
  <c r="AE163" i="60"/>
  <c r="M163" i="60"/>
  <c r="AC155" i="60"/>
  <c r="AE95" i="60"/>
  <c r="AE137" i="60"/>
  <c r="V138" i="60"/>
  <c r="T156" i="60"/>
  <c r="T157" i="60"/>
  <c r="V155" i="60"/>
  <c r="T155" i="60"/>
  <c r="T153" i="60"/>
  <c r="V153" i="60"/>
  <c r="V156" i="60"/>
  <c r="AE156" i="60"/>
  <c r="AE157" i="60"/>
  <c r="V157" i="60"/>
  <c r="U114" i="60"/>
  <c r="AB147" i="60"/>
  <c r="S146" i="60"/>
  <c r="AE147" i="60"/>
  <c r="V147" i="60"/>
  <c r="AE146" i="60"/>
  <c r="V146" i="60"/>
  <c r="AE144" i="60"/>
  <c r="V145" i="60"/>
  <c r="AE145" i="60"/>
  <c r="V144" i="60"/>
  <c r="AE138" i="60"/>
  <c r="AE135" i="60"/>
  <c r="V137" i="60"/>
  <c r="J136" i="60"/>
  <c r="V136" i="60"/>
  <c r="AN136" i="60"/>
  <c r="AE136" i="60"/>
  <c r="AE121" i="60"/>
  <c r="AN121" i="60"/>
  <c r="J120" i="60"/>
  <c r="AE120" i="60" s="1"/>
  <c r="AN120" i="60"/>
  <c r="AD107" i="60"/>
  <c r="T112" i="60"/>
  <c r="V110" i="60"/>
  <c r="U107" i="60"/>
  <c r="M114" i="60"/>
  <c r="V114" i="60"/>
  <c r="AN114" i="60"/>
  <c r="AE114" i="60"/>
  <c r="V112" i="60"/>
  <c r="AE112" i="60"/>
  <c r="AN112" i="60"/>
  <c r="M112" i="60"/>
  <c r="AE108" i="60"/>
  <c r="AN108" i="60"/>
  <c r="V108" i="60"/>
  <c r="AN111" i="60"/>
  <c r="M111" i="60"/>
  <c r="V111" i="60"/>
  <c r="AE111" i="60"/>
  <c r="L112" i="60"/>
  <c r="AN110" i="60"/>
  <c r="AE110" i="60"/>
  <c r="AN107" i="60"/>
  <c r="AE107" i="60"/>
  <c r="V107" i="60"/>
  <c r="AM97" i="60"/>
  <c r="AN97" i="60"/>
  <c r="AL100" i="60"/>
  <c r="AM82" i="60"/>
  <c r="AK94" i="60"/>
  <c r="AN94" i="60" s="1"/>
  <c r="AC95" i="60"/>
  <c r="AD95" i="60"/>
  <c r="AE101" i="60"/>
  <c r="AB98" i="60"/>
  <c r="AD94" i="60"/>
  <c r="AE49" i="60"/>
  <c r="AC94" i="60"/>
  <c r="P97" i="60"/>
  <c r="U97" i="60" s="1"/>
  <c r="T95" i="60"/>
  <c r="T96" i="60"/>
  <c r="T94" i="60"/>
  <c r="K95" i="60"/>
  <c r="AC84" i="60"/>
  <c r="AB88" i="60"/>
  <c r="AE88" i="60" s="1"/>
  <c r="AC82" i="60"/>
  <c r="T82" i="60"/>
  <c r="P82" i="60"/>
  <c r="U82" i="60" s="1"/>
  <c r="T86" i="60"/>
  <c r="U87" i="60"/>
  <c r="AD63" i="60"/>
  <c r="AB73" i="60"/>
  <c r="AE73" i="60" s="1"/>
  <c r="AB65" i="60"/>
  <c r="AE65" i="60" s="1"/>
  <c r="AD57" i="60"/>
  <c r="U63" i="60"/>
  <c r="T66" i="60"/>
  <c r="T74" i="60"/>
  <c r="T61" i="60"/>
  <c r="U57" i="60"/>
  <c r="W18" i="50"/>
  <c r="AE122" i="60" l="1"/>
  <c r="F52" i="73" s="1"/>
  <c r="F32" i="73" s="1"/>
  <c r="F34" i="73" s="1"/>
  <c r="C18" i="73"/>
  <c r="F57" i="73"/>
  <c r="F62" i="73"/>
  <c r="C25" i="73" s="1"/>
  <c r="H25" i="77"/>
  <c r="I25" i="77" s="1"/>
  <c r="E60" i="77"/>
  <c r="E34" i="74"/>
  <c r="E62" i="74"/>
  <c r="D62" i="73"/>
  <c r="V120" i="60"/>
  <c r="V122" i="60" s="1"/>
  <c r="F52" i="72" s="1"/>
  <c r="W17" i="50"/>
  <c r="V17" i="50"/>
  <c r="V18" i="50"/>
  <c r="W19" i="50"/>
  <c r="AE18" i="50"/>
  <c r="AE19" i="50"/>
  <c r="AE17" i="50"/>
  <c r="C18" i="72" l="1"/>
  <c r="F32" i="72"/>
  <c r="F34" i="72" s="1"/>
  <c r="F57" i="72"/>
  <c r="F62" i="72" s="1"/>
  <c r="C25" i="72" s="1"/>
  <c r="Q22" i="47"/>
  <c r="S20" i="47" l="1"/>
  <c r="Q20" i="47"/>
  <c r="L76" i="60" l="1"/>
  <c r="L75" i="60"/>
  <c r="L74" i="60"/>
  <c r="L73" i="60"/>
  <c r="L72" i="60"/>
  <c r="L71" i="60"/>
  <c r="L70" i="60"/>
  <c r="L69" i="60"/>
  <c r="L68" i="60"/>
  <c r="L67" i="60"/>
  <c r="L66" i="60"/>
  <c r="L65" i="60"/>
  <c r="L64" i="60"/>
  <c r="L63" i="60"/>
  <c r="L62" i="60"/>
  <c r="L61" i="60"/>
  <c r="L60" i="60"/>
  <c r="L59" i="60"/>
  <c r="L58" i="60"/>
  <c r="L57" i="60"/>
  <c r="C5" i="62" l="1"/>
  <c r="C22" i="60"/>
  <c r="AM41" i="60" l="1"/>
  <c r="AG41" i="60"/>
  <c r="AL41" i="60" s="1"/>
  <c r="AD41" i="60"/>
  <c r="X41" i="60"/>
  <c r="AC41" i="60" s="1"/>
  <c r="U41" i="60"/>
  <c r="O41" i="60"/>
  <c r="T41" i="60" s="1"/>
  <c r="L41" i="60"/>
  <c r="K41" i="60"/>
  <c r="F41" i="60"/>
  <c r="AM170" i="60"/>
  <c r="AG170" i="60"/>
  <c r="AL170" i="60" s="1"/>
  <c r="AD170" i="60"/>
  <c r="X170" i="60"/>
  <c r="AC170" i="60" s="1"/>
  <c r="U170" i="60"/>
  <c r="O170" i="60"/>
  <c r="T170" i="60" s="1"/>
  <c r="AM162" i="60"/>
  <c r="AG162" i="60"/>
  <c r="AL162" i="60" s="1"/>
  <c r="AD162" i="60"/>
  <c r="X162" i="60"/>
  <c r="AC162" i="60" s="1"/>
  <c r="U162" i="60"/>
  <c r="O162" i="60"/>
  <c r="T162" i="60" s="1"/>
  <c r="AM152" i="60"/>
  <c r="AG152" i="60"/>
  <c r="AL152" i="60" s="1"/>
  <c r="AD152" i="60"/>
  <c r="X152" i="60"/>
  <c r="AC152" i="60" s="1"/>
  <c r="U152" i="60"/>
  <c r="O152" i="60"/>
  <c r="T152" i="60" s="1"/>
  <c r="AM143" i="60"/>
  <c r="AG143" i="60"/>
  <c r="AL143" i="60" s="1"/>
  <c r="AD143" i="60"/>
  <c r="X143" i="60"/>
  <c r="AC143" i="60" s="1"/>
  <c r="U143" i="60"/>
  <c r="O143" i="60"/>
  <c r="T143" i="60" s="1"/>
  <c r="AM134" i="60"/>
  <c r="AG134" i="60"/>
  <c r="AL134" i="60" s="1"/>
  <c r="AD134" i="60"/>
  <c r="X134" i="60"/>
  <c r="AC134" i="60" s="1"/>
  <c r="U134" i="60"/>
  <c r="O134" i="60"/>
  <c r="T134" i="60" s="1"/>
  <c r="AM126" i="60"/>
  <c r="AG126" i="60"/>
  <c r="AL126" i="60" s="1"/>
  <c r="AD126" i="60"/>
  <c r="X126" i="60"/>
  <c r="AC126" i="60" s="1"/>
  <c r="U126" i="60"/>
  <c r="O126" i="60"/>
  <c r="T126" i="60" s="1"/>
  <c r="AM119" i="60"/>
  <c r="AG119" i="60"/>
  <c r="AL119" i="60" s="1"/>
  <c r="AD119" i="60"/>
  <c r="X119" i="60"/>
  <c r="AC119" i="60" s="1"/>
  <c r="U119" i="60"/>
  <c r="O119" i="60"/>
  <c r="T119" i="60" s="1"/>
  <c r="AM106" i="60"/>
  <c r="AG106" i="60"/>
  <c r="AL106" i="60" s="1"/>
  <c r="AD106" i="60"/>
  <c r="X106" i="60"/>
  <c r="AC106" i="60" s="1"/>
  <c r="U106" i="60"/>
  <c r="O106" i="60"/>
  <c r="T106" i="60" s="1"/>
  <c r="AM93" i="60"/>
  <c r="AG93" i="60"/>
  <c r="AL93" i="60" s="1"/>
  <c r="AD93" i="60"/>
  <c r="X93" i="60"/>
  <c r="AC93" i="60" s="1"/>
  <c r="U93" i="60"/>
  <c r="O93" i="60"/>
  <c r="T93" i="60" s="1"/>
  <c r="AG81" i="60"/>
  <c r="X81" i="60"/>
  <c r="O81" i="60"/>
  <c r="AM56" i="60"/>
  <c r="AG56" i="60"/>
  <c r="AL56" i="60" s="1"/>
  <c r="AD56" i="60"/>
  <c r="X56" i="60"/>
  <c r="AC56" i="60" s="1"/>
  <c r="U56" i="60"/>
  <c r="O56" i="60"/>
  <c r="T56" i="60" s="1"/>
  <c r="AM48" i="60"/>
  <c r="AG48" i="60"/>
  <c r="AL48" i="60" s="1"/>
  <c r="AD48" i="60"/>
  <c r="X48" i="60"/>
  <c r="AC48" i="60" s="1"/>
  <c r="U48" i="60"/>
  <c r="O48" i="60"/>
  <c r="T48" i="60" s="1"/>
  <c r="AM29" i="60"/>
  <c r="AG29" i="60"/>
  <c r="AL29" i="60" s="1"/>
  <c r="AD29" i="60"/>
  <c r="X29" i="60"/>
  <c r="AC29" i="60" s="1"/>
  <c r="U29" i="60"/>
  <c r="O29" i="60"/>
  <c r="T29" i="60" s="1"/>
  <c r="AM20" i="60"/>
  <c r="AG20" i="60"/>
  <c r="AL20" i="60" s="1"/>
  <c r="AD20" i="60"/>
  <c r="X20" i="60"/>
  <c r="AC20" i="60" s="1"/>
  <c r="U20" i="60"/>
  <c r="O20" i="60"/>
  <c r="T20" i="60" s="1"/>
  <c r="L170" i="60"/>
  <c r="K170" i="60"/>
  <c r="F170" i="60"/>
  <c r="L162" i="60"/>
  <c r="K162" i="60"/>
  <c r="F162" i="60"/>
  <c r="L152" i="60"/>
  <c r="K152" i="60"/>
  <c r="F152" i="60"/>
  <c r="L143" i="60"/>
  <c r="K143" i="60"/>
  <c r="F143" i="60"/>
  <c r="L134" i="60"/>
  <c r="K134" i="60"/>
  <c r="F134" i="60"/>
  <c r="L126" i="60"/>
  <c r="K126" i="60"/>
  <c r="F126" i="60"/>
  <c r="L119" i="60"/>
  <c r="K119" i="60"/>
  <c r="F119" i="60"/>
  <c r="L106" i="60"/>
  <c r="K106" i="60"/>
  <c r="F106" i="60"/>
  <c r="L93" i="60"/>
  <c r="K93" i="60"/>
  <c r="F93" i="60"/>
  <c r="K81" i="60"/>
  <c r="F81" i="60"/>
  <c r="L56" i="60"/>
  <c r="K56" i="60"/>
  <c r="F56" i="60"/>
  <c r="L48" i="60"/>
  <c r="K48" i="60"/>
  <c r="F48" i="60"/>
  <c r="L29" i="60"/>
  <c r="K29" i="60"/>
  <c r="F29" i="60"/>
  <c r="L20" i="60"/>
  <c r="K20" i="60"/>
  <c r="F20" i="60"/>
  <c r="N10" i="59" l="1"/>
  <c r="M10" i="59"/>
  <c r="L10" i="59"/>
  <c r="K10" i="59"/>
  <c r="J10" i="59"/>
  <c r="AM11" i="60" l="1"/>
  <c r="AG11" i="60"/>
  <c r="AL11" i="60" s="1"/>
  <c r="AD11" i="60"/>
  <c r="X11" i="60"/>
  <c r="AC11" i="60" s="1"/>
  <c r="L11" i="60"/>
  <c r="U11" i="60"/>
  <c r="O11" i="60"/>
  <c r="T11" i="60" s="1"/>
  <c r="F11" i="60"/>
  <c r="K11" i="60"/>
  <c r="F10" i="59" l="1"/>
  <c r="O10" i="58"/>
  <c r="O97" i="58"/>
  <c r="P97" i="58"/>
  <c r="Q97" i="58"/>
  <c r="O22" i="60" s="1"/>
  <c r="T22" i="60" s="1"/>
  <c r="R97" i="58"/>
  <c r="S97" i="58"/>
  <c r="X22" i="60" s="1"/>
  <c r="AC22" i="60" s="1"/>
  <c r="T97" i="58"/>
  <c r="Z22" i="60" s="1"/>
  <c r="K97" i="58"/>
  <c r="L97" i="58"/>
  <c r="M97" i="58"/>
  <c r="N97" i="58"/>
  <c r="H97" i="58"/>
  <c r="I97" i="58"/>
  <c r="J97" i="58"/>
  <c r="G97" i="58"/>
  <c r="F97" i="58"/>
  <c r="E97" i="58"/>
  <c r="D97" i="58"/>
  <c r="H18" i="55"/>
  <c r="H17" i="55"/>
  <c r="H16" i="55"/>
  <c r="G17" i="55"/>
  <c r="G18" i="55"/>
  <c r="G16" i="55"/>
  <c r="G18" i="54"/>
  <c r="G17" i="54"/>
  <c r="G16" i="54"/>
  <c r="G18" i="46"/>
  <c r="G17" i="46"/>
  <c r="G16" i="46"/>
  <c r="G20" i="53"/>
  <c r="G19" i="53"/>
  <c r="G18" i="53"/>
  <c r="G17" i="53"/>
  <c r="G16" i="53"/>
  <c r="G19" i="52"/>
  <c r="G18" i="52"/>
  <c r="G17" i="52"/>
  <c r="G16" i="52"/>
  <c r="AV19" i="50"/>
  <c r="AV18" i="50"/>
  <c r="AV17" i="50"/>
  <c r="G19" i="50"/>
  <c r="G18" i="50"/>
  <c r="G17" i="50"/>
  <c r="G16" i="50"/>
  <c r="G18" i="51"/>
  <c r="G17" i="51"/>
  <c r="G16" i="51"/>
  <c r="G17" i="48"/>
  <c r="G16" i="48"/>
  <c r="AR22" i="47"/>
  <c r="AR21" i="47"/>
  <c r="AR20" i="47"/>
  <c r="AR19" i="47"/>
  <c r="R22" i="47"/>
  <c r="P22" i="47"/>
  <c r="R20" i="47"/>
  <c r="P20" i="47"/>
  <c r="R19" i="47"/>
  <c r="G23" i="47"/>
  <c r="G22" i="47"/>
  <c r="G21" i="47"/>
  <c r="G20" i="47"/>
  <c r="G19" i="47"/>
  <c r="G18" i="47"/>
  <c r="G17" i="47"/>
  <c r="G16" i="47"/>
  <c r="G23" i="43"/>
  <c r="G22" i="43"/>
  <c r="G21" i="43"/>
  <c r="G20" i="43"/>
  <c r="G19" i="43"/>
  <c r="G18" i="43"/>
  <c r="G17" i="43"/>
  <c r="G16" i="43"/>
  <c r="AP21" i="42"/>
  <c r="AN21" i="42"/>
  <c r="AR19" i="42"/>
  <c r="AP19" i="42"/>
  <c r="AN19" i="42"/>
  <c r="AP18" i="42"/>
  <c r="AN18" i="42"/>
  <c r="AJ21" i="42"/>
  <c r="AH21" i="42"/>
  <c r="AF21" i="42"/>
  <c r="AJ19" i="42"/>
  <c r="AH19" i="42"/>
  <c r="AF19" i="42"/>
  <c r="AJ18" i="42"/>
  <c r="AH18" i="42"/>
  <c r="AF18" i="42"/>
  <c r="AB21" i="42"/>
  <c r="Z21" i="42"/>
  <c r="X21" i="42"/>
  <c r="AB19" i="42"/>
  <c r="Z19" i="42"/>
  <c r="X19" i="42"/>
  <c r="AB18" i="42"/>
  <c r="Z18" i="42"/>
  <c r="X18" i="42"/>
  <c r="T21" i="42"/>
  <c r="R21" i="42"/>
  <c r="T19" i="42"/>
  <c r="R19" i="42"/>
  <c r="P19" i="42"/>
  <c r="T18" i="42"/>
  <c r="R18" i="42"/>
  <c r="G22" i="42"/>
  <c r="G21" i="42"/>
  <c r="G20" i="42"/>
  <c r="G19" i="42"/>
  <c r="G18" i="42"/>
  <c r="G17" i="42"/>
  <c r="G16" i="42"/>
  <c r="AP35" i="41"/>
  <c r="AR34" i="41"/>
  <c r="AP34" i="41"/>
  <c r="AN34" i="41"/>
  <c r="AR33" i="41"/>
  <c r="AP33" i="41"/>
  <c r="AR32" i="41"/>
  <c r="AP32" i="41"/>
  <c r="AN32" i="41"/>
  <c r="AR31" i="41"/>
  <c r="AP31" i="41"/>
  <c r="AN31" i="41"/>
  <c r="AR29" i="41"/>
  <c r="AP29" i="41"/>
  <c r="AN29" i="41"/>
  <c r="AP28" i="41"/>
  <c r="AN28" i="41"/>
  <c r="AR27" i="41"/>
  <c r="AP27" i="41"/>
  <c r="AN27" i="41"/>
  <c r="AR20" i="41"/>
  <c r="AP20" i="41"/>
  <c r="AN20" i="41"/>
  <c r="AR18" i="41"/>
  <c r="AP18" i="41"/>
  <c r="AN18" i="41"/>
  <c r="AR17" i="41"/>
  <c r="AP17" i="41"/>
  <c r="AN17" i="41"/>
  <c r="AR16" i="41"/>
  <c r="AP16" i="41"/>
  <c r="AN16" i="41"/>
  <c r="AJ34" i="41"/>
  <c r="AH34" i="41"/>
  <c r="AF34" i="41"/>
  <c r="AJ33" i="41"/>
  <c r="AH33" i="41"/>
  <c r="AJ32" i="41"/>
  <c r="AH32" i="41"/>
  <c r="AF32" i="41"/>
  <c r="AJ31" i="41"/>
  <c r="AH31" i="41"/>
  <c r="AF31" i="41"/>
  <c r="AJ29" i="41"/>
  <c r="AH29" i="41"/>
  <c r="AF29" i="41"/>
  <c r="AJ28" i="41"/>
  <c r="AH28" i="41"/>
  <c r="AF28" i="41"/>
  <c r="AJ27" i="41"/>
  <c r="AH27" i="41"/>
  <c r="AF27" i="41"/>
  <c r="AJ20" i="41"/>
  <c r="AH20" i="41"/>
  <c r="AF20" i="41"/>
  <c r="AJ18" i="41"/>
  <c r="AH18" i="41"/>
  <c r="AF18" i="41"/>
  <c r="AJ17" i="41"/>
  <c r="AH17" i="41"/>
  <c r="AF17" i="41"/>
  <c r="AJ16" i="41"/>
  <c r="AH16" i="41"/>
  <c r="AF16" i="41"/>
  <c r="AB34" i="41"/>
  <c r="Z34" i="41"/>
  <c r="X34" i="41"/>
  <c r="AB32" i="41"/>
  <c r="Z32" i="41"/>
  <c r="X32" i="41"/>
  <c r="AB31" i="41"/>
  <c r="Z31" i="41"/>
  <c r="X31" i="41"/>
  <c r="AB29" i="41"/>
  <c r="Z29" i="41"/>
  <c r="X29" i="41"/>
  <c r="AB28" i="41"/>
  <c r="Z28" i="41"/>
  <c r="X28" i="41"/>
  <c r="AB27" i="41"/>
  <c r="Z27" i="41"/>
  <c r="X27" i="41"/>
  <c r="AB20" i="41"/>
  <c r="Z20" i="41"/>
  <c r="X20" i="41"/>
  <c r="AB18" i="41"/>
  <c r="Z18" i="41"/>
  <c r="X18" i="41"/>
  <c r="AB17" i="41"/>
  <c r="Z17" i="41"/>
  <c r="X17" i="41"/>
  <c r="AB16" i="41"/>
  <c r="Z16" i="41"/>
  <c r="X16" i="41"/>
  <c r="T34" i="41"/>
  <c r="R34" i="41"/>
  <c r="P34" i="41"/>
  <c r="T33" i="41"/>
  <c r="R33" i="41"/>
  <c r="P33" i="41"/>
  <c r="T32" i="41"/>
  <c r="R32" i="41"/>
  <c r="P32" i="41"/>
  <c r="T31" i="41"/>
  <c r="R31" i="41"/>
  <c r="P31" i="41"/>
  <c r="T29" i="41"/>
  <c r="R29" i="41"/>
  <c r="P29" i="41"/>
  <c r="T28" i="41"/>
  <c r="R28" i="41"/>
  <c r="P28" i="41"/>
  <c r="T27" i="41"/>
  <c r="R27" i="41"/>
  <c r="P27" i="41"/>
  <c r="T20" i="41"/>
  <c r="R20" i="41"/>
  <c r="P20" i="41"/>
  <c r="T18" i="41"/>
  <c r="R18" i="41"/>
  <c r="P18" i="41"/>
  <c r="T17" i="41"/>
  <c r="R17" i="41"/>
  <c r="P17" i="41"/>
  <c r="T16" i="41"/>
  <c r="R16" i="41"/>
  <c r="P16" i="41"/>
  <c r="G35" i="41"/>
  <c r="G34" i="41"/>
  <c r="G33" i="41"/>
  <c r="G32" i="41"/>
  <c r="G31" i="41"/>
  <c r="G30" i="41"/>
  <c r="G29" i="41"/>
  <c r="G28" i="41"/>
  <c r="G27" i="41"/>
  <c r="G26" i="41"/>
  <c r="G25" i="41"/>
  <c r="G24" i="41"/>
  <c r="G23" i="41"/>
  <c r="G22" i="41"/>
  <c r="G21" i="41"/>
  <c r="G20" i="41"/>
  <c r="G19" i="41"/>
  <c r="G18" i="41"/>
  <c r="G17" i="41"/>
  <c r="G16" i="41"/>
  <c r="G17" i="56"/>
  <c r="G16" i="56"/>
  <c r="G22" i="44"/>
  <c r="G21" i="44"/>
  <c r="G20" i="44"/>
  <c r="G19" i="44"/>
  <c r="G18" i="44"/>
  <c r="G17" i="44"/>
  <c r="G16" i="44"/>
  <c r="AY17" i="45"/>
  <c r="AX17" i="45"/>
  <c r="AW17" i="45"/>
  <c r="AT17" i="45"/>
  <c r="AV17" i="45" s="1"/>
  <c r="W97" i="58" s="1"/>
  <c r="AU17" i="45"/>
  <c r="AZ17" i="45" s="1"/>
  <c r="O17" i="45"/>
  <c r="R10" i="59" s="1"/>
  <c r="I17" i="45"/>
  <c r="E10" i="59" s="1"/>
  <c r="D22" i="60" s="1"/>
  <c r="H17" i="45"/>
  <c r="G19" i="45"/>
  <c r="G18" i="45"/>
  <c r="G17" i="45"/>
  <c r="Q10" i="59" s="1"/>
  <c r="E22" i="60" s="1"/>
  <c r="G16" i="45"/>
  <c r="Q9" i="59" s="1"/>
  <c r="F17" i="45"/>
  <c r="P10" i="59" s="1"/>
  <c r="F18" i="45"/>
  <c r="E17" i="45"/>
  <c r="D17" i="45"/>
  <c r="G19" i="37"/>
  <c r="G18" i="37"/>
  <c r="G17" i="37"/>
  <c r="G16" i="37"/>
  <c r="O97" i="38"/>
  <c r="AA22" i="60" l="1"/>
  <c r="Q22" i="60"/>
  <c r="H22" i="60"/>
  <c r="I22" i="60"/>
  <c r="J22" i="60" s="1"/>
  <c r="N22" i="60"/>
  <c r="W22" i="60"/>
  <c r="AF22" i="60" s="1"/>
  <c r="G22" i="60"/>
  <c r="L22" i="60" s="1"/>
  <c r="F22" i="60"/>
  <c r="K22" i="60" s="1"/>
  <c r="P22" i="60"/>
  <c r="U22" i="60" s="1"/>
  <c r="Y22" i="60"/>
  <c r="AD22" i="60" s="1"/>
  <c r="BG17" i="45"/>
  <c r="V97" i="58"/>
  <c r="AI22" i="60" s="1"/>
  <c r="BD17" i="45"/>
  <c r="BH17" i="45"/>
  <c r="BC17" i="45"/>
  <c r="U97" i="58"/>
  <c r="AG22" i="60" s="1"/>
  <c r="AL22" i="60" s="1"/>
  <c r="BA17" i="45"/>
  <c r="BB17" i="45"/>
  <c r="BE17" i="45"/>
  <c r="BF17" i="45"/>
  <c r="F7" i="71"/>
  <c r="AH22" i="60" l="1"/>
  <c r="X97" i="58"/>
  <c r="AJ22" i="60"/>
  <c r="X84" i="58"/>
  <c r="Y97" i="58" l="1"/>
  <c r="Z97" i="58"/>
  <c r="AA97" i="58" s="1"/>
  <c r="AM22" i="60"/>
  <c r="C33" i="41"/>
  <c r="C27" i="41"/>
  <c r="C16" i="41"/>
  <c r="B7" i="67" l="1"/>
  <c r="C5" i="67"/>
  <c r="C4" i="69"/>
  <c r="D59" i="63"/>
  <c r="D58" i="63"/>
  <c r="D57" i="63"/>
  <c r="D56" i="63"/>
  <c r="AY19" i="50" l="1"/>
  <c r="AY18" i="50"/>
  <c r="AU18" i="50"/>
  <c r="V85" i="58" s="1"/>
  <c r="AI137" i="60" s="1"/>
  <c r="AU19" i="50"/>
  <c r="V86" i="58" s="1"/>
  <c r="AI138" i="60" s="1"/>
  <c r="AM19" i="50"/>
  <c r="T86" i="58" s="1"/>
  <c r="AM18" i="50"/>
  <c r="T85" i="58" s="1"/>
  <c r="AJ138" i="60" l="1"/>
  <c r="AJ137" i="60"/>
  <c r="AU17" i="50"/>
  <c r="V84" i="58" s="1"/>
  <c r="AI136" i="60" s="1"/>
  <c r="AM17" i="50"/>
  <c r="T84" i="58" s="1"/>
  <c r="AJ136" i="60" l="1"/>
  <c r="AM21" i="42"/>
  <c r="AM20" i="42" l="1"/>
  <c r="C29" i="66" l="1"/>
  <c r="C28" i="66"/>
  <c r="C27" i="66"/>
  <c r="C26" i="66"/>
  <c r="C25" i="66"/>
  <c r="C24" i="66"/>
  <c r="C23" i="66"/>
  <c r="C22" i="66"/>
  <c r="C21" i="66"/>
  <c r="C20" i="66"/>
  <c r="C19" i="66"/>
  <c r="C18" i="66"/>
  <c r="C17" i="66"/>
  <c r="C16" i="66"/>
  <c r="C15" i="66"/>
  <c r="C14" i="66"/>
  <c r="C13" i="66"/>
  <c r="C12" i="66"/>
  <c r="C11" i="66"/>
  <c r="C10" i="66"/>
  <c r="E47" i="69" l="1"/>
  <c r="E48" i="69"/>
  <c r="E46" i="69"/>
  <c r="E45" i="69"/>
  <c r="E44" i="69"/>
  <c r="E43" i="69"/>
  <c r="E42" i="69"/>
  <c r="E41" i="69"/>
  <c r="E40" i="69"/>
  <c r="E36" i="69"/>
  <c r="E35" i="69"/>
  <c r="G72" i="64"/>
  <c r="G71" i="64"/>
  <c r="G70" i="64"/>
  <c r="E33" i="69"/>
  <c r="G64" i="64"/>
  <c r="G59" i="64"/>
  <c r="G58" i="64"/>
  <c r="G57" i="64"/>
  <c r="E25" i="69"/>
  <c r="E26" i="69"/>
  <c r="E27" i="69"/>
  <c r="E28" i="69"/>
  <c r="E29" i="69"/>
  <c r="E24" i="69"/>
  <c r="E23" i="69"/>
  <c r="E22" i="69"/>
  <c r="E21" i="69"/>
  <c r="E20" i="69"/>
  <c r="E19" i="69"/>
  <c r="E18" i="69"/>
  <c r="E17" i="69"/>
  <c r="E16" i="69"/>
  <c r="E15" i="69"/>
  <c r="E14" i="69"/>
  <c r="E13" i="69"/>
  <c r="D12" i="69"/>
  <c r="E12" i="69"/>
  <c r="B15" i="70"/>
  <c r="B14" i="70"/>
  <c r="B13" i="70"/>
  <c r="B12" i="70"/>
  <c r="B11" i="70"/>
  <c r="E10" i="69"/>
  <c r="E11" i="69"/>
  <c r="D46" i="69" l="1"/>
  <c r="D47" i="69"/>
  <c r="D48" i="69"/>
  <c r="D23" i="69"/>
  <c r="D24" i="69"/>
  <c r="D30" i="69"/>
  <c r="D35" i="69"/>
  <c r="D43" i="69"/>
  <c r="D44" i="69"/>
  <c r="D45" i="69"/>
  <c r="D22" i="69"/>
  <c r="D21" i="69"/>
  <c r="D19" i="69"/>
  <c r="D17" i="69"/>
  <c r="D14" i="69"/>
  <c r="D15" i="69"/>
  <c r="D16" i="69"/>
  <c r="D13" i="69"/>
  <c r="D10" i="69"/>
  <c r="C48" i="69"/>
  <c r="C47" i="69"/>
  <c r="C46" i="69"/>
  <c r="B46" i="69"/>
  <c r="C45" i="69"/>
  <c r="C44" i="69"/>
  <c r="C43" i="69"/>
  <c r="C35" i="69"/>
  <c r="C30" i="69"/>
  <c r="C24" i="69"/>
  <c r="C23" i="69"/>
  <c r="B23" i="69"/>
  <c r="C22" i="69"/>
  <c r="C21" i="69"/>
  <c r="C19" i="69"/>
  <c r="C17" i="69"/>
  <c r="B17" i="69"/>
  <c r="C16" i="69"/>
  <c r="C15" i="69"/>
  <c r="C14" i="69"/>
  <c r="B14" i="69"/>
  <c r="C13" i="69"/>
  <c r="C12" i="69"/>
  <c r="C10" i="69"/>
  <c r="B10" i="69"/>
  <c r="C30" i="67"/>
  <c r="C29" i="67"/>
  <c r="C28" i="67"/>
  <c r="B28" i="67"/>
  <c r="C27" i="67"/>
  <c r="C26" i="67"/>
  <c r="C25" i="67"/>
  <c r="C24" i="67"/>
  <c r="C23" i="67"/>
  <c r="C22" i="67"/>
  <c r="C21" i="67"/>
  <c r="B21" i="67"/>
  <c r="C20" i="67"/>
  <c r="C19" i="67"/>
  <c r="C18" i="67"/>
  <c r="C17" i="67"/>
  <c r="B17" i="67"/>
  <c r="C16" i="67"/>
  <c r="C15" i="67"/>
  <c r="C14" i="67"/>
  <c r="B14" i="67"/>
  <c r="C13" i="67"/>
  <c r="C12" i="67"/>
  <c r="C11" i="67"/>
  <c r="B11" i="67"/>
  <c r="AI82" i="64" l="1"/>
  <c r="AG82" i="64"/>
  <c r="AI81" i="64"/>
  <c r="AG81" i="64"/>
  <c r="AI80" i="64"/>
  <c r="AG80" i="64"/>
  <c r="BJ80" i="64" l="1"/>
  <c r="BJ81" i="64"/>
  <c r="BJ82" i="64"/>
  <c r="B92" i="64"/>
  <c r="B44" i="64"/>
  <c r="B36" i="64"/>
  <c r="B29" i="64"/>
  <c r="B9" i="64"/>
  <c r="C94" i="64"/>
  <c r="C93" i="64"/>
  <c r="C92" i="64"/>
  <c r="C91" i="64"/>
  <c r="C89" i="64"/>
  <c r="C83" i="64"/>
  <c r="C65" i="64"/>
  <c r="C57" i="64"/>
  <c r="C51" i="64"/>
  <c r="C44" i="64"/>
  <c r="C41" i="64"/>
  <c r="C40" i="64"/>
  <c r="C38" i="64"/>
  <c r="C36" i="64"/>
  <c r="C33" i="64"/>
  <c r="C31" i="64"/>
  <c r="C29" i="64"/>
  <c r="C26" i="64"/>
  <c r="C20" i="64"/>
  <c r="C9" i="64"/>
  <c r="E93" i="64"/>
  <c r="E94" i="64"/>
  <c r="E92" i="64"/>
  <c r="E91" i="64"/>
  <c r="E89" i="64"/>
  <c r="E83" i="64"/>
  <c r="E65" i="64"/>
  <c r="E57" i="64"/>
  <c r="E51" i="64"/>
  <c r="E44" i="64"/>
  <c r="E41" i="64"/>
  <c r="E40" i="64"/>
  <c r="E38" i="64"/>
  <c r="E36" i="64"/>
  <c r="E33" i="64"/>
  <c r="E31" i="64"/>
  <c r="E29" i="64"/>
  <c r="E26" i="64"/>
  <c r="E20" i="64"/>
  <c r="E9" i="64"/>
  <c r="D93" i="64"/>
  <c r="D94" i="64"/>
  <c r="D92" i="64"/>
  <c r="D91" i="64"/>
  <c r="D89" i="64"/>
  <c r="D83" i="64"/>
  <c r="D65" i="64"/>
  <c r="D57" i="64"/>
  <c r="D51" i="64"/>
  <c r="D44" i="64"/>
  <c r="D41" i="64"/>
  <c r="D40" i="64"/>
  <c r="D38" i="64"/>
  <c r="D36" i="64"/>
  <c r="D33" i="64"/>
  <c r="D31" i="64"/>
  <c r="D29" i="64"/>
  <c r="D26" i="64"/>
  <c r="D20" i="64"/>
  <c r="D9" i="64"/>
  <c r="D30" i="63" l="1"/>
  <c r="D29" i="63"/>
  <c r="D28" i="63"/>
  <c r="D27" i="63"/>
  <c r="D34" i="63"/>
  <c r="AT23" i="43" l="1"/>
  <c r="AV138" i="60" l="1"/>
  <c r="AP138" i="60"/>
  <c r="AO138" i="60"/>
  <c r="AV137" i="60"/>
  <c r="AP137" i="60"/>
  <c r="AO137" i="60"/>
  <c r="AV136" i="60"/>
  <c r="AP136" i="60"/>
  <c r="AO136" i="60"/>
  <c r="AV18" i="47" l="1"/>
  <c r="AU18" i="47"/>
  <c r="V63" i="58" s="1"/>
  <c r="AM18" i="47"/>
  <c r="T63" i="58" s="1"/>
  <c r="AG59" i="64" s="1"/>
  <c r="W18" i="47"/>
  <c r="AE18" i="47"/>
  <c r="R63" i="58" s="1"/>
  <c r="AE59" i="64" s="1"/>
  <c r="AE19" i="43"/>
  <c r="R43" i="58" s="1"/>
  <c r="AE39" i="64" s="1"/>
  <c r="M71" i="59"/>
  <c r="AT136" i="60" s="1"/>
  <c r="M72" i="59"/>
  <c r="AT137" i="60" s="1"/>
  <c r="M73" i="59"/>
  <c r="AT138" i="60" s="1"/>
  <c r="K73" i="59"/>
  <c r="AR138" i="60" s="1"/>
  <c r="K71" i="59"/>
  <c r="AR136" i="60" s="1"/>
  <c r="K72" i="59"/>
  <c r="AR137" i="60" s="1"/>
  <c r="AI59" i="64" l="1"/>
  <c r="BJ59" i="64" s="1"/>
  <c r="BF17" i="50"/>
  <c r="BE17" i="50"/>
  <c r="AE21" i="42"/>
  <c r="AE20" i="42" l="1"/>
  <c r="AE17" i="52" l="1"/>
  <c r="R76" i="58" s="1"/>
  <c r="AE72" i="64" s="1"/>
  <c r="R86" i="58" l="1"/>
  <c r="AE82" i="64" s="1"/>
  <c r="R85" i="58"/>
  <c r="AE81" i="64" s="1"/>
  <c r="R84" i="58"/>
  <c r="AE80" i="64" s="1"/>
  <c r="N99" i="58"/>
  <c r="P94" i="64" s="1"/>
  <c r="BF94" i="64" s="1"/>
  <c r="M99" i="58"/>
  <c r="O94" i="64" s="1"/>
  <c r="AU94" i="64" s="1"/>
  <c r="L99" i="58"/>
  <c r="N94" i="64" s="1"/>
  <c r="K99" i="58"/>
  <c r="M94" i="64" s="1"/>
  <c r="J99" i="58"/>
  <c r="L94" i="64" s="1"/>
  <c r="I99" i="58"/>
  <c r="K94" i="64" s="1"/>
  <c r="H99" i="58"/>
  <c r="G99" i="58"/>
  <c r="F99" i="58"/>
  <c r="J94" i="64" s="1"/>
  <c r="E99" i="58"/>
  <c r="I94" i="64" s="1"/>
  <c r="D99" i="58"/>
  <c r="H94" i="64" s="1"/>
  <c r="N98" i="58"/>
  <c r="P93" i="64" s="1"/>
  <c r="BF93" i="64" s="1"/>
  <c r="M98" i="58"/>
  <c r="O93" i="64" s="1"/>
  <c r="AU93" i="64" s="1"/>
  <c r="L98" i="58"/>
  <c r="N93" i="64" s="1"/>
  <c r="K98" i="58"/>
  <c r="M93" i="64" s="1"/>
  <c r="J98" i="58"/>
  <c r="L93" i="64" s="1"/>
  <c r="I98" i="58"/>
  <c r="K93" i="64" s="1"/>
  <c r="H98" i="58"/>
  <c r="G98" i="58"/>
  <c r="F98" i="58"/>
  <c r="J93" i="64" s="1"/>
  <c r="E98" i="58"/>
  <c r="I93" i="64" s="1"/>
  <c r="D98" i="58"/>
  <c r="H93" i="64" s="1"/>
  <c r="N96" i="58"/>
  <c r="P92" i="64" s="1"/>
  <c r="BF92" i="64" s="1"/>
  <c r="M96" i="58"/>
  <c r="O92" i="64" s="1"/>
  <c r="AU92" i="64" s="1"/>
  <c r="L96" i="58"/>
  <c r="N92" i="64" s="1"/>
  <c r="K96" i="58"/>
  <c r="M92" i="64" s="1"/>
  <c r="J96" i="58"/>
  <c r="L92" i="64" s="1"/>
  <c r="I96" i="58"/>
  <c r="K92" i="64" s="1"/>
  <c r="H96" i="58"/>
  <c r="G96" i="58"/>
  <c r="F96" i="58"/>
  <c r="J92" i="64" s="1"/>
  <c r="E96" i="58"/>
  <c r="I92" i="64" s="1"/>
  <c r="D96" i="58"/>
  <c r="H92" i="64" s="1"/>
  <c r="N95" i="58"/>
  <c r="P91" i="64" s="1"/>
  <c r="BF91" i="64" s="1"/>
  <c r="M95" i="58"/>
  <c r="O91" i="64" s="1"/>
  <c r="AU91" i="64" s="1"/>
  <c r="L95" i="58"/>
  <c r="N91" i="64" s="1"/>
  <c r="K95" i="58"/>
  <c r="M91" i="64" s="1"/>
  <c r="J95" i="58"/>
  <c r="L91" i="64" s="1"/>
  <c r="I95" i="58"/>
  <c r="K91" i="64" s="1"/>
  <c r="H95" i="58"/>
  <c r="G95" i="58"/>
  <c r="F95" i="58"/>
  <c r="J91" i="64" s="1"/>
  <c r="E95" i="58"/>
  <c r="I91" i="64" s="1"/>
  <c r="D95" i="58"/>
  <c r="H91" i="64" s="1"/>
  <c r="N94" i="58"/>
  <c r="P90" i="64" s="1"/>
  <c r="BF90" i="64" s="1"/>
  <c r="M94" i="58"/>
  <c r="O90" i="64" s="1"/>
  <c r="AU90" i="64" s="1"/>
  <c r="L94" i="58"/>
  <c r="N90" i="64" s="1"/>
  <c r="K94" i="58"/>
  <c r="M90" i="64" s="1"/>
  <c r="J94" i="58"/>
  <c r="L90" i="64" s="1"/>
  <c r="I94" i="58"/>
  <c r="K90" i="64" s="1"/>
  <c r="H94" i="58"/>
  <c r="G94" i="58"/>
  <c r="F94" i="58"/>
  <c r="E94" i="58"/>
  <c r="I90" i="64" s="1"/>
  <c r="D94" i="58"/>
  <c r="H90" i="64" s="1"/>
  <c r="N93" i="58"/>
  <c r="P89" i="64" s="1"/>
  <c r="BF89" i="64" s="1"/>
  <c r="M93" i="58"/>
  <c r="O89" i="64" s="1"/>
  <c r="AU89" i="64" s="1"/>
  <c r="L93" i="58"/>
  <c r="N89" i="64" s="1"/>
  <c r="K93" i="58"/>
  <c r="M89" i="64" s="1"/>
  <c r="J93" i="58"/>
  <c r="L89" i="64" s="1"/>
  <c r="I93" i="58"/>
  <c r="K89" i="64" s="1"/>
  <c r="H93" i="58"/>
  <c r="G93" i="58"/>
  <c r="F93" i="58"/>
  <c r="E93" i="58"/>
  <c r="I89" i="64" s="1"/>
  <c r="D93" i="58"/>
  <c r="H89" i="64" s="1"/>
  <c r="N92" i="58"/>
  <c r="P88" i="64" s="1"/>
  <c r="BF88" i="64" s="1"/>
  <c r="M92" i="58"/>
  <c r="O88" i="64" s="1"/>
  <c r="AU88" i="64" s="1"/>
  <c r="L92" i="58"/>
  <c r="N88" i="64" s="1"/>
  <c r="K92" i="58"/>
  <c r="M88" i="64" s="1"/>
  <c r="J92" i="58"/>
  <c r="L88" i="64" s="1"/>
  <c r="I92" i="58"/>
  <c r="K88" i="64" s="1"/>
  <c r="H92" i="58"/>
  <c r="G92" i="58"/>
  <c r="F92" i="58"/>
  <c r="J88" i="64" s="1"/>
  <c r="E92" i="58"/>
  <c r="I88" i="64" s="1"/>
  <c r="D92" i="58"/>
  <c r="H88" i="64" s="1"/>
  <c r="N91" i="58"/>
  <c r="P87" i="64" s="1"/>
  <c r="BF87" i="64" s="1"/>
  <c r="M91" i="58"/>
  <c r="O87" i="64" s="1"/>
  <c r="AU87" i="64" s="1"/>
  <c r="L91" i="58"/>
  <c r="N87" i="64" s="1"/>
  <c r="K91" i="58"/>
  <c r="M87" i="64" s="1"/>
  <c r="J91" i="58"/>
  <c r="L87" i="64" s="1"/>
  <c r="I91" i="58"/>
  <c r="K87" i="64" s="1"/>
  <c r="H91" i="58"/>
  <c r="G91" i="58"/>
  <c r="F91" i="58"/>
  <c r="J87" i="64" s="1"/>
  <c r="E91" i="58"/>
  <c r="I87" i="64" s="1"/>
  <c r="D91" i="58"/>
  <c r="H87" i="64" s="1"/>
  <c r="N90" i="58"/>
  <c r="P86" i="64" s="1"/>
  <c r="BF86" i="64" s="1"/>
  <c r="M90" i="58"/>
  <c r="O86" i="64" s="1"/>
  <c r="AU86" i="64" s="1"/>
  <c r="L90" i="58"/>
  <c r="N86" i="64" s="1"/>
  <c r="K90" i="58"/>
  <c r="M86" i="64" s="1"/>
  <c r="J90" i="58"/>
  <c r="L86" i="64" s="1"/>
  <c r="I90" i="58"/>
  <c r="K86" i="64" s="1"/>
  <c r="H90" i="58"/>
  <c r="G90" i="58"/>
  <c r="F90" i="58"/>
  <c r="J86" i="64" s="1"/>
  <c r="E90" i="58"/>
  <c r="I86" i="64" s="1"/>
  <c r="D90" i="58"/>
  <c r="H86" i="64" s="1"/>
  <c r="N89" i="58"/>
  <c r="P85" i="64" s="1"/>
  <c r="BF85" i="64" s="1"/>
  <c r="M89" i="58"/>
  <c r="O85" i="64" s="1"/>
  <c r="AU85" i="64" s="1"/>
  <c r="L89" i="58"/>
  <c r="N85" i="64" s="1"/>
  <c r="K89" i="58"/>
  <c r="M85" i="64" s="1"/>
  <c r="J89" i="58"/>
  <c r="L85" i="64" s="1"/>
  <c r="I89" i="58"/>
  <c r="K85" i="64" s="1"/>
  <c r="H89" i="58"/>
  <c r="G89" i="58"/>
  <c r="F89" i="58"/>
  <c r="J85" i="64" s="1"/>
  <c r="E89" i="58"/>
  <c r="I85" i="64" s="1"/>
  <c r="D89" i="58"/>
  <c r="H85" i="64" s="1"/>
  <c r="N88" i="58"/>
  <c r="P84" i="64" s="1"/>
  <c r="BF84" i="64" s="1"/>
  <c r="M88" i="58"/>
  <c r="O84" i="64" s="1"/>
  <c r="AU84" i="64" s="1"/>
  <c r="L88" i="58"/>
  <c r="N84" i="64" s="1"/>
  <c r="K88" i="58"/>
  <c r="M84" i="64" s="1"/>
  <c r="J88" i="58"/>
  <c r="L84" i="64" s="1"/>
  <c r="I88" i="58"/>
  <c r="K84" i="64" s="1"/>
  <c r="H88" i="58"/>
  <c r="G88" i="58"/>
  <c r="F88" i="58"/>
  <c r="J84" i="64" s="1"/>
  <c r="E88" i="58"/>
  <c r="I84" i="64" s="1"/>
  <c r="D88" i="58"/>
  <c r="H84" i="64" s="1"/>
  <c r="N87" i="58"/>
  <c r="P83" i="64" s="1"/>
  <c r="BF83" i="64" s="1"/>
  <c r="M87" i="58"/>
  <c r="O83" i="64" s="1"/>
  <c r="AU83" i="64" s="1"/>
  <c r="L87" i="58"/>
  <c r="N83" i="64" s="1"/>
  <c r="K87" i="58"/>
  <c r="M83" i="64" s="1"/>
  <c r="J87" i="58"/>
  <c r="L83" i="64" s="1"/>
  <c r="I87" i="58"/>
  <c r="K83" i="64" s="1"/>
  <c r="H87" i="58"/>
  <c r="G87" i="58"/>
  <c r="F87" i="58"/>
  <c r="J83" i="64" s="1"/>
  <c r="E87" i="58"/>
  <c r="I83" i="64" s="1"/>
  <c r="D87" i="58"/>
  <c r="H83" i="64" s="1"/>
  <c r="J90" i="64" l="1"/>
  <c r="J89" i="64"/>
  <c r="W86" i="58"/>
  <c r="W85" i="58"/>
  <c r="W84" i="58"/>
  <c r="Q85" i="58"/>
  <c r="AD81" i="64" s="1"/>
  <c r="Q86" i="58"/>
  <c r="AD82" i="64" s="1"/>
  <c r="Q84" i="58"/>
  <c r="AD80" i="64" s="1"/>
  <c r="P84" i="58"/>
  <c r="AC80" i="64" s="1"/>
  <c r="P85" i="58"/>
  <c r="AC81" i="64" s="1"/>
  <c r="P86" i="58"/>
  <c r="AC82" i="64" s="1"/>
  <c r="O85" i="58"/>
  <c r="AB81" i="64" s="1"/>
  <c r="O86" i="58"/>
  <c r="O84" i="58"/>
  <c r="AB80" i="64" s="1"/>
  <c r="N86" i="58"/>
  <c r="P82" i="64" s="1"/>
  <c r="BF82" i="64" s="1"/>
  <c r="M86" i="58"/>
  <c r="O82" i="64" s="1"/>
  <c r="AU82" i="64" s="1"/>
  <c r="L86" i="58"/>
  <c r="N82" i="64" s="1"/>
  <c r="K86" i="58"/>
  <c r="M82" i="64" s="1"/>
  <c r="J86" i="58"/>
  <c r="L82" i="64" s="1"/>
  <c r="I86" i="58"/>
  <c r="K82" i="64" s="1"/>
  <c r="H86" i="58"/>
  <c r="G86" i="58"/>
  <c r="F86" i="58"/>
  <c r="J82" i="64" s="1"/>
  <c r="BL82" i="64" s="1"/>
  <c r="N85" i="58"/>
  <c r="P81" i="64" s="1"/>
  <c r="BF81" i="64" s="1"/>
  <c r="M85" i="58"/>
  <c r="O81" i="64" s="1"/>
  <c r="AU81" i="64" s="1"/>
  <c r="L85" i="58"/>
  <c r="N81" i="64" s="1"/>
  <c r="K85" i="58"/>
  <c r="M81" i="64" s="1"/>
  <c r="J85" i="58"/>
  <c r="L81" i="64" s="1"/>
  <c r="I85" i="58"/>
  <c r="K81" i="64" s="1"/>
  <c r="H85" i="58"/>
  <c r="G85" i="58"/>
  <c r="F85" i="58"/>
  <c r="J81" i="64" s="1"/>
  <c r="BL81" i="64" s="1"/>
  <c r="N84" i="58"/>
  <c r="P80" i="64" s="1"/>
  <c r="BF80" i="64" s="1"/>
  <c r="M84" i="58"/>
  <c r="O80" i="64" s="1"/>
  <c r="AU80" i="64" s="1"/>
  <c r="L84" i="58"/>
  <c r="N80" i="64" s="1"/>
  <c r="K84" i="58"/>
  <c r="M80" i="64" s="1"/>
  <c r="J84" i="58"/>
  <c r="L80" i="64" s="1"/>
  <c r="I84" i="58"/>
  <c r="K80" i="64" s="1"/>
  <c r="H84" i="58"/>
  <c r="G84" i="58"/>
  <c r="F84" i="58"/>
  <c r="J80" i="64" s="1"/>
  <c r="BL80" i="64" s="1"/>
  <c r="N83" i="58"/>
  <c r="P79" i="64" s="1"/>
  <c r="BF79" i="64" s="1"/>
  <c r="M83" i="58"/>
  <c r="O79" i="64" s="1"/>
  <c r="AU79" i="64" s="1"/>
  <c r="L83" i="58"/>
  <c r="N79" i="64" s="1"/>
  <c r="K83" i="58"/>
  <c r="M79" i="64" s="1"/>
  <c r="J83" i="58"/>
  <c r="L79" i="64" s="1"/>
  <c r="I83" i="58"/>
  <c r="K79" i="64" s="1"/>
  <c r="H83" i="58"/>
  <c r="G83" i="58"/>
  <c r="F83" i="58"/>
  <c r="N82" i="58"/>
  <c r="P78" i="64" s="1"/>
  <c r="BF78" i="64" s="1"/>
  <c r="M82" i="58"/>
  <c r="O78" i="64" s="1"/>
  <c r="AU78" i="64" s="1"/>
  <c r="L82" i="58"/>
  <c r="N78" i="64" s="1"/>
  <c r="K82" i="58"/>
  <c r="M78" i="64" s="1"/>
  <c r="J82" i="58"/>
  <c r="L78" i="64" s="1"/>
  <c r="I82" i="58"/>
  <c r="K78" i="64" s="1"/>
  <c r="H82" i="58"/>
  <c r="G82" i="58"/>
  <c r="F82" i="58"/>
  <c r="E82" i="58"/>
  <c r="I78" i="64" s="1"/>
  <c r="D82" i="58"/>
  <c r="H78" i="64" s="1"/>
  <c r="N78" i="58"/>
  <c r="P74" i="64" s="1"/>
  <c r="BF74" i="64" s="1"/>
  <c r="M78" i="58"/>
  <c r="O74" i="64" s="1"/>
  <c r="AU74" i="64" s="1"/>
  <c r="L78" i="58"/>
  <c r="N74" i="64" s="1"/>
  <c r="K78" i="58"/>
  <c r="M74" i="64" s="1"/>
  <c r="J78" i="58"/>
  <c r="L74" i="64" s="1"/>
  <c r="I78" i="58"/>
  <c r="K74" i="64" s="1"/>
  <c r="H78" i="58"/>
  <c r="G78" i="58"/>
  <c r="F78" i="58"/>
  <c r="J74" i="64" s="1"/>
  <c r="E78" i="58"/>
  <c r="I74" i="64" s="1"/>
  <c r="D78" i="58"/>
  <c r="H74" i="64" s="1"/>
  <c r="N77" i="58"/>
  <c r="P73" i="64" s="1"/>
  <c r="BF73" i="64" s="1"/>
  <c r="M77" i="58"/>
  <c r="O73" i="64" s="1"/>
  <c r="AU73" i="64" s="1"/>
  <c r="L77" i="58"/>
  <c r="N73" i="64" s="1"/>
  <c r="K77" i="58"/>
  <c r="M73" i="64" s="1"/>
  <c r="J77" i="58"/>
  <c r="L73" i="64" s="1"/>
  <c r="I77" i="58"/>
  <c r="K73" i="64" s="1"/>
  <c r="H77" i="58"/>
  <c r="G77" i="58"/>
  <c r="F77" i="58"/>
  <c r="J73" i="64" s="1"/>
  <c r="E77" i="58"/>
  <c r="I73" i="64" s="1"/>
  <c r="D77" i="58"/>
  <c r="H73" i="64" s="1"/>
  <c r="E84" i="58"/>
  <c r="I80" i="64" s="1"/>
  <c r="D84" i="58"/>
  <c r="H80" i="64" s="1"/>
  <c r="N81" i="58"/>
  <c r="P77" i="64" s="1"/>
  <c r="BF77" i="64" s="1"/>
  <c r="M81" i="58"/>
  <c r="O77" i="64" s="1"/>
  <c r="AU77" i="64" s="1"/>
  <c r="L81" i="58"/>
  <c r="N77" i="64" s="1"/>
  <c r="K81" i="58"/>
  <c r="M77" i="64" s="1"/>
  <c r="J81" i="58"/>
  <c r="L77" i="64" s="1"/>
  <c r="I81" i="58"/>
  <c r="K77" i="64" s="1"/>
  <c r="H81" i="58"/>
  <c r="G81" i="58"/>
  <c r="F81" i="58"/>
  <c r="E81" i="58"/>
  <c r="I77" i="64" s="1"/>
  <c r="D81" i="58"/>
  <c r="H77" i="64" s="1"/>
  <c r="N80" i="58"/>
  <c r="P76" i="64" s="1"/>
  <c r="BF76" i="64" s="1"/>
  <c r="M80" i="58"/>
  <c r="O76" i="64" s="1"/>
  <c r="AU76" i="64" s="1"/>
  <c r="L80" i="58"/>
  <c r="N76" i="64" s="1"/>
  <c r="K80" i="58"/>
  <c r="M76" i="64" s="1"/>
  <c r="J80" i="58"/>
  <c r="L76" i="64" s="1"/>
  <c r="I80" i="58"/>
  <c r="K76" i="64" s="1"/>
  <c r="H80" i="58"/>
  <c r="G80" i="58"/>
  <c r="F80" i="58"/>
  <c r="E80" i="58"/>
  <c r="I76" i="64" s="1"/>
  <c r="D80" i="58"/>
  <c r="H76" i="64" s="1"/>
  <c r="N79" i="58"/>
  <c r="P75" i="64" s="1"/>
  <c r="BF75" i="64" s="1"/>
  <c r="M79" i="58"/>
  <c r="O75" i="64" s="1"/>
  <c r="AU75" i="64" s="1"/>
  <c r="L79" i="58"/>
  <c r="N75" i="64" s="1"/>
  <c r="K79" i="58"/>
  <c r="M75" i="64" s="1"/>
  <c r="J79" i="58"/>
  <c r="L75" i="64" s="1"/>
  <c r="I79" i="58"/>
  <c r="K75" i="64" s="1"/>
  <c r="H79" i="58"/>
  <c r="G79" i="58"/>
  <c r="F79" i="58"/>
  <c r="E79" i="58"/>
  <c r="I75" i="64" s="1"/>
  <c r="D79" i="58"/>
  <c r="H75" i="64" s="1"/>
  <c r="N76" i="58"/>
  <c r="P72" i="64" s="1"/>
  <c r="BF72" i="64" s="1"/>
  <c r="M76" i="58"/>
  <c r="O72" i="64" s="1"/>
  <c r="AU72" i="64" s="1"/>
  <c r="L76" i="58"/>
  <c r="N72" i="64" s="1"/>
  <c r="K76" i="58"/>
  <c r="M72" i="64" s="1"/>
  <c r="J76" i="58"/>
  <c r="L72" i="64" s="1"/>
  <c r="I76" i="58"/>
  <c r="K72" i="64" s="1"/>
  <c r="H76" i="58"/>
  <c r="F72" i="64" s="1"/>
  <c r="E39" i="69" s="1"/>
  <c r="G76" i="58"/>
  <c r="F76" i="58"/>
  <c r="E76" i="58"/>
  <c r="I72" i="64" s="1"/>
  <c r="D76" i="58"/>
  <c r="H72" i="64" s="1"/>
  <c r="N75" i="58"/>
  <c r="P71" i="64" s="1"/>
  <c r="BF71" i="64" s="1"/>
  <c r="M75" i="58"/>
  <c r="O71" i="64" s="1"/>
  <c r="AU71" i="64" s="1"/>
  <c r="L75" i="58"/>
  <c r="N71" i="64" s="1"/>
  <c r="K75" i="58"/>
  <c r="M71" i="64" s="1"/>
  <c r="J75" i="58"/>
  <c r="L71" i="64" s="1"/>
  <c r="I75" i="58"/>
  <c r="K71" i="64" s="1"/>
  <c r="H75" i="58"/>
  <c r="F71" i="64" s="1"/>
  <c r="E38" i="69" s="1"/>
  <c r="G75" i="58"/>
  <c r="F75" i="58"/>
  <c r="E75" i="58"/>
  <c r="I71" i="64" s="1"/>
  <c r="D75" i="58"/>
  <c r="H71" i="64" s="1"/>
  <c r="N74" i="58"/>
  <c r="P70" i="64" s="1"/>
  <c r="BF70" i="64" s="1"/>
  <c r="M74" i="58"/>
  <c r="O70" i="64" s="1"/>
  <c r="AU70" i="64" s="1"/>
  <c r="L74" i="58"/>
  <c r="N70" i="64" s="1"/>
  <c r="K74" i="58"/>
  <c r="M70" i="64" s="1"/>
  <c r="J74" i="58"/>
  <c r="L70" i="64" s="1"/>
  <c r="I74" i="58"/>
  <c r="K70" i="64" s="1"/>
  <c r="H74" i="58"/>
  <c r="F70" i="64" s="1"/>
  <c r="E37" i="69" s="1"/>
  <c r="G74" i="58"/>
  <c r="F74" i="58"/>
  <c r="J70" i="64" s="1"/>
  <c r="E74" i="58"/>
  <c r="I70" i="64" s="1"/>
  <c r="D74" i="58"/>
  <c r="H70" i="64" s="1"/>
  <c r="N73" i="58"/>
  <c r="P69" i="64" s="1"/>
  <c r="BF69" i="64" s="1"/>
  <c r="M73" i="58"/>
  <c r="O69" i="64" s="1"/>
  <c r="AU69" i="64" s="1"/>
  <c r="L73" i="58"/>
  <c r="N69" i="64" s="1"/>
  <c r="K73" i="58"/>
  <c r="M69" i="64" s="1"/>
  <c r="J73" i="58"/>
  <c r="L69" i="64" s="1"/>
  <c r="I73" i="58"/>
  <c r="K69" i="64" s="1"/>
  <c r="H73" i="58"/>
  <c r="G73" i="58"/>
  <c r="F73" i="58"/>
  <c r="J69" i="64" s="1"/>
  <c r="E73" i="58"/>
  <c r="I69" i="64" s="1"/>
  <c r="D73" i="58"/>
  <c r="H69" i="64" s="1"/>
  <c r="N72" i="58"/>
  <c r="P68" i="64" s="1"/>
  <c r="BF68" i="64" s="1"/>
  <c r="M72" i="58"/>
  <c r="O68" i="64" s="1"/>
  <c r="AU68" i="64" s="1"/>
  <c r="L72" i="58"/>
  <c r="N68" i="64" s="1"/>
  <c r="K72" i="58"/>
  <c r="M68" i="64" s="1"/>
  <c r="J72" i="58"/>
  <c r="L68" i="64" s="1"/>
  <c r="I72" i="58"/>
  <c r="K68" i="64" s="1"/>
  <c r="H72" i="58"/>
  <c r="G72" i="58"/>
  <c r="F72" i="58"/>
  <c r="J68" i="64" s="1"/>
  <c r="E72" i="58"/>
  <c r="I68" i="64" s="1"/>
  <c r="D72" i="58"/>
  <c r="H68" i="64" s="1"/>
  <c r="N71" i="58"/>
  <c r="P67" i="64" s="1"/>
  <c r="BF67" i="64" s="1"/>
  <c r="M71" i="58"/>
  <c r="O67" i="64" s="1"/>
  <c r="AU67" i="64" s="1"/>
  <c r="L71" i="58"/>
  <c r="N67" i="64" s="1"/>
  <c r="K71" i="58"/>
  <c r="M67" i="64" s="1"/>
  <c r="J71" i="58"/>
  <c r="L67" i="64" s="1"/>
  <c r="I71" i="58"/>
  <c r="K67" i="64" s="1"/>
  <c r="H71" i="58"/>
  <c r="G71" i="58"/>
  <c r="F71" i="58"/>
  <c r="J67" i="64" s="1"/>
  <c r="E71" i="58"/>
  <c r="I67" i="64" s="1"/>
  <c r="D71" i="58"/>
  <c r="H67" i="64" s="1"/>
  <c r="N70" i="58"/>
  <c r="P66" i="64" s="1"/>
  <c r="BF66" i="64" s="1"/>
  <c r="M70" i="58"/>
  <c r="O66" i="64" s="1"/>
  <c r="AU66" i="64" s="1"/>
  <c r="L70" i="58"/>
  <c r="N66" i="64" s="1"/>
  <c r="K70" i="58"/>
  <c r="M66" i="64" s="1"/>
  <c r="J70" i="58"/>
  <c r="L66" i="64" s="1"/>
  <c r="I70" i="58"/>
  <c r="K66" i="64" s="1"/>
  <c r="H70" i="58"/>
  <c r="G70" i="58"/>
  <c r="F70" i="58"/>
  <c r="E70" i="58"/>
  <c r="I66" i="64" s="1"/>
  <c r="D70" i="58"/>
  <c r="H66" i="64" s="1"/>
  <c r="N69" i="58"/>
  <c r="P65" i="64" s="1"/>
  <c r="BF65" i="64" s="1"/>
  <c r="M69" i="58"/>
  <c r="O65" i="64" s="1"/>
  <c r="AU65" i="64" s="1"/>
  <c r="L69" i="58"/>
  <c r="N65" i="64" s="1"/>
  <c r="K69" i="58"/>
  <c r="M65" i="64" s="1"/>
  <c r="J69" i="58"/>
  <c r="L65" i="64" s="1"/>
  <c r="I69" i="58"/>
  <c r="K65" i="64" s="1"/>
  <c r="H69" i="58"/>
  <c r="G69" i="58"/>
  <c r="F69" i="58"/>
  <c r="E69" i="58"/>
  <c r="I65" i="64" s="1"/>
  <c r="D69" i="58"/>
  <c r="H65" i="64" s="1"/>
  <c r="N68" i="58"/>
  <c r="P64" i="64" s="1"/>
  <c r="BF64" i="64" s="1"/>
  <c r="M68" i="58"/>
  <c r="O64" i="64" s="1"/>
  <c r="AU64" i="64" s="1"/>
  <c r="L68" i="58"/>
  <c r="N64" i="64" s="1"/>
  <c r="K68" i="58"/>
  <c r="M64" i="64" s="1"/>
  <c r="J68" i="58"/>
  <c r="L64" i="64" s="1"/>
  <c r="I68" i="58"/>
  <c r="K64" i="64" s="1"/>
  <c r="H68" i="58"/>
  <c r="F64" i="64" s="1"/>
  <c r="E34" i="69" s="1"/>
  <c r="G68" i="58"/>
  <c r="F68" i="58"/>
  <c r="J64" i="64" s="1"/>
  <c r="E68" i="58"/>
  <c r="I64" i="64" s="1"/>
  <c r="D68" i="58"/>
  <c r="H64" i="64" s="1"/>
  <c r="N67" i="58"/>
  <c r="P63" i="64" s="1"/>
  <c r="BF63" i="64" s="1"/>
  <c r="M67" i="58"/>
  <c r="O63" i="64" s="1"/>
  <c r="AU63" i="64" s="1"/>
  <c r="L67" i="58"/>
  <c r="N63" i="64" s="1"/>
  <c r="K67" i="58"/>
  <c r="M63" i="64" s="1"/>
  <c r="J67" i="58"/>
  <c r="L63" i="64" s="1"/>
  <c r="I67" i="58"/>
  <c r="K63" i="64" s="1"/>
  <c r="H67" i="58"/>
  <c r="G67" i="58"/>
  <c r="F67" i="58"/>
  <c r="J63" i="64" s="1"/>
  <c r="E67" i="58"/>
  <c r="I63" i="64" s="1"/>
  <c r="D67" i="58"/>
  <c r="H63" i="64" s="1"/>
  <c r="N66" i="58"/>
  <c r="P62" i="64" s="1"/>
  <c r="BF62" i="64" s="1"/>
  <c r="M66" i="58"/>
  <c r="O62" i="64" s="1"/>
  <c r="AU62" i="64" s="1"/>
  <c r="L66" i="58"/>
  <c r="N62" i="64" s="1"/>
  <c r="K66" i="58"/>
  <c r="M62" i="64" s="1"/>
  <c r="J66" i="58"/>
  <c r="L62" i="64" s="1"/>
  <c r="I66" i="58"/>
  <c r="K62" i="64" s="1"/>
  <c r="H66" i="58"/>
  <c r="G66" i="58"/>
  <c r="F66" i="58"/>
  <c r="J62" i="64" s="1"/>
  <c r="E66" i="58"/>
  <c r="I62" i="64" s="1"/>
  <c r="D66" i="58"/>
  <c r="H62" i="64" s="1"/>
  <c r="N65" i="58"/>
  <c r="P61" i="64" s="1"/>
  <c r="BF61" i="64" s="1"/>
  <c r="M65" i="58"/>
  <c r="O61" i="64" s="1"/>
  <c r="AU61" i="64" s="1"/>
  <c r="L65" i="58"/>
  <c r="N61" i="64" s="1"/>
  <c r="K65" i="58"/>
  <c r="M61" i="64" s="1"/>
  <c r="J65" i="58"/>
  <c r="L61" i="64" s="1"/>
  <c r="I65" i="58"/>
  <c r="K61" i="64" s="1"/>
  <c r="H65" i="58"/>
  <c r="G65" i="58"/>
  <c r="F65" i="58"/>
  <c r="J61" i="64" s="1"/>
  <c r="E65" i="58"/>
  <c r="I61" i="64" s="1"/>
  <c r="D65" i="58"/>
  <c r="H61" i="64" s="1"/>
  <c r="N64" i="58"/>
  <c r="P60" i="64" s="1"/>
  <c r="BF60" i="64" s="1"/>
  <c r="M64" i="58"/>
  <c r="O60" i="64" s="1"/>
  <c r="AU60" i="64" s="1"/>
  <c r="L64" i="58"/>
  <c r="N60" i="64" s="1"/>
  <c r="K64" i="58"/>
  <c r="M60" i="64" s="1"/>
  <c r="J64" i="58"/>
  <c r="L60" i="64" s="1"/>
  <c r="I64" i="58"/>
  <c r="K60" i="64" s="1"/>
  <c r="H64" i="58"/>
  <c r="G64" i="58"/>
  <c r="F64" i="58"/>
  <c r="J60" i="64" s="1"/>
  <c r="E64" i="58"/>
  <c r="I60" i="64" s="1"/>
  <c r="D64" i="58"/>
  <c r="H60" i="64" s="1"/>
  <c r="N63" i="58"/>
  <c r="P59" i="64" s="1"/>
  <c r="BF59" i="64" s="1"/>
  <c r="M63" i="58"/>
  <c r="O59" i="64" s="1"/>
  <c r="AU59" i="64" s="1"/>
  <c r="L63" i="58"/>
  <c r="N59" i="64" s="1"/>
  <c r="K63" i="58"/>
  <c r="M59" i="64" s="1"/>
  <c r="J63" i="58"/>
  <c r="L59" i="64" s="1"/>
  <c r="I63" i="58"/>
  <c r="K59" i="64" s="1"/>
  <c r="H63" i="58"/>
  <c r="F59" i="64" s="1"/>
  <c r="E32" i="69" s="1"/>
  <c r="G63" i="58"/>
  <c r="F63" i="58"/>
  <c r="E63" i="58"/>
  <c r="I59" i="64" s="1"/>
  <c r="D63" i="58"/>
  <c r="H59" i="64" s="1"/>
  <c r="N62" i="58"/>
  <c r="P58" i="64" s="1"/>
  <c r="BF58" i="64" s="1"/>
  <c r="M62" i="58"/>
  <c r="O58" i="64" s="1"/>
  <c r="AU58" i="64" s="1"/>
  <c r="L62" i="58"/>
  <c r="N58" i="64" s="1"/>
  <c r="K62" i="58"/>
  <c r="M58" i="64" s="1"/>
  <c r="J62" i="58"/>
  <c r="L58" i="64" s="1"/>
  <c r="I62" i="58"/>
  <c r="K58" i="64" s="1"/>
  <c r="H62" i="58"/>
  <c r="F58" i="64" s="1"/>
  <c r="E31" i="69" s="1"/>
  <c r="G62" i="58"/>
  <c r="F62" i="58"/>
  <c r="E62" i="58"/>
  <c r="I58" i="64" s="1"/>
  <c r="D62" i="58"/>
  <c r="H58" i="64" s="1"/>
  <c r="N61" i="58"/>
  <c r="P57" i="64" s="1"/>
  <c r="BF57" i="64" s="1"/>
  <c r="M61" i="58"/>
  <c r="O57" i="64" s="1"/>
  <c r="AU57" i="64" s="1"/>
  <c r="L61" i="58"/>
  <c r="N57" i="64" s="1"/>
  <c r="K61" i="58"/>
  <c r="M57" i="64" s="1"/>
  <c r="J61" i="58"/>
  <c r="L57" i="64" s="1"/>
  <c r="I61" i="58"/>
  <c r="K57" i="64" s="1"/>
  <c r="H61" i="58"/>
  <c r="F57" i="64" s="1"/>
  <c r="E30" i="69" s="1"/>
  <c r="G61" i="58"/>
  <c r="F61" i="58"/>
  <c r="E61" i="58"/>
  <c r="I57" i="64" s="1"/>
  <c r="D61" i="58"/>
  <c r="H57" i="64" s="1"/>
  <c r="N60" i="58"/>
  <c r="P56" i="64" s="1"/>
  <c r="BF56" i="64" s="1"/>
  <c r="M60" i="58"/>
  <c r="O56" i="64" s="1"/>
  <c r="AU56" i="64" s="1"/>
  <c r="L60" i="58"/>
  <c r="N56" i="64" s="1"/>
  <c r="K60" i="58"/>
  <c r="M56" i="64" s="1"/>
  <c r="J60" i="58"/>
  <c r="L56" i="64" s="1"/>
  <c r="I60" i="58"/>
  <c r="K56" i="64" s="1"/>
  <c r="H60" i="58"/>
  <c r="G60" i="58"/>
  <c r="F60" i="58"/>
  <c r="J56" i="64" s="1"/>
  <c r="E60" i="58"/>
  <c r="I56" i="64" s="1"/>
  <c r="D60" i="58"/>
  <c r="H56" i="64" s="1"/>
  <c r="N58" i="58"/>
  <c r="P54" i="64" s="1"/>
  <c r="BF54" i="64" s="1"/>
  <c r="M58" i="58"/>
  <c r="O54" i="64" s="1"/>
  <c r="AU54" i="64" s="1"/>
  <c r="L58" i="58"/>
  <c r="N54" i="64" s="1"/>
  <c r="K58" i="58"/>
  <c r="M54" i="64" s="1"/>
  <c r="J58" i="58"/>
  <c r="L54" i="64" s="1"/>
  <c r="I58" i="58"/>
  <c r="K54" i="64" s="1"/>
  <c r="H58" i="58"/>
  <c r="G58" i="58"/>
  <c r="F58" i="58"/>
  <c r="J54" i="64" s="1"/>
  <c r="E58" i="58"/>
  <c r="I54" i="64" s="1"/>
  <c r="D58" i="58"/>
  <c r="H54" i="64" s="1"/>
  <c r="N59" i="58"/>
  <c r="P55" i="64" s="1"/>
  <c r="BF55" i="64" s="1"/>
  <c r="M59" i="58"/>
  <c r="O55" i="64" s="1"/>
  <c r="AU55" i="64" s="1"/>
  <c r="L59" i="58"/>
  <c r="N55" i="64" s="1"/>
  <c r="K59" i="58"/>
  <c r="M55" i="64" s="1"/>
  <c r="J59" i="58"/>
  <c r="L55" i="64" s="1"/>
  <c r="I59" i="58"/>
  <c r="K55" i="64" s="1"/>
  <c r="H59" i="58"/>
  <c r="G59" i="58"/>
  <c r="F59" i="58"/>
  <c r="J55" i="64" s="1"/>
  <c r="E59" i="58"/>
  <c r="I55" i="64" s="1"/>
  <c r="D59" i="58"/>
  <c r="H55" i="64" s="1"/>
  <c r="N57" i="58"/>
  <c r="P53" i="64" s="1"/>
  <c r="BF53" i="64" s="1"/>
  <c r="M57" i="58"/>
  <c r="O53" i="64" s="1"/>
  <c r="AU53" i="64" s="1"/>
  <c r="L57" i="58"/>
  <c r="N53" i="64" s="1"/>
  <c r="K57" i="58"/>
  <c r="M53" i="64" s="1"/>
  <c r="J57" i="58"/>
  <c r="L53" i="64" s="1"/>
  <c r="I57" i="58"/>
  <c r="K53" i="64" s="1"/>
  <c r="H57" i="58"/>
  <c r="G57" i="58"/>
  <c r="F57" i="58"/>
  <c r="J53" i="64" s="1"/>
  <c r="E57" i="58"/>
  <c r="I53" i="64" s="1"/>
  <c r="D57" i="58"/>
  <c r="H53" i="64" s="1"/>
  <c r="N56" i="58"/>
  <c r="P52" i="64" s="1"/>
  <c r="BF52" i="64" s="1"/>
  <c r="M56" i="58"/>
  <c r="O52" i="64" s="1"/>
  <c r="AU52" i="64" s="1"/>
  <c r="L56" i="58"/>
  <c r="N52" i="64" s="1"/>
  <c r="K56" i="58"/>
  <c r="M52" i="64" s="1"/>
  <c r="J56" i="58"/>
  <c r="L52" i="64" s="1"/>
  <c r="I56" i="58"/>
  <c r="K52" i="64" s="1"/>
  <c r="H56" i="58"/>
  <c r="G56" i="58"/>
  <c r="F56" i="58"/>
  <c r="J52" i="64" s="1"/>
  <c r="E56" i="58"/>
  <c r="I52" i="64" s="1"/>
  <c r="D56" i="58"/>
  <c r="H52" i="64" s="1"/>
  <c r="N55" i="58"/>
  <c r="P51" i="64" s="1"/>
  <c r="BF51" i="64" s="1"/>
  <c r="M55" i="58"/>
  <c r="O51" i="64" s="1"/>
  <c r="AU51" i="64" s="1"/>
  <c r="L55" i="58"/>
  <c r="N51" i="64" s="1"/>
  <c r="K55" i="58"/>
  <c r="M51" i="64" s="1"/>
  <c r="J55" i="58"/>
  <c r="L51" i="64" s="1"/>
  <c r="I55" i="58"/>
  <c r="K51" i="64" s="1"/>
  <c r="H55" i="58"/>
  <c r="G55" i="58"/>
  <c r="F55" i="58"/>
  <c r="J51" i="64" s="1"/>
  <c r="E55" i="58"/>
  <c r="I51" i="64" s="1"/>
  <c r="D55" i="58"/>
  <c r="H51" i="64" s="1"/>
  <c r="J54" i="58"/>
  <c r="L50" i="64" s="1"/>
  <c r="I54" i="58"/>
  <c r="K50" i="64" s="1"/>
  <c r="H54" i="58"/>
  <c r="G54" i="58"/>
  <c r="F54" i="58"/>
  <c r="J50" i="64" s="1"/>
  <c r="E54" i="58"/>
  <c r="I50" i="64" s="1"/>
  <c r="D54" i="58"/>
  <c r="H50" i="64" s="1"/>
  <c r="J53" i="58"/>
  <c r="L49" i="64" s="1"/>
  <c r="I53" i="58"/>
  <c r="K49" i="64" s="1"/>
  <c r="H53" i="58"/>
  <c r="G53" i="58"/>
  <c r="F53" i="58"/>
  <c r="J49" i="64" s="1"/>
  <c r="E53" i="58"/>
  <c r="I49" i="64" s="1"/>
  <c r="D53" i="58"/>
  <c r="H49" i="64" s="1"/>
  <c r="J52" i="58"/>
  <c r="L48" i="64" s="1"/>
  <c r="I52" i="58"/>
  <c r="K48" i="64" s="1"/>
  <c r="H52" i="58"/>
  <c r="G52" i="58"/>
  <c r="F52" i="58"/>
  <c r="J48" i="64" s="1"/>
  <c r="E52" i="58"/>
  <c r="I48" i="64" s="1"/>
  <c r="D52" i="58"/>
  <c r="H48" i="64" s="1"/>
  <c r="J51" i="58"/>
  <c r="L47" i="64" s="1"/>
  <c r="I51" i="58"/>
  <c r="K47" i="64" s="1"/>
  <c r="H51" i="58"/>
  <c r="G51" i="58"/>
  <c r="F51" i="58"/>
  <c r="J47" i="64" s="1"/>
  <c r="E51" i="58"/>
  <c r="I47" i="64" s="1"/>
  <c r="D51" i="58"/>
  <c r="H47" i="64" s="1"/>
  <c r="J50" i="58"/>
  <c r="L46" i="64" s="1"/>
  <c r="I50" i="58"/>
  <c r="K46" i="64" s="1"/>
  <c r="H50" i="58"/>
  <c r="G50" i="58"/>
  <c r="F50" i="58"/>
  <c r="J46" i="64" s="1"/>
  <c r="E50" i="58"/>
  <c r="I46" i="64" s="1"/>
  <c r="D50" i="58"/>
  <c r="H46" i="64" s="1"/>
  <c r="J49" i="58"/>
  <c r="L45" i="64" s="1"/>
  <c r="I49" i="58"/>
  <c r="K45" i="64" s="1"/>
  <c r="H49" i="58"/>
  <c r="G49" i="58"/>
  <c r="F49" i="58"/>
  <c r="J45" i="64" s="1"/>
  <c r="E49" i="58"/>
  <c r="I45" i="64" s="1"/>
  <c r="D49" i="58"/>
  <c r="H45" i="64" s="1"/>
  <c r="K49" i="58"/>
  <c r="M45" i="64" s="1"/>
  <c r="L49" i="58"/>
  <c r="N45" i="64" s="1"/>
  <c r="M49" i="58"/>
  <c r="O45" i="64" s="1"/>
  <c r="AU45" i="64" s="1"/>
  <c r="N49" i="58"/>
  <c r="P45" i="64" s="1"/>
  <c r="BF45" i="64" s="1"/>
  <c r="K50" i="58"/>
  <c r="M46" i="64" s="1"/>
  <c r="L50" i="58"/>
  <c r="N46" i="64" s="1"/>
  <c r="M50" i="58"/>
  <c r="O46" i="64" s="1"/>
  <c r="AU46" i="64" s="1"/>
  <c r="N50" i="58"/>
  <c r="P46" i="64" s="1"/>
  <c r="BF46" i="64" s="1"/>
  <c r="K51" i="58"/>
  <c r="M47" i="64" s="1"/>
  <c r="L51" i="58"/>
  <c r="N47" i="64" s="1"/>
  <c r="M51" i="58"/>
  <c r="O47" i="64" s="1"/>
  <c r="AU47" i="64" s="1"/>
  <c r="N51" i="58"/>
  <c r="P47" i="64" s="1"/>
  <c r="BF47" i="64" s="1"/>
  <c r="K52" i="58"/>
  <c r="M48" i="64" s="1"/>
  <c r="L52" i="58"/>
  <c r="N48" i="64" s="1"/>
  <c r="M52" i="58"/>
  <c r="O48" i="64" s="1"/>
  <c r="AU48" i="64" s="1"/>
  <c r="N52" i="58"/>
  <c r="P48" i="64" s="1"/>
  <c r="BF48" i="64" s="1"/>
  <c r="K53" i="58"/>
  <c r="M49" i="64" s="1"/>
  <c r="L53" i="58"/>
  <c r="N49" i="64" s="1"/>
  <c r="M53" i="58"/>
  <c r="O49" i="64" s="1"/>
  <c r="AU49" i="64" s="1"/>
  <c r="N53" i="58"/>
  <c r="P49" i="64" s="1"/>
  <c r="BF49" i="64" s="1"/>
  <c r="K54" i="58"/>
  <c r="M50" i="64" s="1"/>
  <c r="L54" i="58"/>
  <c r="N50" i="64" s="1"/>
  <c r="M54" i="58"/>
  <c r="O50" i="64" s="1"/>
  <c r="AU50" i="64" s="1"/>
  <c r="N54" i="58"/>
  <c r="P50" i="64" s="1"/>
  <c r="BF50" i="64" s="1"/>
  <c r="L48" i="58"/>
  <c r="N44" i="64" s="1"/>
  <c r="M48" i="58"/>
  <c r="O44" i="64" s="1"/>
  <c r="AU44" i="64" s="1"/>
  <c r="N48" i="58"/>
  <c r="P44" i="64" s="1"/>
  <c r="BF44" i="64" s="1"/>
  <c r="K48" i="58"/>
  <c r="M44" i="64" s="1"/>
  <c r="J48" i="58"/>
  <c r="L44" i="64" s="1"/>
  <c r="I48" i="58"/>
  <c r="K44" i="64" s="1"/>
  <c r="H48" i="58"/>
  <c r="G48" i="58"/>
  <c r="F48" i="58"/>
  <c r="J44" i="64" s="1"/>
  <c r="E48" i="58"/>
  <c r="I44" i="64" s="1"/>
  <c r="D48" i="58"/>
  <c r="H44" i="64" s="1"/>
  <c r="N47" i="58"/>
  <c r="P43" i="64" s="1"/>
  <c r="BF43" i="64" s="1"/>
  <c r="M47" i="58"/>
  <c r="O43" i="64" s="1"/>
  <c r="AU43" i="64" s="1"/>
  <c r="L47" i="58"/>
  <c r="N43" i="64" s="1"/>
  <c r="K47" i="58"/>
  <c r="M43" i="64" s="1"/>
  <c r="J47" i="58"/>
  <c r="L43" i="64" s="1"/>
  <c r="I47" i="58"/>
  <c r="K43" i="64" s="1"/>
  <c r="H47" i="58"/>
  <c r="G47" i="58"/>
  <c r="F47" i="58"/>
  <c r="J43" i="64" s="1"/>
  <c r="E47" i="58"/>
  <c r="I43" i="64" s="1"/>
  <c r="D47" i="58"/>
  <c r="H43" i="64" s="1"/>
  <c r="N46" i="58"/>
  <c r="P42" i="64" s="1"/>
  <c r="BF42" i="64" s="1"/>
  <c r="M46" i="58"/>
  <c r="O42" i="64" s="1"/>
  <c r="AU42" i="64" s="1"/>
  <c r="L46" i="58"/>
  <c r="N42" i="64" s="1"/>
  <c r="K46" i="58"/>
  <c r="M42" i="64" s="1"/>
  <c r="J46" i="58"/>
  <c r="L42" i="64" s="1"/>
  <c r="I46" i="58"/>
  <c r="K42" i="64" s="1"/>
  <c r="H46" i="58"/>
  <c r="G46" i="58"/>
  <c r="F46" i="58"/>
  <c r="J42" i="64" s="1"/>
  <c r="E46" i="58"/>
  <c r="I42" i="64" s="1"/>
  <c r="D46" i="58"/>
  <c r="H42" i="64" s="1"/>
  <c r="N45" i="58"/>
  <c r="P41" i="64" s="1"/>
  <c r="BF41" i="64" s="1"/>
  <c r="M45" i="58"/>
  <c r="O41" i="64" s="1"/>
  <c r="AU41" i="64" s="1"/>
  <c r="L45" i="58"/>
  <c r="N41" i="64" s="1"/>
  <c r="K45" i="58"/>
  <c r="M41" i="64" s="1"/>
  <c r="J45" i="58"/>
  <c r="L41" i="64" s="1"/>
  <c r="I45" i="58"/>
  <c r="K41" i="64" s="1"/>
  <c r="H45" i="58"/>
  <c r="G45" i="58"/>
  <c r="F45" i="58"/>
  <c r="J41" i="64" s="1"/>
  <c r="E45" i="58"/>
  <c r="I41" i="64" s="1"/>
  <c r="D45" i="58"/>
  <c r="H41" i="64" s="1"/>
  <c r="N44" i="58"/>
  <c r="P40" i="64" s="1"/>
  <c r="BF40" i="64" s="1"/>
  <c r="M44" i="58"/>
  <c r="O40" i="64" s="1"/>
  <c r="AU40" i="64" s="1"/>
  <c r="L44" i="58"/>
  <c r="N40" i="64" s="1"/>
  <c r="K44" i="58"/>
  <c r="M40" i="64" s="1"/>
  <c r="J44" i="58"/>
  <c r="L40" i="64" s="1"/>
  <c r="I44" i="58"/>
  <c r="K40" i="64" s="1"/>
  <c r="H44" i="58"/>
  <c r="G44" i="58"/>
  <c r="F44" i="58"/>
  <c r="J40" i="64" s="1"/>
  <c r="E44" i="58"/>
  <c r="I40" i="64" s="1"/>
  <c r="D44" i="58"/>
  <c r="H40" i="64" s="1"/>
  <c r="N43" i="58"/>
  <c r="P39" i="64" s="1"/>
  <c r="BF39" i="64" s="1"/>
  <c r="M43" i="58"/>
  <c r="O39" i="64" s="1"/>
  <c r="AU39" i="64" s="1"/>
  <c r="L43" i="58"/>
  <c r="N39" i="64" s="1"/>
  <c r="K43" i="58"/>
  <c r="M39" i="64" s="1"/>
  <c r="J43" i="58"/>
  <c r="L39" i="64" s="1"/>
  <c r="I43" i="58"/>
  <c r="K39" i="64" s="1"/>
  <c r="H43" i="58"/>
  <c r="G43" i="58"/>
  <c r="F43" i="58"/>
  <c r="E43" i="58"/>
  <c r="I39" i="64" s="1"/>
  <c r="D43" i="58"/>
  <c r="H39" i="64" s="1"/>
  <c r="N42" i="58"/>
  <c r="P38" i="64" s="1"/>
  <c r="BF38" i="64" s="1"/>
  <c r="M42" i="58"/>
  <c r="O38" i="64" s="1"/>
  <c r="AU38" i="64" s="1"/>
  <c r="L42" i="58"/>
  <c r="N38" i="64" s="1"/>
  <c r="K42" i="58"/>
  <c r="M38" i="64" s="1"/>
  <c r="J42" i="58"/>
  <c r="L38" i="64" s="1"/>
  <c r="I42" i="58"/>
  <c r="K38" i="64" s="1"/>
  <c r="H42" i="58"/>
  <c r="G42" i="58"/>
  <c r="F42" i="58"/>
  <c r="J38" i="64" s="1"/>
  <c r="E42" i="58"/>
  <c r="I38" i="64" s="1"/>
  <c r="D42" i="58"/>
  <c r="H38" i="64" s="1"/>
  <c r="N41" i="58"/>
  <c r="P37" i="64" s="1"/>
  <c r="BF37" i="64" s="1"/>
  <c r="M41" i="58"/>
  <c r="O37" i="64" s="1"/>
  <c r="AU37" i="64" s="1"/>
  <c r="L41" i="58"/>
  <c r="N37" i="64" s="1"/>
  <c r="K41" i="58"/>
  <c r="M37" i="64" s="1"/>
  <c r="J41" i="58"/>
  <c r="L37" i="64" s="1"/>
  <c r="I41" i="58"/>
  <c r="K37" i="64" s="1"/>
  <c r="H41" i="58"/>
  <c r="G41" i="58"/>
  <c r="F41" i="58"/>
  <c r="E41" i="58"/>
  <c r="I37" i="64" s="1"/>
  <c r="D41" i="58"/>
  <c r="H37" i="64" s="1"/>
  <c r="N40" i="58"/>
  <c r="P36" i="64" s="1"/>
  <c r="BF36" i="64" s="1"/>
  <c r="M40" i="58"/>
  <c r="O36" i="64" s="1"/>
  <c r="AU36" i="64" s="1"/>
  <c r="L40" i="58"/>
  <c r="N36" i="64" s="1"/>
  <c r="K40" i="58"/>
  <c r="M36" i="64" s="1"/>
  <c r="J40" i="58"/>
  <c r="L36" i="64" s="1"/>
  <c r="I40" i="58"/>
  <c r="K36" i="64" s="1"/>
  <c r="H40" i="58"/>
  <c r="G40" i="58"/>
  <c r="F40" i="58"/>
  <c r="J36" i="64" s="1"/>
  <c r="E40" i="58"/>
  <c r="I36" i="64" s="1"/>
  <c r="D40" i="58"/>
  <c r="H36" i="64" s="1"/>
  <c r="N39" i="58"/>
  <c r="P35" i="64" s="1"/>
  <c r="BF35" i="64" s="1"/>
  <c r="M39" i="58"/>
  <c r="O35" i="64" s="1"/>
  <c r="AU35" i="64" s="1"/>
  <c r="L39" i="58"/>
  <c r="N35" i="64" s="1"/>
  <c r="K39" i="58"/>
  <c r="M35" i="64" s="1"/>
  <c r="J39" i="58"/>
  <c r="L35" i="64" s="1"/>
  <c r="I39" i="58"/>
  <c r="K35" i="64" s="1"/>
  <c r="H39" i="58"/>
  <c r="G39" i="58"/>
  <c r="F39" i="58"/>
  <c r="J35" i="64" s="1"/>
  <c r="D39" i="58"/>
  <c r="H35" i="64" s="1"/>
  <c r="N38" i="58"/>
  <c r="P34" i="64" s="1"/>
  <c r="BF34" i="64" s="1"/>
  <c r="M38" i="58"/>
  <c r="O34" i="64" s="1"/>
  <c r="AU34" i="64" s="1"/>
  <c r="L38" i="58"/>
  <c r="N34" i="64" s="1"/>
  <c r="K38" i="58"/>
  <c r="M34" i="64" s="1"/>
  <c r="J38" i="58"/>
  <c r="L34" i="64" s="1"/>
  <c r="I38" i="58"/>
  <c r="K34" i="64" s="1"/>
  <c r="H38" i="58"/>
  <c r="G38" i="58"/>
  <c r="F38" i="58"/>
  <c r="J34" i="64" s="1"/>
  <c r="D38" i="58"/>
  <c r="H34" i="64" s="1"/>
  <c r="N37" i="58"/>
  <c r="P33" i="64" s="1"/>
  <c r="BF33" i="64" s="1"/>
  <c r="M37" i="58"/>
  <c r="O33" i="64" s="1"/>
  <c r="AU33" i="64" s="1"/>
  <c r="L37" i="58"/>
  <c r="N33" i="64" s="1"/>
  <c r="K37" i="58"/>
  <c r="M33" i="64" s="1"/>
  <c r="J37" i="58"/>
  <c r="L33" i="64" s="1"/>
  <c r="I37" i="58"/>
  <c r="K33" i="64" s="1"/>
  <c r="H37" i="58"/>
  <c r="G37" i="58"/>
  <c r="F37" i="58"/>
  <c r="J33" i="64" s="1"/>
  <c r="D37" i="58"/>
  <c r="H33" i="64" s="1"/>
  <c r="N36" i="58"/>
  <c r="P32" i="64" s="1"/>
  <c r="BF32" i="64" s="1"/>
  <c r="M36" i="58"/>
  <c r="O32" i="64" s="1"/>
  <c r="AU32" i="64" s="1"/>
  <c r="L36" i="58"/>
  <c r="N32" i="64" s="1"/>
  <c r="K36" i="58"/>
  <c r="M32" i="64" s="1"/>
  <c r="J36" i="58"/>
  <c r="L32" i="64" s="1"/>
  <c r="I36" i="58"/>
  <c r="K32" i="64" s="1"/>
  <c r="H36" i="58"/>
  <c r="G36" i="58"/>
  <c r="F36" i="58"/>
  <c r="J32" i="64" s="1"/>
  <c r="D36" i="58"/>
  <c r="H32" i="64" s="1"/>
  <c r="N35" i="58"/>
  <c r="P31" i="64" s="1"/>
  <c r="BF31" i="64" s="1"/>
  <c r="M35" i="58"/>
  <c r="O31" i="64" s="1"/>
  <c r="AU31" i="64" s="1"/>
  <c r="L35" i="58"/>
  <c r="N31" i="64" s="1"/>
  <c r="K35" i="58"/>
  <c r="M31" i="64" s="1"/>
  <c r="J35" i="58"/>
  <c r="L31" i="64" s="1"/>
  <c r="I35" i="58"/>
  <c r="K31" i="64" s="1"/>
  <c r="H35" i="58"/>
  <c r="G35" i="58"/>
  <c r="F35" i="58"/>
  <c r="J31" i="64" s="1"/>
  <c r="D35" i="58"/>
  <c r="H31" i="64" s="1"/>
  <c r="N34" i="58"/>
  <c r="P30" i="64" s="1"/>
  <c r="BF30" i="64" s="1"/>
  <c r="M34" i="58"/>
  <c r="O30" i="64" s="1"/>
  <c r="AU30" i="64" s="1"/>
  <c r="L34" i="58"/>
  <c r="N30" i="64" s="1"/>
  <c r="K34" i="58"/>
  <c r="M30" i="64" s="1"/>
  <c r="J34" i="58"/>
  <c r="L30" i="64" s="1"/>
  <c r="I34" i="58"/>
  <c r="K30" i="64" s="1"/>
  <c r="H34" i="58"/>
  <c r="G34" i="58"/>
  <c r="F34" i="58"/>
  <c r="J30" i="64" s="1"/>
  <c r="D34" i="58"/>
  <c r="H30" i="64" s="1"/>
  <c r="N33" i="58"/>
  <c r="P29" i="64" s="1"/>
  <c r="BF29" i="64" s="1"/>
  <c r="M33" i="58"/>
  <c r="O29" i="64" s="1"/>
  <c r="AU29" i="64" s="1"/>
  <c r="L33" i="58"/>
  <c r="N29" i="64" s="1"/>
  <c r="K33" i="58"/>
  <c r="M29" i="64" s="1"/>
  <c r="J33" i="58"/>
  <c r="L29" i="64" s="1"/>
  <c r="I33" i="58"/>
  <c r="K29" i="64" s="1"/>
  <c r="H33" i="58"/>
  <c r="G33" i="58"/>
  <c r="F33" i="58"/>
  <c r="J29" i="64" s="1"/>
  <c r="D33" i="58"/>
  <c r="H29" i="64" s="1"/>
  <c r="K14" i="58"/>
  <c r="M10" i="64" s="1"/>
  <c r="L14" i="58"/>
  <c r="N10" i="64" s="1"/>
  <c r="M14" i="58"/>
  <c r="O10" i="64" s="1"/>
  <c r="AU10" i="64" s="1"/>
  <c r="N14" i="58"/>
  <c r="P10" i="64" s="1"/>
  <c r="BF10" i="64" s="1"/>
  <c r="K15" i="58"/>
  <c r="M11" i="64" s="1"/>
  <c r="L15" i="58"/>
  <c r="N11" i="64" s="1"/>
  <c r="M15" i="58"/>
  <c r="O11" i="64" s="1"/>
  <c r="AU11" i="64" s="1"/>
  <c r="N15" i="58"/>
  <c r="P11" i="64" s="1"/>
  <c r="BF11" i="64" s="1"/>
  <c r="K16" i="58"/>
  <c r="M12" i="64" s="1"/>
  <c r="L16" i="58"/>
  <c r="N12" i="64" s="1"/>
  <c r="M16" i="58"/>
  <c r="O12" i="64" s="1"/>
  <c r="AU12" i="64" s="1"/>
  <c r="N16" i="58"/>
  <c r="P12" i="64" s="1"/>
  <c r="BF12" i="64" s="1"/>
  <c r="K17" i="58"/>
  <c r="M13" i="64" s="1"/>
  <c r="L17" i="58"/>
  <c r="N13" i="64" s="1"/>
  <c r="M17" i="58"/>
  <c r="O13" i="64" s="1"/>
  <c r="AU13" i="64" s="1"/>
  <c r="N17" i="58"/>
  <c r="P13" i="64" s="1"/>
  <c r="BF13" i="64" s="1"/>
  <c r="K18" i="58"/>
  <c r="M14" i="64" s="1"/>
  <c r="L18" i="58"/>
  <c r="N14" i="64" s="1"/>
  <c r="M18" i="58"/>
  <c r="O14" i="64" s="1"/>
  <c r="AU14" i="64" s="1"/>
  <c r="N18" i="58"/>
  <c r="P14" i="64" s="1"/>
  <c r="BF14" i="64" s="1"/>
  <c r="K19" i="58"/>
  <c r="M19" i="64" s="1"/>
  <c r="L19" i="58"/>
  <c r="N19" i="64" s="1"/>
  <c r="M19" i="58"/>
  <c r="O19" i="64" s="1"/>
  <c r="AU19" i="64" s="1"/>
  <c r="N19" i="58"/>
  <c r="P19" i="64" s="1"/>
  <c r="BF19" i="64" s="1"/>
  <c r="K20" i="58"/>
  <c r="M15" i="64" s="1"/>
  <c r="L20" i="58"/>
  <c r="N15" i="64" s="1"/>
  <c r="M20" i="58"/>
  <c r="O15" i="64" s="1"/>
  <c r="AU15" i="64" s="1"/>
  <c r="N20" i="58"/>
  <c r="P15" i="64" s="1"/>
  <c r="BF15" i="64" s="1"/>
  <c r="K21" i="58"/>
  <c r="M16" i="64" s="1"/>
  <c r="L21" i="58"/>
  <c r="N16" i="64" s="1"/>
  <c r="M21" i="58"/>
  <c r="O16" i="64" s="1"/>
  <c r="AU16" i="64" s="1"/>
  <c r="N21" i="58"/>
  <c r="P16" i="64" s="1"/>
  <c r="BF16" i="64" s="1"/>
  <c r="K22" i="58"/>
  <c r="M17" i="64" s="1"/>
  <c r="L22" i="58"/>
  <c r="N17" i="64" s="1"/>
  <c r="M22" i="58"/>
  <c r="O17" i="64" s="1"/>
  <c r="AU17" i="64" s="1"/>
  <c r="N22" i="58"/>
  <c r="P17" i="64" s="1"/>
  <c r="BF17" i="64" s="1"/>
  <c r="K23" i="58"/>
  <c r="M18" i="64" s="1"/>
  <c r="L23" i="58"/>
  <c r="N18" i="64" s="1"/>
  <c r="M23" i="58"/>
  <c r="O18" i="64" s="1"/>
  <c r="AU18" i="64" s="1"/>
  <c r="N23" i="58"/>
  <c r="P18" i="64" s="1"/>
  <c r="BF18" i="64" s="1"/>
  <c r="K24" i="58"/>
  <c r="M20" i="64" s="1"/>
  <c r="L24" i="58"/>
  <c r="N20" i="64" s="1"/>
  <c r="M24" i="58"/>
  <c r="O20" i="64" s="1"/>
  <c r="AU20" i="64" s="1"/>
  <c r="N24" i="58"/>
  <c r="P20" i="64" s="1"/>
  <c r="BF20" i="64" s="1"/>
  <c r="K25" i="58"/>
  <c r="M21" i="64" s="1"/>
  <c r="L25" i="58"/>
  <c r="N21" i="64" s="1"/>
  <c r="M25" i="58"/>
  <c r="O21" i="64" s="1"/>
  <c r="AU21" i="64" s="1"/>
  <c r="N25" i="58"/>
  <c r="P21" i="64" s="1"/>
  <c r="BF21" i="64" s="1"/>
  <c r="K26" i="58"/>
  <c r="M22" i="64" s="1"/>
  <c r="L26" i="58"/>
  <c r="N22" i="64" s="1"/>
  <c r="M26" i="58"/>
  <c r="O22" i="64" s="1"/>
  <c r="AU22" i="64" s="1"/>
  <c r="N26" i="58"/>
  <c r="P22" i="64" s="1"/>
  <c r="BF22" i="64" s="1"/>
  <c r="K27" i="58"/>
  <c r="M23" i="64" s="1"/>
  <c r="L27" i="58"/>
  <c r="N23" i="64" s="1"/>
  <c r="M27" i="58"/>
  <c r="O23" i="64" s="1"/>
  <c r="AU23" i="64" s="1"/>
  <c r="N27" i="58"/>
  <c r="P23" i="64" s="1"/>
  <c r="BF23" i="64" s="1"/>
  <c r="K28" i="58"/>
  <c r="M24" i="64" s="1"/>
  <c r="L28" i="58"/>
  <c r="N24" i="64" s="1"/>
  <c r="M28" i="58"/>
  <c r="O24" i="64" s="1"/>
  <c r="AU24" i="64" s="1"/>
  <c r="N28" i="58"/>
  <c r="P24" i="64" s="1"/>
  <c r="BF24" i="64" s="1"/>
  <c r="K29" i="58"/>
  <c r="M25" i="64" s="1"/>
  <c r="L29" i="58"/>
  <c r="N25" i="64" s="1"/>
  <c r="M29" i="58"/>
  <c r="O25" i="64" s="1"/>
  <c r="AU25" i="64" s="1"/>
  <c r="N29" i="58"/>
  <c r="P25" i="64" s="1"/>
  <c r="BF25" i="64" s="1"/>
  <c r="K30" i="58"/>
  <c r="M26" i="64" s="1"/>
  <c r="L30" i="58"/>
  <c r="N26" i="64" s="1"/>
  <c r="M30" i="58"/>
  <c r="O26" i="64" s="1"/>
  <c r="AU26" i="64" s="1"/>
  <c r="N30" i="58"/>
  <c r="P26" i="64" s="1"/>
  <c r="BF26" i="64" s="1"/>
  <c r="K31" i="58"/>
  <c r="M27" i="64" s="1"/>
  <c r="L31" i="58"/>
  <c r="N27" i="64" s="1"/>
  <c r="M31" i="58"/>
  <c r="O27" i="64" s="1"/>
  <c r="AU27" i="64" s="1"/>
  <c r="N31" i="58"/>
  <c r="P27" i="64" s="1"/>
  <c r="BF27" i="64" s="1"/>
  <c r="K32" i="58"/>
  <c r="M28" i="64" s="1"/>
  <c r="L32" i="58"/>
  <c r="N28" i="64" s="1"/>
  <c r="M32" i="58"/>
  <c r="O28" i="64" s="1"/>
  <c r="AU28" i="64" s="1"/>
  <c r="N32" i="58"/>
  <c r="P28" i="64" s="1"/>
  <c r="BF28" i="64" s="1"/>
  <c r="L13" i="58"/>
  <c r="N9" i="64" s="1"/>
  <c r="M13" i="58"/>
  <c r="O9" i="64" s="1"/>
  <c r="AU9" i="64" s="1"/>
  <c r="N13" i="58"/>
  <c r="P9" i="64" s="1"/>
  <c r="BF9" i="64" s="1"/>
  <c r="K13" i="58"/>
  <c r="M9" i="64" s="1"/>
  <c r="D30" i="58"/>
  <c r="H26" i="64" s="1"/>
  <c r="E30" i="58"/>
  <c r="I26" i="64" s="1"/>
  <c r="F30" i="58"/>
  <c r="J26" i="64" s="1"/>
  <c r="G30" i="58"/>
  <c r="H30" i="58"/>
  <c r="I30" i="58"/>
  <c r="K26" i="64" s="1"/>
  <c r="J30" i="58"/>
  <c r="L26" i="64" s="1"/>
  <c r="D31" i="58"/>
  <c r="H27" i="64" s="1"/>
  <c r="E31" i="58"/>
  <c r="I27" i="64" s="1"/>
  <c r="F31" i="58"/>
  <c r="J27" i="64" s="1"/>
  <c r="G31" i="58"/>
  <c r="H31" i="58"/>
  <c r="I31" i="58"/>
  <c r="K27" i="64" s="1"/>
  <c r="J31" i="58"/>
  <c r="L27" i="64" s="1"/>
  <c r="D32" i="58"/>
  <c r="H28" i="64" s="1"/>
  <c r="E32" i="58"/>
  <c r="I28" i="64" s="1"/>
  <c r="F32" i="58"/>
  <c r="J28" i="64" s="1"/>
  <c r="G32" i="58"/>
  <c r="H32" i="58"/>
  <c r="I32" i="58"/>
  <c r="K28" i="64" s="1"/>
  <c r="J32" i="58"/>
  <c r="L28" i="64" s="1"/>
  <c r="D27" i="58"/>
  <c r="H23" i="64" s="1"/>
  <c r="E27" i="58"/>
  <c r="I23" i="64" s="1"/>
  <c r="F27" i="58"/>
  <c r="J23" i="64" s="1"/>
  <c r="G27" i="58"/>
  <c r="H27" i="58"/>
  <c r="I27" i="58"/>
  <c r="K23" i="64" s="1"/>
  <c r="J27" i="58"/>
  <c r="L23" i="64" s="1"/>
  <c r="D28" i="58"/>
  <c r="H24" i="64" s="1"/>
  <c r="E28" i="58"/>
  <c r="I24" i="64" s="1"/>
  <c r="F28" i="58"/>
  <c r="J24" i="64" s="1"/>
  <c r="G28" i="58"/>
  <c r="H28" i="58"/>
  <c r="I28" i="58"/>
  <c r="K24" i="64" s="1"/>
  <c r="J28" i="58"/>
  <c r="L24" i="64" s="1"/>
  <c r="D29" i="58"/>
  <c r="H25" i="64" s="1"/>
  <c r="E29" i="58"/>
  <c r="I25" i="64" s="1"/>
  <c r="F29" i="58"/>
  <c r="J25" i="64" s="1"/>
  <c r="G29" i="58"/>
  <c r="H29" i="58"/>
  <c r="I29" i="58"/>
  <c r="K25" i="64" s="1"/>
  <c r="J29" i="58"/>
  <c r="L25" i="64" s="1"/>
  <c r="D25" i="58"/>
  <c r="H21" i="64" s="1"/>
  <c r="E25" i="58"/>
  <c r="I21" i="64" s="1"/>
  <c r="F25" i="58"/>
  <c r="J21" i="64" s="1"/>
  <c r="G25" i="58"/>
  <c r="H25" i="58"/>
  <c r="I25" i="58"/>
  <c r="K21" i="64" s="1"/>
  <c r="J25" i="58"/>
  <c r="L21" i="64" s="1"/>
  <c r="D26" i="58"/>
  <c r="H22" i="64" s="1"/>
  <c r="E26" i="58"/>
  <c r="I22" i="64" s="1"/>
  <c r="F26" i="58"/>
  <c r="J22" i="64" s="1"/>
  <c r="G26" i="58"/>
  <c r="H26" i="58"/>
  <c r="I26" i="58"/>
  <c r="K22" i="64" s="1"/>
  <c r="J26" i="58"/>
  <c r="L22" i="64" s="1"/>
  <c r="D24" i="58"/>
  <c r="H20" i="64" s="1"/>
  <c r="E24" i="58"/>
  <c r="I20" i="64" s="1"/>
  <c r="F24" i="58"/>
  <c r="J20" i="64" s="1"/>
  <c r="G24" i="58"/>
  <c r="H24" i="58"/>
  <c r="I24" i="58"/>
  <c r="K20" i="64" s="1"/>
  <c r="J24" i="58"/>
  <c r="L20" i="64" s="1"/>
  <c r="D21" i="58"/>
  <c r="H16" i="64" s="1"/>
  <c r="E21" i="58"/>
  <c r="I16" i="64" s="1"/>
  <c r="F21" i="58"/>
  <c r="J16" i="64" s="1"/>
  <c r="G21" i="58"/>
  <c r="H21" i="58"/>
  <c r="I21" i="58"/>
  <c r="K16" i="64" s="1"/>
  <c r="J21" i="58"/>
  <c r="L16" i="64" s="1"/>
  <c r="D22" i="58"/>
  <c r="H17" i="64" s="1"/>
  <c r="E22" i="58"/>
  <c r="I17" i="64" s="1"/>
  <c r="F22" i="58"/>
  <c r="J17" i="64" s="1"/>
  <c r="G22" i="58"/>
  <c r="H22" i="58"/>
  <c r="I22" i="58"/>
  <c r="K17" i="64" s="1"/>
  <c r="J22" i="58"/>
  <c r="L17" i="64" s="1"/>
  <c r="D23" i="58"/>
  <c r="H18" i="64" s="1"/>
  <c r="E23" i="58"/>
  <c r="I18" i="64" s="1"/>
  <c r="F23" i="58"/>
  <c r="J18" i="64" s="1"/>
  <c r="G23" i="58"/>
  <c r="H23" i="58"/>
  <c r="I23" i="58"/>
  <c r="K18" i="64" s="1"/>
  <c r="J23" i="58"/>
  <c r="L18" i="64" s="1"/>
  <c r="D20" i="58"/>
  <c r="H15" i="64" s="1"/>
  <c r="E20" i="58"/>
  <c r="I15" i="64" s="1"/>
  <c r="F20" i="58"/>
  <c r="J15" i="64" s="1"/>
  <c r="G20" i="58"/>
  <c r="H20" i="58"/>
  <c r="I20" i="58"/>
  <c r="K15" i="64" s="1"/>
  <c r="J20" i="58"/>
  <c r="L15" i="64" s="1"/>
  <c r="D18" i="58"/>
  <c r="H14" i="64" s="1"/>
  <c r="E18" i="58"/>
  <c r="I14" i="64" s="1"/>
  <c r="F18" i="58"/>
  <c r="J14" i="64" s="1"/>
  <c r="G18" i="58"/>
  <c r="H18" i="58"/>
  <c r="I18" i="58"/>
  <c r="K14" i="64" s="1"/>
  <c r="J18" i="58"/>
  <c r="L14" i="64" s="1"/>
  <c r="D19" i="58"/>
  <c r="H19" i="64" s="1"/>
  <c r="E19" i="58"/>
  <c r="I19" i="64" s="1"/>
  <c r="F19" i="58"/>
  <c r="J19" i="64" s="1"/>
  <c r="G19" i="58"/>
  <c r="H19" i="58"/>
  <c r="I19" i="58"/>
  <c r="K19" i="64" s="1"/>
  <c r="J19" i="58"/>
  <c r="L19" i="64" s="1"/>
  <c r="J17" i="58"/>
  <c r="L13" i="64" s="1"/>
  <c r="I17" i="58"/>
  <c r="K13" i="64" s="1"/>
  <c r="H17" i="58"/>
  <c r="G17" i="58"/>
  <c r="F17" i="58"/>
  <c r="J13" i="64" s="1"/>
  <c r="E17" i="58"/>
  <c r="I13" i="64" s="1"/>
  <c r="D17" i="58"/>
  <c r="H13" i="64" s="1"/>
  <c r="J16" i="58"/>
  <c r="L12" i="64" s="1"/>
  <c r="I16" i="58"/>
  <c r="K12" i="64" s="1"/>
  <c r="H16" i="58"/>
  <c r="G16" i="58"/>
  <c r="F16" i="58"/>
  <c r="J12" i="64" s="1"/>
  <c r="E16" i="58"/>
  <c r="I12" i="64" s="1"/>
  <c r="D16" i="58"/>
  <c r="H12" i="64" s="1"/>
  <c r="D14" i="58"/>
  <c r="H10" i="64" s="1"/>
  <c r="E14" i="58"/>
  <c r="I10" i="64" s="1"/>
  <c r="F14" i="58"/>
  <c r="J10" i="64" s="1"/>
  <c r="G14" i="58"/>
  <c r="H14" i="58"/>
  <c r="I14" i="58"/>
  <c r="K10" i="64" s="1"/>
  <c r="J14" i="58"/>
  <c r="L10" i="64" s="1"/>
  <c r="D15" i="58"/>
  <c r="H11" i="64" s="1"/>
  <c r="E15" i="58"/>
  <c r="I11" i="64" s="1"/>
  <c r="F15" i="58"/>
  <c r="J11" i="64" s="1"/>
  <c r="G15" i="58"/>
  <c r="H15" i="58"/>
  <c r="I15" i="58"/>
  <c r="K11" i="64" s="1"/>
  <c r="J15" i="58"/>
  <c r="L11" i="64" s="1"/>
  <c r="J13" i="58"/>
  <c r="L9" i="64" s="1"/>
  <c r="I13" i="58"/>
  <c r="K9" i="64" s="1"/>
  <c r="H13" i="58"/>
  <c r="G13" i="58"/>
  <c r="F13" i="58"/>
  <c r="E13" i="58"/>
  <c r="I9" i="64" s="1"/>
  <c r="D13" i="58"/>
  <c r="H9" i="64" s="1"/>
  <c r="AB82" i="64" l="1"/>
  <c r="Y138" i="60"/>
  <c r="AD138" i="60" s="1"/>
  <c r="F138" i="60"/>
  <c r="G138" i="60"/>
  <c r="L138" i="60" s="1"/>
  <c r="J37" i="64"/>
  <c r="J75" i="64"/>
  <c r="J59" i="64"/>
  <c r="BL59" i="64" s="1"/>
  <c r="BM59" i="64" s="1"/>
  <c r="J79" i="64"/>
  <c r="J39" i="64"/>
  <c r="J72" i="64"/>
  <c r="J66" i="64"/>
  <c r="J77" i="64"/>
  <c r="J58" i="64"/>
  <c r="J57" i="64"/>
  <c r="J65" i="64"/>
  <c r="J76" i="64"/>
  <c r="J71" i="64"/>
  <c r="J78" i="64"/>
  <c r="J9" i="64"/>
  <c r="BM80" i="64"/>
  <c r="AK80" i="64"/>
  <c r="AJ80" i="64"/>
  <c r="AJ81" i="64"/>
  <c r="AJ82" i="64"/>
  <c r="G121" i="59"/>
  <c r="F74" i="63" s="1"/>
  <c r="F121" i="59"/>
  <c r="E74" i="63" s="1"/>
  <c r="E121" i="59"/>
  <c r="D74" i="63" s="1"/>
  <c r="R73" i="59"/>
  <c r="R72" i="59"/>
  <c r="R71" i="59"/>
  <c r="N73" i="59"/>
  <c r="AU138" i="60" s="1"/>
  <c r="N72" i="59"/>
  <c r="AU137" i="60" s="1"/>
  <c r="N71" i="59"/>
  <c r="AU136" i="60" s="1"/>
  <c r="L73" i="59"/>
  <c r="AS138" i="60" s="1"/>
  <c r="L72" i="59"/>
  <c r="AS137" i="60" s="1"/>
  <c r="L71" i="59"/>
  <c r="AS136" i="60" s="1"/>
  <c r="J73" i="59"/>
  <c r="AQ138" i="60" s="1"/>
  <c r="J72" i="59"/>
  <c r="AQ137" i="60" s="1"/>
  <c r="J71" i="59"/>
  <c r="AQ136" i="60" s="1"/>
  <c r="C136" i="60"/>
  <c r="C137" i="60"/>
  <c r="C138" i="60"/>
  <c r="D137" i="60"/>
  <c r="D136" i="60"/>
  <c r="D138" i="60"/>
  <c r="F49" i="77" l="1"/>
  <c r="F54" i="77" s="1"/>
  <c r="E58" i="77" s="1"/>
  <c r="D49" i="77"/>
  <c r="AD139" i="60"/>
  <c r="E54" i="73" s="1"/>
  <c r="G49" i="77"/>
  <c r="G54" i="77" s="1"/>
  <c r="E59" i="77" s="1"/>
  <c r="E49" i="77"/>
  <c r="E54" i="77" s="1"/>
  <c r="E57" i="77" s="1"/>
  <c r="F49" i="75"/>
  <c r="F54" i="75" s="1"/>
  <c r="E58" i="75" s="1"/>
  <c r="L139" i="60"/>
  <c r="E54" i="62" s="1"/>
  <c r="G49" i="75"/>
  <c r="E49" i="75"/>
  <c r="E54" i="75" s="1"/>
  <c r="E57" i="75" s="1"/>
  <c r="D49" i="75"/>
  <c r="D54" i="75" s="1"/>
  <c r="P138" i="60"/>
  <c r="U138" i="60" s="1"/>
  <c r="K138" i="60"/>
  <c r="Z84" i="58"/>
  <c r="F42" i="69"/>
  <c r="BA17" i="50"/>
  <c r="AX19" i="50"/>
  <c r="AW19" i="50"/>
  <c r="AT19" i="50"/>
  <c r="U86" i="58" s="1"/>
  <c r="AL19" i="50"/>
  <c r="S86" i="58" s="1"/>
  <c r="AT18" i="50"/>
  <c r="U85" i="58" s="1"/>
  <c r="AL18" i="50"/>
  <c r="S85" i="58" s="1"/>
  <c r="AT17" i="50"/>
  <c r="U84" i="58" s="1"/>
  <c r="AL17" i="50"/>
  <c r="S84" i="58" s="1"/>
  <c r="H18" i="50"/>
  <c r="I18" i="50"/>
  <c r="H19" i="50"/>
  <c r="I19" i="50"/>
  <c r="I17" i="50"/>
  <c r="H17" i="50"/>
  <c r="Q72" i="59"/>
  <c r="E137" i="60" s="1"/>
  <c r="Q73" i="59"/>
  <c r="E138" i="60" s="1"/>
  <c r="Q71" i="59"/>
  <c r="E136" i="60" s="1"/>
  <c r="F18" i="50"/>
  <c r="F19" i="50"/>
  <c r="F17" i="50"/>
  <c r="BH17" i="50" s="1"/>
  <c r="AG84" i="58" s="1"/>
  <c r="E17" i="50"/>
  <c r="D17" i="50"/>
  <c r="E16" i="50"/>
  <c r="O86" i="38"/>
  <c r="O85" i="38"/>
  <c r="O84" i="38"/>
  <c r="F49" i="76" l="1"/>
  <c r="F54" i="76" s="1"/>
  <c r="E58" i="76" s="1"/>
  <c r="D49" i="76"/>
  <c r="U139" i="60"/>
  <c r="E54" i="72" s="1"/>
  <c r="G49" i="76"/>
  <c r="G54" i="76" s="1"/>
  <c r="E59" i="76" s="1"/>
  <c r="E49" i="76"/>
  <c r="E54" i="76" s="1"/>
  <c r="E57" i="76" s="1"/>
  <c r="E32" i="73"/>
  <c r="E34" i="73" s="1"/>
  <c r="E57" i="73"/>
  <c r="E62" i="73" s="1"/>
  <c r="G20" i="75"/>
  <c r="G25" i="75" s="1"/>
  <c r="E30" i="75" s="1"/>
  <c r="D20" i="75"/>
  <c r="E20" i="75"/>
  <c r="E25" i="75" s="1"/>
  <c r="E28" i="75" s="1"/>
  <c r="F20" i="75"/>
  <c r="F25" i="75" s="1"/>
  <c r="E29" i="75" s="1"/>
  <c r="K139" i="60"/>
  <c r="D54" i="62" s="1"/>
  <c r="H49" i="77"/>
  <c r="I49" i="77" s="1"/>
  <c r="D54" i="77"/>
  <c r="H49" i="75"/>
  <c r="I49" i="75" s="1"/>
  <c r="G54" i="75"/>
  <c r="E59" i="75" s="1"/>
  <c r="E56" i="75"/>
  <c r="AL80" i="64"/>
  <c r="P73" i="59"/>
  <c r="BG19" i="50"/>
  <c r="AH138" i="60"/>
  <c r="AF82" i="64"/>
  <c r="P72" i="59"/>
  <c r="BG18" i="50"/>
  <c r="AG138" i="60"/>
  <c r="AH82" i="64"/>
  <c r="AH136" i="60"/>
  <c r="AF80" i="64"/>
  <c r="AG136" i="60"/>
  <c r="AH80" i="64"/>
  <c r="AH137" i="60"/>
  <c r="AF81" i="64"/>
  <c r="AG137" i="60"/>
  <c r="AH81" i="64"/>
  <c r="P71" i="59"/>
  <c r="BG17" i="50"/>
  <c r="AH84" i="58" s="1"/>
  <c r="BC18" i="50"/>
  <c r="BE19" i="50"/>
  <c r="BF19" i="50"/>
  <c r="AW18" i="50"/>
  <c r="BB17" i="50"/>
  <c r="AX18" i="50"/>
  <c r="BF18" i="50" s="1"/>
  <c r="BA19" i="50"/>
  <c r="BB19" i="50"/>
  <c r="BC17" i="50"/>
  <c r="B5" i="62"/>
  <c r="G126" i="59"/>
  <c r="F79" i="63" s="1"/>
  <c r="G125" i="59"/>
  <c r="F78" i="63" s="1"/>
  <c r="G124" i="59"/>
  <c r="F77" i="63" s="1"/>
  <c r="G123" i="59"/>
  <c r="F76" i="63" s="1"/>
  <c r="G122" i="59"/>
  <c r="F75" i="63" s="1"/>
  <c r="G120" i="59"/>
  <c r="F73" i="63" s="1"/>
  <c r="G119" i="59"/>
  <c r="F72" i="63" s="1"/>
  <c r="G118" i="59"/>
  <c r="F71" i="63" s="1"/>
  <c r="G117" i="59"/>
  <c r="F70" i="63" s="1"/>
  <c r="G116" i="59"/>
  <c r="F69" i="63" s="1"/>
  <c r="G115" i="59"/>
  <c r="F68" i="63" s="1"/>
  <c r="G114" i="59"/>
  <c r="F67" i="63" s="1"/>
  <c r="G113" i="59"/>
  <c r="F66" i="63" s="1"/>
  <c r="G112" i="59"/>
  <c r="F65" i="63" s="1"/>
  <c r="F126" i="59"/>
  <c r="E79" i="63" s="1"/>
  <c r="F125" i="59"/>
  <c r="E78" i="63" s="1"/>
  <c r="F124" i="59"/>
  <c r="E77" i="63" s="1"/>
  <c r="F123" i="59"/>
  <c r="E76" i="63" s="1"/>
  <c r="F122" i="59"/>
  <c r="E75" i="63" s="1"/>
  <c r="F120" i="59"/>
  <c r="E73" i="63" s="1"/>
  <c r="F119" i="59"/>
  <c r="E72" i="63" s="1"/>
  <c r="F118" i="59"/>
  <c r="E71" i="63" s="1"/>
  <c r="F117" i="59"/>
  <c r="E70" i="63" s="1"/>
  <c r="F116" i="59"/>
  <c r="E69" i="63" s="1"/>
  <c r="F115" i="59"/>
  <c r="E68" i="63" s="1"/>
  <c r="F114" i="59"/>
  <c r="E67" i="63" s="1"/>
  <c r="F113" i="59"/>
  <c r="E66" i="63" s="1"/>
  <c r="F112" i="59"/>
  <c r="E65" i="63" s="1"/>
  <c r="E126" i="59"/>
  <c r="D79" i="63" s="1"/>
  <c r="E125" i="59"/>
  <c r="D78" i="63" s="1"/>
  <c r="E124" i="59"/>
  <c r="D77" i="63" s="1"/>
  <c r="E123" i="59"/>
  <c r="D76" i="63" s="1"/>
  <c r="E122" i="59"/>
  <c r="D75" i="63" s="1"/>
  <c r="E120" i="59"/>
  <c r="D73" i="63" s="1"/>
  <c r="E119" i="59"/>
  <c r="D72" i="63" s="1"/>
  <c r="E118" i="59"/>
  <c r="D71" i="63" s="1"/>
  <c r="E117" i="59"/>
  <c r="D70" i="63" s="1"/>
  <c r="E116" i="59"/>
  <c r="D69" i="63" s="1"/>
  <c r="E115" i="59"/>
  <c r="D68" i="63" s="1"/>
  <c r="E114" i="59"/>
  <c r="D67" i="63" s="1"/>
  <c r="E113" i="59"/>
  <c r="D66" i="63" s="1"/>
  <c r="E112" i="59"/>
  <c r="D65" i="63" s="1"/>
  <c r="G111" i="59"/>
  <c r="F64" i="63" s="1"/>
  <c r="F111" i="59"/>
  <c r="E64" i="63" s="1"/>
  <c r="E111" i="59"/>
  <c r="D64" i="63" s="1"/>
  <c r="E57" i="72" l="1"/>
  <c r="E62" i="72" s="1"/>
  <c r="E32" i="72"/>
  <c r="E34" i="72" s="1"/>
  <c r="E56" i="77"/>
  <c r="H54" i="77"/>
  <c r="I54" i="77" s="1"/>
  <c r="H54" i="75"/>
  <c r="I54" i="75" s="1"/>
  <c r="H49" i="76"/>
  <c r="I49" i="76" s="1"/>
  <c r="D54" i="76"/>
  <c r="H20" i="75"/>
  <c r="I20" i="75" s="1"/>
  <c r="D25" i="75"/>
  <c r="BI81" i="64"/>
  <c r="BK81" i="64" s="1"/>
  <c r="D80" i="63"/>
  <c r="BI82" i="64"/>
  <c r="BK82" i="64" s="1"/>
  <c r="E80" i="63"/>
  <c r="F80" i="63"/>
  <c r="BI80" i="64"/>
  <c r="BK80" i="64" s="1"/>
  <c r="BE18" i="50"/>
  <c r="BA18" i="50"/>
  <c r="BB18" i="50"/>
  <c r="B37" i="62"/>
  <c r="B5" i="63"/>
  <c r="G127" i="59"/>
  <c r="F127" i="59"/>
  <c r="E127" i="59"/>
  <c r="H54" i="76" l="1"/>
  <c r="I54" i="76" s="1"/>
  <c r="E56" i="76"/>
  <c r="E27" i="75"/>
  <c r="E60" i="75" s="1"/>
  <c r="H25" i="75"/>
  <c r="I25" i="75" s="1"/>
  <c r="AV171" i="60"/>
  <c r="AV172" i="60"/>
  <c r="AV173" i="60"/>
  <c r="AO172" i="60"/>
  <c r="AP172" i="60"/>
  <c r="AO173" i="60"/>
  <c r="AP173" i="60"/>
  <c r="AP171" i="60"/>
  <c r="AO171" i="60"/>
  <c r="C172" i="60"/>
  <c r="C173" i="60"/>
  <c r="C171" i="60"/>
  <c r="AV163" i="60"/>
  <c r="AV164" i="60"/>
  <c r="AV165" i="60"/>
  <c r="AO164" i="60"/>
  <c r="AP164" i="60"/>
  <c r="AO165" i="60"/>
  <c r="AP165" i="60"/>
  <c r="AP163" i="60"/>
  <c r="AO163" i="60"/>
  <c r="C164" i="60"/>
  <c r="C165" i="60"/>
  <c r="C163" i="60"/>
  <c r="AV153" i="60"/>
  <c r="AV154" i="60"/>
  <c r="AV155" i="60"/>
  <c r="AV157" i="60"/>
  <c r="AO154" i="60"/>
  <c r="AP154" i="60"/>
  <c r="AO155" i="60"/>
  <c r="AP155" i="60"/>
  <c r="AO157" i="60"/>
  <c r="AP157" i="60"/>
  <c r="AP153" i="60"/>
  <c r="AO153" i="60"/>
  <c r="C154" i="60"/>
  <c r="C155" i="60"/>
  <c r="C157" i="60"/>
  <c r="C153" i="60"/>
  <c r="AV144" i="60"/>
  <c r="AV145" i="60"/>
  <c r="AV146" i="60"/>
  <c r="AV147" i="60"/>
  <c r="AO145" i="60"/>
  <c r="AP145" i="60"/>
  <c r="AO146" i="60"/>
  <c r="AP146" i="60"/>
  <c r="AO147" i="60"/>
  <c r="AP147" i="60"/>
  <c r="AP144" i="60"/>
  <c r="AO144" i="60"/>
  <c r="C145" i="60"/>
  <c r="C146" i="60"/>
  <c r="C147" i="60"/>
  <c r="C144" i="60"/>
  <c r="AV135" i="60"/>
  <c r="AP135" i="60"/>
  <c r="AO135" i="60"/>
  <c r="C135" i="60"/>
  <c r="AV127" i="60"/>
  <c r="AV128" i="60"/>
  <c r="AV129" i="60"/>
  <c r="AO128" i="60"/>
  <c r="AP128" i="60"/>
  <c r="AO129" i="60"/>
  <c r="AP129" i="60"/>
  <c r="AP127" i="60"/>
  <c r="AO127" i="60"/>
  <c r="C128" i="60"/>
  <c r="C129" i="60"/>
  <c r="C127" i="60"/>
  <c r="AV120" i="60"/>
  <c r="AV121" i="60"/>
  <c r="AO121" i="60"/>
  <c r="AP121" i="60"/>
  <c r="AP120" i="60"/>
  <c r="AO120" i="60"/>
  <c r="C121" i="60"/>
  <c r="C120" i="60"/>
  <c r="AV107" i="60"/>
  <c r="AV108" i="60"/>
  <c r="AV109" i="60"/>
  <c r="AV110" i="60"/>
  <c r="AV111" i="60"/>
  <c r="AV112" i="60"/>
  <c r="AV113" i="60"/>
  <c r="AV114" i="60"/>
  <c r="AO108" i="60"/>
  <c r="AP108" i="60"/>
  <c r="AO109" i="60"/>
  <c r="AP109" i="60"/>
  <c r="AO110" i="60"/>
  <c r="AP110" i="60"/>
  <c r="AO111" i="60"/>
  <c r="AP111" i="60"/>
  <c r="AO112" i="60"/>
  <c r="AP112" i="60"/>
  <c r="AO113" i="60"/>
  <c r="AP113" i="60"/>
  <c r="AO114" i="60"/>
  <c r="AP114" i="60"/>
  <c r="AP107" i="60"/>
  <c r="AO107" i="60"/>
  <c r="C108" i="60"/>
  <c r="C109" i="60"/>
  <c r="C110" i="60"/>
  <c r="C111" i="60"/>
  <c r="C112" i="60"/>
  <c r="C113" i="60"/>
  <c r="C114" i="60"/>
  <c r="C107" i="60"/>
  <c r="AV94" i="60"/>
  <c r="AV95" i="60"/>
  <c r="AV96" i="60"/>
  <c r="AV97" i="60"/>
  <c r="AV98" i="60"/>
  <c r="AV99" i="60"/>
  <c r="AV100" i="60"/>
  <c r="AV101" i="60"/>
  <c r="AO100" i="60"/>
  <c r="AP100" i="60"/>
  <c r="AO101" i="60"/>
  <c r="AP101" i="60"/>
  <c r="AO95" i="60"/>
  <c r="AP95" i="60"/>
  <c r="AO96" i="60"/>
  <c r="AP96" i="60"/>
  <c r="AO97" i="60"/>
  <c r="AP97" i="60"/>
  <c r="AO98" i="60"/>
  <c r="AP98" i="60"/>
  <c r="AO99" i="60"/>
  <c r="AP99" i="60"/>
  <c r="AP94" i="60"/>
  <c r="AO94" i="60"/>
  <c r="C95" i="60"/>
  <c r="C96" i="60"/>
  <c r="C97" i="60"/>
  <c r="C98" i="60"/>
  <c r="C99" i="60"/>
  <c r="C100" i="60"/>
  <c r="C101" i="60"/>
  <c r="C94" i="60"/>
  <c r="AV82" i="60"/>
  <c r="AV83" i="60"/>
  <c r="AV84" i="60"/>
  <c r="AV85" i="60"/>
  <c r="AV86" i="60"/>
  <c r="AV87" i="60"/>
  <c r="AV88" i="60"/>
  <c r="AP83" i="60"/>
  <c r="AP84" i="60"/>
  <c r="AP85" i="60"/>
  <c r="AP86" i="60"/>
  <c r="AP87" i="60"/>
  <c r="AP88" i="60"/>
  <c r="AO83" i="60"/>
  <c r="AO84" i="60"/>
  <c r="AO85" i="60"/>
  <c r="AO86" i="60"/>
  <c r="AO87" i="60"/>
  <c r="AO88" i="60"/>
  <c r="AP82" i="60"/>
  <c r="AO82" i="60"/>
  <c r="C83" i="60"/>
  <c r="C84" i="60"/>
  <c r="C85" i="60"/>
  <c r="C86" i="60"/>
  <c r="C87" i="60"/>
  <c r="C88" i="60"/>
  <c r="C82" i="60"/>
  <c r="AV57" i="60"/>
  <c r="AV58" i="60"/>
  <c r="AV59" i="60"/>
  <c r="AV60" i="60"/>
  <c r="AV61" i="60"/>
  <c r="AV62" i="60"/>
  <c r="AV63" i="60"/>
  <c r="AV64" i="60"/>
  <c r="AV65" i="60"/>
  <c r="AV66" i="60"/>
  <c r="AV67" i="60"/>
  <c r="AV68" i="60"/>
  <c r="AV69" i="60"/>
  <c r="AV70" i="60"/>
  <c r="AV71" i="60"/>
  <c r="AV72" i="60"/>
  <c r="AV73" i="60"/>
  <c r="AV74" i="60"/>
  <c r="AV75" i="60"/>
  <c r="AV76" i="60"/>
  <c r="AO58" i="60"/>
  <c r="AP58" i="60"/>
  <c r="AO59" i="60"/>
  <c r="AP59" i="60"/>
  <c r="AO60" i="60"/>
  <c r="AP60" i="60"/>
  <c r="AO61" i="60"/>
  <c r="AP61" i="60"/>
  <c r="AO62" i="60"/>
  <c r="AP62" i="60"/>
  <c r="AO63" i="60"/>
  <c r="AP63" i="60"/>
  <c r="AO64" i="60"/>
  <c r="AP64" i="60"/>
  <c r="AO65" i="60"/>
  <c r="AP65" i="60"/>
  <c r="AO66" i="60"/>
  <c r="AP66" i="60"/>
  <c r="AO67" i="60"/>
  <c r="AP67" i="60"/>
  <c r="AO68" i="60"/>
  <c r="AP68" i="60"/>
  <c r="AO69" i="60"/>
  <c r="AP69" i="60"/>
  <c r="AO70" i="60"/>
  <c r="AP70" i="60"/>
  <c r="AO71" i="60"/>
  <c r="AP71" i="60"/>
  <c r="AO72" i="60"/>
  <c r="AP72" i="60"/>
  <c r="AO73" i="60"/>
  <c r="AP73" i="60"/>
  <c r="AO74" i="60"/>
  <c r="AP74" i="60"/>
  <c r="AO75" i="60"/>
  <c r="AP75" i="60"/>
  <c r="AO76" i="60"/>
  <c r="AP76" i="60"/>
  <c r="AP57" i="60"/>
  <c r="AO57" i="60"/>
  <c r="C74" i="60"/>
  <c r="C75" i="60"/>
  <c r="C76" i="60"/>
  <c r="C58" i="60"/>
  <c r="C59" i="60"/>
  <c r="C60" i="60"/>
  <c r="C61" i="60"/>
  <c r="C62" i="60"/>
  <c r="C63" i="60"/>
  <c r="C64" i="60"/>
  <c r="C65" i="60"/>
  <c r="C66" i="60"/>
  <c r="C67" i="60"/>
  <c r="C68" i="60"/>
  <c r="C69" i="60"/>
  <c r="C70" i="60"/>
  <c r="C71" i="60"/>
  <c r="C72" i="60"/>
  <c r="C73" i="60"/>
  <c r="C57" i="60"/>
  <c r="AV49" i="60"/>
  <c r="AV50" i="60"/>
  <c r="AV51" i="60"/>
  <c r="AO50" i="60"/>
  <c r="AP50" i="60"/>
  <c r="AO51" i="60"/>
  <c r="AP51" i="60"/>
  <c r="AP49" i="60"/>
  <c r="AO49" i="60"/>
  <c r="C50" i="60"/>
  <c r="C51" i="60"/>
  <c r="C49" i="60"/>
  <c r="AV42" i="60"/>
  <c r="AV43" i="60"/>
  <c r="AP43" i="60"/>
  <c r="AO43" i="60"/>
  <c r="AP42" i="60"/>
  <c r="AO42" i="60"/>
  <c r="C43" i="60"/>
  <c r="C42" i="60"/>
  <c r="AO31" i="60"/>
  <c r="AP31" i="60"/>
  <c r="AV31" i="60"/>
  <c r="AO32" i="60"/>
  <c r="AP32" i="60"/>
  <c r="AV32" i="60"/>
  <c r="AO33" i="60"/>
  <c r="AP33" i="60"/>
  <c r="AV33" i="60"/>
  <c r="AO34" i="60"/>
  <c r="AP34" i="60"/>
  <c r="AV34" i="60"/>
  <c r="AO35" i="60"/>
  <c r="AP35" i="60"/>
  <c r="AV35" i="60"/>
  <c r="AO36" i="60"/>
  <c r="AP36" i="60"/>
  <c r="AV36" i="60"/>
  <c r="AV30" i="60"/>
  <c r="AP30" i="60"/>
  <c r="AO30" i="60"/>
  <c r="AP21" i="60"/>
  <c r="AV21" i="60"/>
  <c r="AP23" i="60"/>
  <c r="AV23" i="60"/>
  <c r="AP24" i="60"/>
  <c r="AV24" i="60"/>
  <c r="AO23" i="60"/>
  <c r="AO24" i="60"/>
  <c r="AO21" i="60"/>
  <c r="C36" i="60"/>
  <c r="C34" i="60"/>
  <c r="C35" i="60"/>
  <c r="C31" i="60"/>
  <c r="C32" i="60"/>
  <c r="C33" i="60"/>
  <c r="C30" i="60"/>
  <c r="C23" i="60"/>
  <c r="C24" i="60"/>
  <c r="C21" i="60"/>
  <c r="AP13" i="60"/>
  <c r="AV13" i="60"/>
  <c r="AP14" i="60"/>
  <c r="AV14" i="60"/>
  <c r="AP15" i="60"/>
  <c r="AV15" i="60"/>
  <c r="AV12" i="60"/>
  <c r="AP12" i="60"/>
  <c r="AO13" i="60"/>
  <c r="AO14" i="60"/>
  <c r="AO15" i="60"/>
  <c r="AO12" i="60"/>
  <c r="C169" i="60"/>
  <c r="C161" i="60"/>
  <c r="C151" i="60"/>
  <c r="C142" i="60"/>
  <c r="C133" i="60"/>
  <c r="C125" i="60"/>
  <c r="C118" i="60"/>
  <c r="C105" i="60"/>
  <c r="C92" i="60"/>
  <c r="C80" i="60"/>
  <c r="C55" i="60"/>
  <c r="C47" i="60"/>
  <c r="C40" i="60"/>
  <c r="C19" i="60"/>
  <c r="C28" i="60"/>
  <c r="C13" i="60"/>
  <c r="C14" i="60"/>
  <c r="C15" i="60"/>
  <c r="C12" i="60"/>
  <c r="B12" i="60"/>
  <c r="B13" i="60" l="1"/>
  <c r="B14" i="60" s="1"/>
  <c r="B15" i="60" s="1"/>
  <c r="B21" i="60" l="1"/>
  <c r="B22" i="60" l="1"/>
  <c r="B23" i="60" s="1"/>
  <c r="B24" i="60" s="1"/>
  <c r="B30" i="60" s="1"/>
  <c r="B31" i="60" s="1"/>
  <c r="B32" i="60" s="1"/>
  <c r="B33" i="60" s="1"/>
  <c r="B34" i="60" s="1"/>
  <c r="B35" i="60" l="1"/>
  <c r="B36" i="60" l="1"/>
  <c r="B42" i="60" s="1"/>
  <c r="B43" i="60" l="1"/>
  <c r="B49" i="60" s="1"/>
  <c r="B50" i="60" s="1"/>
  <c r="B51" i="60" s="1"/>
  <c r="B57" i="60" s="1"/>
  <c r="B58" i="60" l="1"/>
  <c r="B59" i="60" s="1"/>
  <c r="B60" i="60" s="1"/>
  <c r="B61" i="60" s="1"/>
  <c r="B62" i="60" s="1"/>
  <c r="B63" i="60" s="1"/>
  <c r="B64" i="60" s="1"/>
  <c r="B65" i="60" s="1"/>
  <c r="B66" i="60" s="1"/>
  <c r="B67" i="60" s="1"/>
  <c r="B68" i="60" s="1"/>
  <c r="B69" i="60" s="1"/>
  <c r="B70" i="60" s="1"/>
  <c r="B71" i="60" s="1"/>
  <c r="B72" i="60" s="1"/>
  <c r="B73" i="60" s="1"/>
  <c r="B74" i="60" s="1"/>
  <c r="B75" i="60" s="1"/>
  <c r="B76" i="60" s="1"/>
  <c r="B82" i="60" s="1"/>
  <c r="B83" i="60" l="1"/>
  <c r="B84" i="60" s="1"/>
  <c r="B85" i="60" s="1"/>
  <c r="B86" i="60" s="1"/>
  <c r="B87" i="60" s="1"/>
  <c r="B88" i="60" l="1"/>
  <c r="B94" i="60" s="1"/>
  <c r="B95" i="60" s="1"/>
  <c r="B96" i="60" s="1"/>
  <c r="B97" i="60" s="1"/>
  <c r="B98" i="60" s="1"/>
  <c r="B99" i="60" s="1"/>
  <c r="B100" i="60" l="1"/>
  <c r="B101" i="60" s="1"/>
  <c r="B107" i="60" s="1"/>
  <c r="B108" i="60" l="1"/>
  <c r="B109" i="60" s="1"/>
  <c r="B110" i="60" s="1"/>
  <c r="B111" i="60" s="1"/>
  <c r="B112" i="60" s="1"/>
  <c r="B113" i="60" s="1"/>
  <c r="B114" i="60" s="1"/>
  <c r="B120" i="60" s="1"/>
  <c r="B121" i="60" l="1"/>
  <c r="B127" i="60" s="1"/>
  <c r="B128" i="60" l="1"/>
  <c r="B129" i="60" s="1"/>
  <c r="B135" i="60" s="1"/>
  <c r="B136" i="60" s="1"/>
  <c r="B137" i="60" s="1"/>
  <c r="B138" i="60" s="1"/>
  <c r="B144" i="60" s="1"/>
  <c r="B145" i="60" l="1"/>
  <c r="Q90" i="59"/>
  <c r="E172" i="60" s="1"/>
  <c r="Q91" i="59"/>
  <c r="E173" i="60" s="1"/>
  <c r="Q89" i="59"/>
  <c r="E171" i="60" s="1"/>
  <c r="F90" i="59"/>
  <c r="F91" i="59"/>
  <c r="F89" i="59"/>
  <c r="F87" i="59"/>
  <c r="F88" i="59"/>
  <c r="F86" i="59"/>
  <c r="F83" i="59"/>
  <c r="F84" i="59"/>
  <c r="F85" i="59"/>
  <c r="B146" i="60" l="1"/>
  <c r="B147" i="60" s="1"/>
  <c r="B153" i="60" s="1"/>
  <c r="F79" i="59"/>
  <c r="F80" i="59"/>
  <c r="F81" i="59"/>
  <c r="F82" i="59"/>
  <c r="F78" i="59"/>
  <c r="B154" i="60" l="1"/>
  <c r="B155" i="60" s="1"/>
  <c r="B156" i="60" s="1"/>
  <c r="B157" i="60" s="1"/>
  <c r="B163" i="60" s="1"/>
  <c r="F75" i="59"/>
  <c r="F76" i="59"/>
  <c r="F77" i="59"/>
  <c r="F74" i="59"/>
  <c r="B164" i="60" l="1"/>
  <c r="B165" i="60" s="1"/>
  <c r="B171" i="60" s="1"/>
  <c r="F70" i="59"/>
  <c r="B172" i="60" l="1"/>
  <c r="B173" i="60" s="1"/>
  <c r="F68" i="59"/>
  <c r="F69" i="59"/>
  <c r="F67" i="59"/>
  <c r="F66" i="59" l="1"/>
  <c r="F65" i="59"/>
  <c r="O17" i="56" l="1"/>
  <c r="O16" i="56"/>
  <c r="O20" i="44"/>
  <c r="O21" i="44"/>
  <c r="O22" i="44"/>
  <c r="O17" i="44"/>
  <c r="O18" i="44"/>
  <c r="O19" i="44"/>
  <c r="O16" i="44"/>
  <c r="O18" i="45"/>
  <c r="O19" i="45"/>
  <c r="O16" i="45"/>
  <c r="O20" i="47"/>
  <c r="R61" i="59" s="1"/>
  <c r="O21" i="47"/>
  <c r="R62" i="59" s="1"/>
  <c r="O22" i="47"/>
  <c r="R63" i="59" s="1"/>
  <c r="O23" i="47"/>
  <c r="R64" i="59" s="1"/>
  <c r="O18" i="47"/>
  <c r="R59" i="59" s="1"/>
  <c r="O19" i="47"/>
  <c r="R60" i="59" s="1"/>
  <c r="O17" i="47"/>
  <c r="O16" i="47"/>
  <c r="R57" i="59" s="1"/>
  <c r="R58" i="59"/>
  <c r="F58" i="59"/>
  <c r="F59" i="59"/>
  <c r="F60" i="59"/>
  <c r="F61" i="59"/>
  <c r="F62" i="59"/>
  <c r="F63" i="59"/>
  <c r="F64" i="59"/>
  <c r="F57" i="59"/>
  <c r="F56" i="59" l="1"/>
  <c r="F55" i="59"/>
  <c r="F50" i="59"/>
  <c r="F51" i="59"/>
  <c r="F52" i="59"/>
  <c r="F53" i="59"/>
  <c r="F54" i="59"/>
  <c r="F49" i="59"/>
  <c r="F48" i="59" l="1"/>
  <c r="F43" i="59"/>
  <c r="F44" i="59"/>
  <c r="F45" i="59"/>
  <c r="F46" i="59"/>
  <c r="F47" i="59"/>
  <c r="F42" i="59"/>
  <c r="M23" i="59" l="1"/>
  <c r="AT58" i="60" s="1"/>
  <c r="O22" i="42" l="1"/>
  <c r="R48" i="59" s="1"/>
  <c r="O21" i="42"/>
  <c r="R47" i="59" s="1"/>
  <c r="O19" i="42"/>
  <c r="R45" i="59" s="1"/>
  <c r="O20" i="42"/>
  <c r="R46" i="59" s="1"/>
  <c r="O17" i="42"/>
  <c r="R43" i="59" s="1"/>
  <c r="O18" i="42"/>
  <c r="R44" i="59" s="1"/>
  <c r="O16" i="42"/>
  <c r="R42" i="59" s="1"/>
  <c r="O35" i="41"/>
  <c r="O32" i="41"/>
  <c r="O33" i="41"/>
  <c r="O34" i="41"/>
  <c r="O30" i="41"/>
  <c r="O31" i="41"/>
  <c r="O29" i="41"/>
  <c r="O28" i="41"/>
  <c r="O27" i="41"/>
  <c r="O26" i="41"/>
  <c r="O25" i="41"/>
  <c r="O24" i="41"/>
  <c r="O22" i="41"/>
  <c r="O23" i="41"/>
  <c r="O21" i="41"/>
  <c r="O20" i="41"/>
  <c r="O19" i="41"/>
  <c r="O17" i="41"/>
  <c r="O18" i="41"/>
  <c r="O16" i="41"/>
  <c r="R33" i="59" l="1"/>
  <c r="R15" i="59"/>
  <c r="R16" i="59"/>
  <c r="R17" i="59"/>
  <c r="R18" i="59"/>
  <c r="R19" i="59"/>
  <c r="F22" i="59" l="1"/>
  <c r="F23" i="59"/>
  <c r="F24" i="59"/>
  <c r="F25" i="59"/>
  <c r="F26" i="59"/>
  <c r="F27" i="59"/>
  <c r="F28" i="59"/>
  <c r="F29" i="59"/>
  <c r="F30" i="59"/>
  <c r="F31" i="59"/>
  <c r="F32" i="59"/>
  <c r="F33" i="59"/>
  <c r="F34" i="59"/>
  <c r="F35" i="59"/>
  <c r="F36" i="59"/>
  <c r="F37" i="59"/>
  <c r="F38" i="59"/>
  <c r="F39" i="59"/>
  <c r="F40" i="59"/>
  <c r="F41" i="59"/>
  <c r="F20" i="59" l="1"/>
  <c r="F21" i="59"/>
  <c r="F13" i="59" l="1"/>
  <c r="F14" i="59"/>
  <c r="F15" i="59"/>
  <c r="F16" i="59"/>
  <c r="F17" i="59"/>
  <c r="F18" i="59"/>
  <c r="F19" i="59"/>
  <c r="F9" i="59" l="1"/>
  <c r="F11" i="59"/>
  <c r="F12" i="59"/>
  <c r="F6" i="59" l="1"/>
  <c r="F7" i="59"/>
  <c r="F8" i="59"/>
  <c r="F5" i="59"/>
  <c r="N106" i="59" l="1"/>
  <c r="M106" i="59"/>
  <c r="L106" i="59"/>
  <c r="K106" i="59"/>
  <c r="J106" i="59"/>
  <c r="N105" i="59"/>
  <c r="M105" i="59"/>
  <c r="L105" i="59"/>
  <c r="K105" i="59"/>
  <c r="J105" i="59"/>
  <c r="N104" i="59"/>
  <c r="M104" i="59"/>
  <c r="L104" i="59"/>
  <c r="K104" i="59"/>
  <c r="J104" i="59"/>
  <c r="N103" i="59"/>
  <c r="M103" i="59"/>
  <c r="L103" i="59"/>
  <c r="K103" i="59"/>
  <c r="J103" i="59"/>
  <c r="N102" i="59"/>
  <c r="M102" i="59"/>
  <c r="L102" i="59"/>
  <c r="K102" i="59"/>
  <c r="J102" i="59"/>
  <c r="N101" i="59"/>
  <c r="M101" i="59"/>
  <c r="L101" i="59"/>
  <c r="K101" i="59"/>
  <c r="J101" i="59"/>
  <c r="N100" i="59"/>
  <c r="M100" i="59"/>
  <c r="L100" i="59"/>
  <c r="K100" i="59"/>
  <c r="J100" i="59"/>
  <c r="N99" i="59"/>
  <c r="M99" i="59"/>
  <c r="L99" i="59"/>
  <c r="K99" i="59"/>
  <c r="J99" i="59"/>
  <c r="N98" i="59"/>
  <c r="M98" i="59"/>
  <c r="L98" i="59"/>
  <c r="K98" i="59"/>
  <c r="J98" i="59"/>
  <c r="N97" i="59"/>
  <c r="M97" i="59"/>
  <c r="L97" i="59"/>
  <c r="K97" i="59"/>
  <c r="J97" i="59"/>
  <c r="N96" i="59"/>
  <c r="M96" i="59"/>
  <c r="L96" i="59"/>
  <c r="K96" i="59"/>
  <c r="J96" i="59"/>
  <c r="N95" i="59"/>
  <c r="M95" i="59"/>
  <c r="L95" i="59"/>
  <c r="K95" i="59"/>
  <c r="J95" i="59"/>
  <c r="N94" i="59"/>
  <c r="M94" i="59"/>
  <c r="L94" i="59"/>
  <c r="K94" i="59"/>
  <c r="J94" i="59"/>
  <c r="N93" i="59"/>
  <c r="M93" i="59"/>
  <c r="L93" i="59"/>
  <c r="K93" i="59"/>
  <c r="J93" i="59"/>
  <c r="N92" i="59"/>
  <c r="M92" i="59"/>
  <c r="L92" i="59"/>
  <c r="K92" i="59"/>
  <c r="J92" i="59"/>
  <c r="N91" i="59"/>
  <c r="AU173" i="60" s="1"/>
  <c r="M91" i="59"/>
  <c r="AT173" i="60" s="1"/>
  <c r="L91" i="59"/>
  <c r="AS173" i="60" s="1"/>
  <c r="K91" i="59"/>
  <c r="AR173" i="60" s="1"/>
  <c r="J91" i="59"/>
  <c r="AQ173" i="60" s="1"/>
  <c r="N90" i="59"/>
  <c r="AU172" i="60" s="1"/>
  <c r="M90" i="59"/>
  <c r="AT172" i="60" s="1"/>
  <c r="L90" i="59"/>
  <c r="AS172" i="60" s="1"/>
  <c r="K90" i="59"/>
  <c r="AR172" i="60" s="1"/>
  <c r="J90" i="59"/>
  <c r="AQ172" i="60" s="1"/>
  <c r="N89" i="59"/>
  <c r="AU171" i="60" s="1"/>
  <c r="M89" i="59"/>
  <c r="AT171" i="60" s="1"/>
  <c r="L89" i="59"/>
  <c r="AS171" i="60" s="1"/>
  <c r="K89" i="59"/>
  <c r="AR171" i="60" s="1"/>
  <c r="J89" i="59"/>
  <c r="AQ171" i="60" s="1"/>
  <c r="N88" i="59"/>
  <c r="AU165" i="60" s="1"/>
  <c r="M88" i="59"/>
  <c r="AT165" i="60" s="1"/>
  <c r="L88" i="59"/>
  <c r="AS165" i="60" s="1"/>
  <c r="K88" i="59"/>
  <c r="AR165" i="60" s="1"/>
  <c r="J88" i="59"/>
  <c r="AQ165" i="60" s="1"/>
  <c r="N87" i="59"/>
  <c r="AU164" i="60" s="1"/>
  <c r="M87" i="59"/>
  <c r="AT164" i="60" s="1"/>
  <c r="L87" i="59"/>
  <c r="AS164" i="60" s="1"/>
  <c r="K87" i="59"/>
  <c r="AR164" i="60" s="1"/>
  <c r="J87" i="59"/>
  <c r="AQ164" i="60" s="1"/>
  <c r="N86" i="59"/>
  <c r="AU163" i="60" s="1"/>
  <c r="M86" i="59"/>
  <c r="AT163" i="60" s="1"/>
  <c r="L86" i="59"/>
  <c r="AS163" i="60" s="1"/>
  <c r="K86" i="59"/>
  <c r="AR163" i="60" s="1"/>
  <c r="J86" i="59"/>
  <c r="AQ163" i="60" s="1"/>
  <c r="N85" i="59"/>
  <c r="AU51" i="60" s="1"/>
  <c r="M85" i="59"/>
  <c r="AT51" i="60" s="1"/>
  <c r="L85" i="59"/>
  <c r="AS51" i="60" s="1"/>
  <c r="K85" i="59"/>
  <c r="AR51" i="60" s="1"/>
  <c r="J85" i="59"/>
  <c r="AQ51" i="60" s="1"/>
  <c r="N84" i="59"/>
  <c r="AU50" i="60" s="1"/>
  <c r="M84" i="59"/>
  <c r="AT50" i="60" s="1"/>
  <c r="L84" i="59"/>
  <c r="AS50" i="60" s="1"/>
  <c r="K84" i="59"/>
  <c r="AR50" i="60" s="1"/>
  <c r="J84" i="59"/>
  <c r="AQ50" i="60" s="1"/>
  <c r="N83" i="59"/>
  <c r="AU49" i="60" s="1"/>
  <c r="M83" i="59"/>
  <c r="AT49" i="60" s="1"/>
  <c r="L83" i="59"/>
  <c r="AS49" i="60" s="1"/>
  <c r="K83" i="59"/>
  <c r="AR49" i="60" s="1"/>
  <c r="J83" i="59"/>
  <c r="AQ49" i="60" s="1"/>
  <c r="N82" i="59"/>
  <c r="AU157" i="60" s="1"/>
  <c r="M82" i="59"/>
  <c r="AT157" i="60" s="1"/>
  <c r="L82" i="59"/>
  <c r="AS157" i="60" s="1"/>
  <c r="K82" i="59"/>
  <c r="AR157" i="60" s="1"/>
  <c r="J82" i="59"/>
  <c r="AQ157" i="60" s="1"/>
  <c r="N81" i="59"/>
  <c r="M81" i="59"/>
  <c r="L81" i="59"/>
  <c r="K81" i="59"/>
  <c r="J81" i="59"/>
  <c r="N80" i="59"/>
  <c r="AU155" i="60" s="1"/>
  <c r="M80" i="59"/>
  <c r="AT155" i="60" s="1"/>
  <c r="L80" i="59"/>
  <c r="AS155" i="60" s="1"/>
  <c r="K80" i="59"/>
  <c r="AR155" i="60" s="1"/>
  <c r="J80" i="59"/>
  <c r="AQ155" i="60" s="1"/>
  <c r="N79" i="59"/>
  <c r="AU154" i="60" s="1"/>
  <c r="M79" i="59"/>
  <c r="AT154" i="60" s="1"/>
  <c r="L79" i="59"/>
  <c r="AS154" i="60" s="1"/>
  <c r="K79" i="59"/>
  <c r="AR154" i="60" s="1"/>
  <c r="J79" i="59"/>
  <c r="AQ154" i="60" s="1"/>
  <c r="N78" i="59"/>
  <c r="AU153" i="60" s="1"/>
  <c r="M78" i="59"/>
  <c r="AT153" i="60" s="1"/>
  <c r="L78" i="59"/>
  <c r="AS153" i="60" s="1"/>
  <c r="K78" i="59"/>
  <c r="AR153" i="60" s="1"/>
  <c r="J78" i="59"/>
  <c r="AQ153" i="60" s="1"/>
  <c r="N77" i="59"/>
  <c r="AU147" i="60" s="1"/>
  <c r="M77" i="59"/>
  <c r="AT147" i="60" s="1"/>
  <c r="L77" i="59"/>
  <c r="AS147" i="60" s="1"/>
  <c r="K77" i="59"/>
  <c r="AR147" i="60" s="1"/>
  <c r="J77" i="59"/>
  <c r="AQ147" i="60" s="1"/>
  <c r="N76" i="59"/>
  <c r="AU146" i="60" s="1"/>
  <c r="M76" i="59"/>
  <c r="AT146" i="60" s="1"/>
  <c r="L76" i="59"/>
  <c r="AS146" i="60" s="1"/>
  <c r="K76" i="59"/>
  <c r="AR146" i="60" s="1"/>
  <c r="J76" i="59"/>
  <c r="AQ146" i="60" s="1"/>
  <c r="N75" i="59"/>
  <c r="AU145" i="60" s="1"/>
  <c r="M75" i="59"/>
  <c r="AT145" i="60" s="1"/>
  <c r="L75" i="59"/>
  <c r="AS145" i="60" s="1"/>
  <c r="K75" i="59"/>
  <c r="AR145" i="60" s="1"/>
  <c r="J75" i="59"/>
  <c r="AQ145" i="60" s="1"/>
  <c r="N74" i="59"/>
  <c r="M74" i="59"/>
  <c r="L74" i="59"/>
  <c r="K74" i="59"/>
  <c r="J74" i="59"/>
  <c r="N70" i="59"/>
  <c r="AU135" i="60" s="1"/>
  <c r="M70" i="59"/>
  <c r="AT135" i="60" s="1"/>
  <c r="L70" i="59"/>
  <c r="AS135" i="60" s="1"/>
  <c r="K70" i="59"/>
  <c r="AR135" i="60" s="1"/>
  <c r="J70" i="59"/>
  <c r="AQ135" i="60" s="1"/>
  <c r="N69" i="59"/>
  <c r="M69" i="59"/>
  <c r="L69" i="59"/>
  <c r="K69" i="59"/>
  <c r="J69" i="59"/>
  <c r="N68" i="59"/>
  <c r="M68" i="59"/>
  <c r="L68" i="59"/>
  <c r="K68" i="59"/>
  <c r="J68" i="59"/>
  <c r="N67" i="59"/>
  <c r="AU127" i="60" s="1"/>
  <c r="M67" i="59"/>
  <c r="AT127" i="60" s="1"/>
  <c r="L67" i="59"/>
  <c r="AS127" i="60" s="1"/>
  <c r="K67" i="59"/>
  <c r="AR127" i="60" s="1"/>
  <c r="J67" i="59"/>
  <c r="AQ127" i="60" s="1"/>
  <c r="N66" i="59"/>
  <c r="M66" i="59"/>
  <c r="L66" i="59"/>
  <c r="K66" i="59"/>
  <c r="J66" i="59"/>
  <c r="N65" i="59"/>
  <c r="M65" i="59"/>
  <c r="L65" i="59"/>
  <c r="K65" i="59"/>
  <c r="J65" i="59"/>
  <c r="N64" i="59"/>
  <c r="AU114" i="60" s="1"/>
  <c r="M64" i="59"/>
  <c r="AT114" i="60" s="1"/>
  <c r="L64" i="59"/>
  <c r="AS114" i="60" s="1"/>
  <c r="K64" i="59"/>
  <c r="AR114" i="60" s="1"/>
  <c r="J64" i="59"/>
  <c r="AQ114" i="60" s="1"/>
  <c r="N63" i="59"/>
  <c r="AU113" i="60" s="1"/>
  <c r="M63" i="59"/>
  <c r="AT113" i="60" s="1"/>
  <c r="L63" i="59"/>
  <c r="AS113" i="60" s="1"/>
  <c r="K63" i="59"/>
  <c r="AR113" i="60" s="1"/>
  <c r="J63" i="59"/>
  <c r="AQ113" i="60" s="1"/>
  <c r="N62" i="59"/>
  <c r="AU112" i="60" s="1"/>
  <c r="M62" i="59"/>
  <c r="AT112" i="60" s="1"/>
  <c r="L62" i="59"/>
  <c r="AS112" i="60" s="1"/>
  <c r="K62" i="59"/>
  <c r="AR112" i="60" s="1"/>
  <c r="J62" i="59"/>
  <c r="AQ112" i="60" s="1"/>
  <c r="N61" i="59"/>
  <c r="AU111" i="60" s="1"/>
  <c r="M61" i="59"/>
  <c r="AT111" i="60" s="1"/>
  <c r="L61" i="59"/>
  <c r="AS111" i="60" s="1"/>
  <c r="K61" i="59"/>
  <c r="AR111" i="60" s="1"/>
  <c r="J61" i="59"/>
  <c r="AQ111" i="60" s="1"/>
  <c r="N60" i="59"/>
  <c r="AU110" i="60" s="1"/>
  <c r="M60" i="59"/>
  <c r="AT110" i="60" s="1"/>
  <c r="L60" i="59"/>
  <c r="AS110" i="60" s="1"/>
  <c r="K60" i="59"/>
  <c r="AR110" i="60" s="1"/>
  <c r="J60" i="59"/>
  <c r="AQ110" i="60" s="1"/>
  <c r="N59" i="59"/>
  <c r="AU109" i="60" s="1"/>
  <c r="M59" i="59"/>
  <c r="AT109" i="60" s="1"/>
  <c r="L59" i="59"/>
  <c r="AS109" i="60" s="1"/>
  <c r="K59" i="59"/>
  <c r="AR109" i="60" s="1"/>
  <c r="J59" i="59"/>
  <c r="AQ109" i="60" s="1"/>
  <c r="N58" i="59"/>
  <c r="AU108" i="60" s="1"/>
  <c r="M58" i="59"/>
  <c r="AT108" i="60" s="1"/>
  <c r="L58" i="59"/>
  <c r="AS108" i="60" s="1"/>
  <c r="K58" i="59"/>
  <c r="AR108" i="60" s="1"/>
  <c r="J58" i="59"/>
  <c r="AQ108" i="60" s="1"/>
  <c r="N57" i="59"/>
  <c r="AU107" i="60" s="1"/>
  <c r="M57" i="59"/>
  <c r="AT107" i="60" s="1"/>
  <c r="L57" i="59"/>
  <c r="AS107" i="60" s="1"/>
  <c r="K57" i="59"/>
  <c r="AR107" i="60" s="1"/>
  <c r="J57" i="59"/>
  <c r="AQ107" i="60" s="1"/>
  <c r="N56" i="59"/>
  <c r="AU101" i="60" s="1"/>
  <c r="M56" i="59"/>
  <c r="AT101" i="60" s="1"/>
  <c r="L56" i="59"/>
  <c r="AS101" i="60" s="1"/>
  <c r="K56" i="59"/>
  <c r="AR101" i="60" s="1"/>
  <c r="J56" i="59"/>
  <c r="AQ101" i="60" s="1"/>
  <c r="N55" i="59"/>
  <c r="AU100" i="60" s="1"/>
  <c r="M55" i="59"/>
  <c r="AT100" i="60" s="1"/>
  <c r="L55" i="59"/>
  <c r="AS100" i="60" s="1"/>
  <c r="K55" i="59"/>
  <c r="AR100" i="60" s="1"/>
  <c r="J55" i="59"/>
  <c r="AQ100" i="60" s="1"/>
  <c r="N54" i="59"/>
  <c r="AU99" i="60" s="1"/>
  <c r="M54" i="59"/>
  <c r="AT99" i="60" s="1"/>
  <c r="L54" i="59"/>
  <c r="AS99" i="60" s="1"/>
  <c r="K54" i="59"/>
  <c r="AR99" i="60" s="1"/>
  <c r="J54" i="59"/>
  <c r="AQ99" i="60" s="1"/>
  <c r="N53" i="59"/>
  <c r="AU98" i="60" s="1"/>
  <c r="M53" i="59"/>
  <c r="AT98" i="60" s="1"/>
  <c r="L53" i="59"/>
  <c r="AS98" i="60" s="1"/>
  <c r="K53" i="59"/>
  <c r="AR98" i="60" s="1"/>
  <c r="J53" i="59"/>
  <c r="AQ98" i="60" s="1"/>
  <c r="N52" i="59"/>
  <c r="AU97" i="60" s="1"/>
  <c r="M52" i="59"/>
  <c r="AT97" i="60" s="1"/>
  <c r="L52" i="59"/>
  <c r="AS97" i="60" s="1"/>
  <c r="K52" i="59"/>
  <c r="AR97" i="60" s="1"/>
  <c r="J52" i="59"/>
  <c r="AQ97" i="60" s="1"/>
  <c r="N51" i="59"/>
  <c r="AU96" i="60" s="1"/>
  <c r="M51" i="59"/>
  <c r="AT96" i="60" s="1"/>
  <c r="L51" i="59"/>
  <c r="AS96" i="60" s="1"/>
  <c r="K51" i="59"/>
  <c r="AR96" i="60" s="1"/>
  <c r="J51" i="59"/>
  <c r="AQ96" i="60" s="1"/>
  <c r="N50" i="59"/>
  <c r="AU95" i="60" s="1"/>
  <c r="M50" i="59"/>
  <c r="AT95" i="60" s="1"/>
  <c r="L50" i="59"/>
  <c r="AS95" i="60" s="1"/>
  <c r="K50" i="59"/>
  <c r="AR95" i="60" s="1"/>
  <c r="J50" i="59"/>
  <c r="AQ95" i="60" s="1"/>
  <c r="N49" i="59"/>
  <c r="AU94" i="60" s="1"/>
  <c r="M49" i="59"/>
  <c r="AT94" i="60" s="1"/>
  <c r="L49" i="59"/>
  <c r="AS94" i="60" s="1"/>
  <c r="K49" i="59"/>
  <c r="AR94" i="60" s="1"/>
  <c r="J49" i="59"/>
  <c r="AQ94" i="60" s="1"/>
  <c r="N48" i="59"/>
  <c r="AU88" i="60" s="1"/>
  <c r="M48" i="59"/>
  <c r="AT88" i="60" s="1"/>
  <c r="L48" i="59"/>
  <c r="AS88" i="60" s="1"/>
  <c r="K48" i="59"/>
  <c r="AR88" i="60" s="1"/>
  <c r="J48" i="59"/>
  <c r="AQ88" i="60" s="1"/>
  <c r="N47" i="59"/>
  <c r="AU87" i="60" s="1"/>
  <c r="M47" i="59"/>
  <c r="AT87" i="60" s="1"/>
  <c r="L47" i="59"/>
  <c r="AS87" i="60" s="1"/>
  <c r="K47" i="59"/>
  <c r="AR87" i="60" s="1"/>
  <c r="J47" i="59"/>
  <c r="AQ87" i="60" s="1"/>
  <c r="N46" i="59"/>
  <c r="AU86" i="60" s="1"/>
  <c r="M46" i="59"/>
  <c r="AT86" i="60" s="1"/>
  <c r="L46" i="59"/>
  <c r="AS86" i="60" s="1"/>
  <c r="K46" i="59"/>
  <c r="AR86" i="60" s="1"/>
  <c r="J46" i="59"/>
  <c r="AQ86" i="60" s="1"/>
  <c r="N45" i="59"/>
  <c r="AU85" i="60" s="1"/>
  <c r="M45" i="59"/>
  <c r="AT85" i="60" s="1"/>
  <c r="L45" i="59"/>
  <c r="AS85" i="60" s="1"/>
  <c r="K45" i="59"/>
  <c r="AR85" i="60" s="1"/>
  <c r="J45" i="59"/>
  <c r="AQ85" i="60" s="1"/>
  <c r="N44" i="59"/>
  <c r="AU84" i="60" s="1"/>
  <c r="M44" i="59"/>
  <c r="AT84" i="60" s="1"/>
  <c r="L44" i="59"/>
  <c r="AS84" i="60" s="1"/>
  <c r="K44" i="59"/>
  <c r="AR84" i="60" s="1"/>
  <c r="J44" i="59"/>
  <c r="AQ84" i="60" s="1"/>
  <c r="N43" i="59"/>
  <c r="AU83" i="60" s="1"/>
  <c r="M43" i="59"/>
  <c r="AT83" i="60" s="1"/>
  <c r="L43" i="59"/>
  <c r="AS83" i="60" s="1"/>
  <c r="K43" i="59"/>
  <c r="AR83" i="60" s="1"/>
  <c r="J43" i="59"/>
  <c r="AQ83" i="60" s="1"/>
  <c r="N42" i="59"/>
  <c r="AU82" i="60" s="1"/>
  <c r="M42" i="59"/>
  <c r="AT82" i="60" s="1"/>
  <c r="L42" i="59"/>
  <c r="AS82" i="60" s="1"/>
  <c r="K42" i="59"/>
  <c r="AR82" i="60" s="1"/>
  <c r="J42" i="59"/>
  <c r="AQ82" i="60" s="1"/>
  <c r="N41" i="59"/>
  <c r="AU76" i="60" s="1"/>
  <c r="M41" i="59"/>
  <c r="AT76" i="60" s="1"/>
  <c r="L41" i="59"/>
  <c r="AS76" i="60" s="1"/>
  <c r="K41" i="59"/>
  <c r="AR76" i="60" s="1"/>
  <c r="J41" i="59"/>
  <c r="AQ76" i="60" s="1"/>
  <c r="N40" i="59"/>
  <c r="AU75" i="60" s="1"/>
  <c r="M40" i="59"/>
  <c r="AT75" i="60" s="1"/>
  <c r="L40" i="59"/>
  <c r="AS75" i="60" s="1"/>
  <c r="K40" i="59"/>
  <c r="AR75" i="60" s="1"/>
  <c r="J40" i="59"/>
  <c r="AQ75" i="60" s="1"/>
  <c r="N39" i="59"/>
  <c r="AU74" i="60" s="1"/>
  <c r="M39" i="59"/>
  <c r="AT74" i="60" s="1"/>
  <c r="L39" i="59"/>
  <c r="AS74" i="60" s="1"/>
  <c r="K39" i="59"/>
  <c r="AR74" i="60" s="1"/>
  <c r="J39" i="59"/>
  <c r="AQ74" i="60" s="1"/>
  <c r="N38" i="59"/>
  <c r="AU73" i="60" s="1"/>
  <c r="M38" i="59"/>
  <c r="AT73" i="60" s="1"/>
  <c r="L38" i="59"/>
  <c r="AS73" i="60" s="1"/>
  <c r="K38" i="59"/>
  <c r="AR73" i="60" s="1"/>
  <c r="J38" i="59"/>
  <c r="AQ73" i="60" s="1"/>
  <c r="N37" i="59"/>
  <c r="AU72" i="60" s="1"/>
  <c r="M37" i="59"/>
  <c r="AT72" i="60" s="1"/>
  <c r="L37" i="59"/>
  <c r="AS72" i="60" s="1"/>
  <c r="K37" i="59"/>
  <c r="AR72" i="60" s="1"/>
  <c r="J37" i="59"/>
  <c r="AQ72" i="60" s="1"/>
  <c r="N36" i="59"/>
  <c r="AU71" i="60" s="1"/>
  <c r="M36" i="59"/>
  <c r="AT71" i="60" s="1"/>
  <c r="L36" i="59"/>
  <c r="AS71" i="60" s="1"/>
  <c r="K36" i="59"/>
  <c r="AR71" i="60" s="1"/>
  <c r="J36" i="59"/>
  <c r="AQ71" i="60" s="1"/>
  <c r="N35" i="59"/>
  <c r="AU70" i="60" s="1"/>
  <c r="M35" i="59"/>
  <c r="AT70" i="60" s="1"/>
  <c r="L35" i="59"/>
  <c r="AS70" i="60" s="1"/>
  <c r="K35" i="59"/>
  <c r="AR70" i="60" s="1"/>
  <c r="J35" i="59"/>
  <c r="AQ70" i="60" s="1"/>
  <c r="N34" i="59"/>
  <c r="AU69" i="60" s="1"/>
  <c r="M34" i="59"/>
  <c r="AT69" i="60" s="1"/>
  <c r="L34" i="59"/>
  <c r="AS69" i="60" s="1"/>
  <c r="K34" i="59"/>
  <c r="AR69" i="60" s="1"/>
  <c r="J34" i="59"/>
  <c r="AQ69" i="60" s="1"/>
  <c r="N33" i="59"/>
  <c r="AU68" i="60" s="1"/>
  <c r="M33" i="59"/>
  <c r="AT68" i="60" s="1"/>
  <c r="L33" i="59"/>
  <c r="AS68" i="60" s="1"/>
  <c r="K33" i="59"/>
  <c r="AR68" i="60" s="1"/>
  <c r="J33" i="59"/>
  <c r="AQ68" i="60" s="1"/>
  <c r="N32" i="59"/>
  <c r="AU67" i="60" s="1"/>
  <c r="M32" i="59"/>
  <c r="AT67" i="60" s="1"/>
  <c r="L32" i="59"/>
  <c r="AS67" i="60" s="1"/>
  <c r="K32" i="59"/>
  <c r="AR67" i="60" s="1"/>
  <c r="J32" i="59"/>
  <c r="AQ67" i="60" s="1"/>
  <c r="N31" i="59"/>
  <c r="AU66" i="60" s="1"/>
  <c r="M31" i="59"/>
  <c r="AT66" i="60" s="1"/>
  <c r="L31" i="59"/>
  <c r="AS66" i="60" s="1"/>
  <c r="K31" i="59"/>
  <c r="AR66" i="60" s="1"/>
  <c r="J31" i="59"/>
  <c r="AQ66" i="60" s="1"/>
  <c r="N30" i="59"/>
  <c r="AU65" i="60" s="1"/>
  <c r="M30" i="59"/>
  <c r="AT65" i="60" s="1"/>
  <c r="L30" i="59"/>
  <c r="AS65" i="60" s="1"/>
  <c r="K30" i="59"/>
  <c r="AR65" i="60" s="1"/>
  <c r="J30" i="59"/>
  <c r="AQ65" i="60" s="1"/>
  <c r="N29" i="59"/>
  <c r="AU64" i="60" s="1"/>
  <c r="M29" i="59"/>
  <c r="AT64" i="60" s="1"/>
  <c r="L29" i="59"/>
  <c r="AS64" i="60" s="1"/>
  <c r="K29" i="59"/>
  <c r="AR64" i="60" s="1"/>
  <c r="J29" i="59"/>
  <c r="AQ64" i="60" s="1"/>
  <c r="N28" i="59"/>
  <c r="AU63" i="60" s="1"/>
  <c r="M28" i="59"/>
  <c r="AT63" i="60" s="1"/>
  <c r="L28" i="59"/>
  <c r="AS63" i="60" s="1"/>
  <c r="K28" i="59"/>
  <c r="AR63" i="60" s="1"/>
  <c r="J28" i="59"/>
  <c r="AQ63" i="60" s="1"/>
  <c r="N27" i="59"/>
  <c r="AU62" i="60" s="1"/>
  <c r="M27" i="59"/>
  <c r="AT62" i="60" s="1"/>
  <c r="L27" i="59"/>
  <c r="AS62" i="60" s="1"/>
  <c r="K27" i="59"/>
  <c r="AR62" i="60" s="1"/>
  <c r="J27" i="59"/>
  <c r="AQ62" i="60" s="1"/>
  <c r="N26" i="59"/>
  <c r="AU61" i="60" s="1"/>
  <c r="M26" i="59"/>
  <c r="AT61" i="60" s="1"/>
  <c r="L26" i="59"/>
  <c r="AS61" i="60" s="1"/>
  <c r="K26" i="59"/>
  <c r="AR61" i="60" s="1"/>
  <c r="J26" i="59"/>
  <c r="AQ61" i="60" s="1"/>
  <c r="N25" i="59"/>
  <c r="AU60" i="60" s="1"/>
  <c r="M25" i="59"/>
  <c r="AT60" i="60" s="1"/>
  <c r="L25" i="59"/>
  <c r="AS60" i="60" s="1"/>
  <c r="K25" i="59"/>
  <c r="AR60" i="60" s="1"/>
  <c r="J25" i="59"/>
  <c r="AQ60" i="60" s="1"/>
  <c r="N24" i="59"/>
  <c r="AU59" i="60" s="1"/>
  <c r="M24" i="59"/>
  <c r="AT59" i="60" s="1"/>
  <c r="L24" i="59"/>
  <c r="AS59" i="60" s="1"/>
  <c r="K24" i="59"/>
  <c r="AR59" i="60" s="1"/>
  <c r="J24" i="59"/>
  <c r="AQ59" i="60" s="1"/>
  <c r="N23" i="59"/>
  <c r="AU58" i="60" s="1"/>
  <c r="L23" i="59"/>
  <c r="AS58" i="60" s="1"/>
  <c r="K23" i="59"/>
  <c r="AR58" i="60" s="1"/>
  <c r="J23" i="59"/>
  <c r="AQ58" i="60" s="1"/>
  <c r="N22" i="59"/>
  <c r="AU57" i="60" s="1"/>
  <c r="M22" i="59"/>
  <c r="AT57" i="60" s="1"/>
  <c r="L22" i="59"/>
  <c r="AS57" i="60" s="1"/>
  <c r="K22" i="59"/>
  <c r="AR57" i="60" s="1"/>
  <c r="J22" i="59"/>
  <c r="AQ57" i="60" s="1"/>
  <c r="N21" i="59"/>
  <c r="AU43" i="60" s="1"/>
  <c r="M21" i="59"/>
  <c r="AT43" i="60" s="1"/>
  <c r="L21" i="59"/>
  <c r="AS43" i="60" s="1"/>
  <c r="K21" i="59"/>
  <c r="AR43" i="60" s="1"/>
  <c r="J21" i="59"/>
  <c r="AQ43" i="60" s="1"/>
  <c r="N20" i="59"/>
  <c r="AU42" i="60" s="1"/>
  <c r="M20" i="59"/>
  <c r="AT42" i="60" s="1"/>
  <c r="L20" i="59"/>
  <c r="AS42" i="60" s="1"/>
  <c r="K20" i="59"/>
  <c r="AR42" i="60" s="1"/>
  <c r="J20" i="59"/>
  <c r="AQ42" i="60" s="1"/>
  <c r="N19" i="59"/>
  <c r="AU36" i="60" s="1"/>
  <c r="M19" i="59"/>
  <c r="AT36" i="60" s="1"/>
  <c r="L19" i="59"/>
  <c r="AS36" i="60" s="1"/>
  <c r="K19" i="59"/>
  <c r="AR36" i="60" s="1"/>
  <c r="J19" i="59"/>
  <c r="AQ36" i="60" s="1"/>
  <c r="N18" i="59"/>
  <c r="AU35" i="60" s="1"/>
  <c r="M18" i="59"/>
  <c r="AT35" i="60" s="1"/>
  <c r="L18" i="59"/>
  <c r="AS35" i="60" s="1"/>
  <c r="K18" i="59"/>
  <c r="AR35" i="60" s="1"/>
  <c r="J18" i="59"/>
  <c r="AQ35" i="60" s="1"/>
  <c r="N17" i="59"/>
  <c r="AU34" i="60" s="1"/>
  <c r="M17" i="59"/>
  <c r="AT34" i="60" s="1"/>
  <c r="L17" i="59"/>
  <c r="AS34" i="60" s="1"/>
  <c r="K17" i="59"/>
  <c r="AR34" i="60" s="1"/>
  <c r="J17" i="59"/>
  <c r="AQ34" i="60" s="1"/>
  <c r="N16" i="59"/>
  <c r="AU33" i="60" s="1"/>
  <c r="M16" i="59"/>
  <c r="AT33" i="60" s="1"/>
  <c r="L16" i="59"/>
  <c r="AS33" i="60" s="1"/>
  <c r="K16" i="59"/>
  <c r="AR33" i="60" s="1"/>
  <c r="J16" i="59"/>
  <c r="AQ33" i="60" s="1"/>
  <c r="N15" i="59"/>
  <c r="AU32" i="60" s="1"/>
  <c r="M15" i="59"/>
  <c r="AT32" i="60" s="1"/>
  <c r="L15" i="59"/>
  <c r="AS32" i="60" s="1"/>
  <c r="K15" i="59"/>
  <c r="AR32" i="60" s="1"/>
  <c r="J15" i="59"/>
  <c r="AQ32" i="60" s="1"/>
  <c r="N14" i="59"/>
  <c r="AU31" i="60" s="1"/>
  <c r="M14" i="59"/>
  <c r="AT31" i="60" s="1"/>
  <c r="L14" i="59"/>
  <c r="AS31" i="60" s="1"/>
  <c r="K14" i="59"/>
  <c r="AR31" i="60" s="1"/>
  <c r="J14" i="59"/>
  <c r="AQ31" i="60" s="1"/>
  <c r="N13" i="59"/>
  <c r="AU30" i="60" s="1"/>
  <c r="M13" i="59"/>
  <c r="AT30" i="60" s="1"/>
  <c r="L13" i="59"/>
  <c r="AS30" i="60" s="1"/>
  <c r="K13" i="59"/>
  <c r="AR30" i="60" s="1"/>
  <c r="J13" i="59"/>
  <c r="AQ30" i="60" s="1"/>
  <c r="N12" i="59"/>
  <c r="AU24" i="60" s="1"/>
  <c r="M12" i="59"/>
  <c r="AT24" i="60" s="1"/>
  <c r="L12" i="59"/>
  <c r="AS24" i="60" s="1"/>
  <c r="K12" i="59"/>
  <c r="AR24" i="60" s="1"/>
  <c r="J12" i="59"/>
  <c r="AQ24" i="60" s="1"/>
  <c r="N11" i="59"/>
  <c r="AU23" i="60" s="1"/>
  <c r="M11" i="59"/>
  <c r="AT23" i="60" s="1"/>
  <c r="L11" i="59"/>
  <c r="AS23" i="60" s="1"/>
  <c r="K11" i="59"/>
  <c r="AR23" i="60" s="1"/>
  <c r="J11" i="59"/>
  <c r="AQ23" i="60" s="1"/>
  <c r="N9" i="59"/>
  <c r="AU21" i="60" s="1"/>
  <c r="M9" i="59"/>
  <c r="AT21" i="60" s="1"/>
  <c r="L9" i="59"/>
  <c r="AS21" i="60" s="1"/>
  <c r="K9" i="59"/>
  <c r="AR21" i="60" s="1"/>
  <c r="J9" i="59"/>
  <c r="AQ21" i="60" s="1"/>
  <c r="N8" i="59"/>
  <c r="AU15" i="60" s="1"/>
  <c r="M8" i="59"/>
  <c r="AT15" i="60" s="1"/>
  <c r="L8" i="59"/>
  <c r="AS15" i="60" s="1"/>
  <c r="K8" i="59"/>
  <c r="AR15" i="60" s="1"/>
  <c r="J8" i="59"/>
  <c r="AQ15" i="60" s="1"/>
  <c r="N7" i="59"/>
  <c r="AU14" i="60" s="1"/>
  <c r="M7" i="59"/>
  <c r="AT14" i="60" s="1"/>
  <c r="L7" i="59"/>
  <c r="AS14" i="60" s="1"/>
  <c r="K7" i="59"/>
  <c r="AR14" i="60" s="1"/>
  <c r="J7" i="59"/>
  <c r="AQ14" i="60" s="1"/>
  <c r="N6" i="59"/>
  <c r="AU13" i="60" s="1"/>
  <c r="M6" i="59"/>
  <c r="AT13" i="60" s="1"/>
  <c r="L6" i="59"/>
  <c r="AS13" i="60" s="1"/>
  <c r="K6" i="59"/>
  <c r="AR13" i="60" s="1"/>
  <c r="J6" i="59"/>
  <c r="AQ13" i="60" s="1"/>
  <c r="B6" i="59"/>
  <c r="N5" i="59"/>
  <c r="AU12" i="60" s="1"/>
  <c r="M5" i="59"/>
  <c r="AT12" i="60" s="1"/>
  <c r="L5" i="59"/>
  <c r="AS12" i="60" s="1"/>
  <c r="K5" i="59"/>
  <c r="AR12" i="60" s="1"/>
  <c r="J5" i="59"/>
  <c r="AQ12" i="60" s="1"/>
  <c r="AS144" i="60" l="1"/>
  <c r="AT144" i="60"/>
  <c r="AU144" i="60"/>
  <c r="AQ144" i="60"/>
  <c r="AR144" i="60"/>
  <c r="AQ121" i="60"/>
  <c r="AQ129" i="60"/>
  <c r="AR121" i="60"/>
  <c r="AR129" i="60"/>
  <c r="AS121" i="60"/>
  <c r="AS129" i="60"/>
  <c r="AU128" i="60"/>
  <c r="AU120" i="60"/>
  <c r="AQ120" i="60"/>
  <c r="AQ128" i="60"/>
  <c r="AT129" i="60"/>
  <c r="AT121" i="60"/>
  <c r="B7" i="59"/>
  <c r="B8" i="59" s="1"/>
  <c r="B9" i="59" s="1"/>
  <c r="B10" i="59" s="1"/>
  <c r="B11" i="59" s="1"/>
  <c r="D111" i="59"/>
  <c r="AR128" i="60"/>
  <c r="AR120" i="60"/>
  <c r="AU129" i="60"/>
  <c r="AU121" i="60"/>
  <c r="AS128" i="60"/>
  <c r="AS120" i="60"/>
  <c r="AT128" i="60"/>
  <c r="AT120" i="60"/>
  <c r="C41" i="62" l="1"/>
  <c r="B12" i="59"/>
  <c r="B13" i="59" s="1"/>
  <c r="U47" i="58"/>
  <c r="C64" i="63" l="1"/>
  <c r="AH43" i="64"/>
  <c r="D112" i="59"/>
  <c r="B14" i="59"/>
  <c r="B15" i="59" s="1"/>
  <c r="B16" i="59" s="1"/>
  <c r="B17" i="59" s="1"/>
  <c r="B18" i="59" s="1"/>
  <c r="B19" i="59" s="1"/>
  <c r="B20" i="59" s="1"/>
  <c r="T37" i="58"/>
  <c r="AG33" i="64" s="1"/>
  <c r="T38" i="58"/>
  <c r="AG34" i="64" s="1"/>
  <c r="R37" i="58"/>
  <c r="AE33" i="64" s="1"/>
  <c r="R38" i="58"/>
  <c r="AE34" i="64" s="1"/>
  <c r="C38" i="63" l="1"/>
  <c r="D113" i="59"/>
  <c r="C43" i="62" s="1"/>
  <c r="B21" i="59"/>
  <c r="B22" i="59" s="1"/>
  <c r="C42" i="62"/>
  <c r="F18" i="55"/>
  <c r="P91" i="59" s="1"/>
  <c r="F17" i="55"/>
  <c r="P90" i="59" s="1"/>
  <c r="F16" i="55"/>
  <c r="P89" i="59" s="1"/>
  <c r="F17" i="54"/>
  <c r="P87" i="59" s="1"/>
  <c r="F18" i="54"/>
  <c r="P88" i="59" s="1"/>
  <c r="F16" i="54"/>
  <c r="P86" i="59" s="1"/>
  <c r="F17" i="53"/>
  <c r="P79" i="59" s="1"/>
  <c r="F18" i="53"/>
  <c r="P80" i="59" s="1"/>
  <c r="F19" i="53"/>
  <c r="P81" i="59" s="1"/>
  <c r="F20" i="53"/>
  <c r="P82" i="59" s="1"/>
  <c r="F16" i="53"/>
  <c r="P78" i="59" s="1"/>
  <c r="F19" i="52"/>
  <c r="P77" i="59" s="1"/>
  <c r="F17" i="52"/>
  <c r="P75" i="59" s="1"/>
  <c r="F18" i="52"/>
  <c r="P76" i="59" s="1"/>
  <c r="F16" i="52"/>
  <c r="P74" i="59" s="1"/>
  <c r="F16" i="50"/>
  <c r="P70" i="59" s="1"/>
  <c r="F18" i="51"/>
  <c r="P69" i="59" s="1"/>
  <c r="F17" i="51"/>
  <c r="P68" i="59" s="1"/>
  <c r="F16" i="51"/>
  <c r="P67" i="59" s="1"/>
  <c r="F17" i="48"/>
  <c r="F16" i="48"/>
  <c r="F22" i="47"/>
  <c r="P63" i="59" s="1"/>
  <c r="F23" i="47"/>
  <c r="P64" i="59" s="1"/>
  <c r="F20" i="47"/>
  <c r="P61" i="59" s="1"/>
  <c r="F21" i="47"/>
  <c r="P62" i="59" s="1"/>
  <c r="F18" i="47"/>
  <c r="P59" i="59" s="1"/>
  <c r="F19" i="47"/>
  <c r="P60" i="59" s="1"/>
  <c r="F17" i="47"/>
  <c r="P58" i="59" s="1"/>
  <c r="F16" i="47"/>
  <c r="P57" i="59" s="1"/>
  <c r="AD17" i="43"/>
  <c r="Q41" i="58" s="1"/>
  <c r="AD37" i="64" s="1"/>
  <c r="AE17" i="43"/>
  <c r="R41" i="58" s="1"/>
  <c r="AE37" i="64" s="1"/>
  <c r="F17" i="43"/>
  <c r="P50" i="59" s="1"/>
  <c r="F18" i="43"/>
  <c r="P51" i="59" s="1"/>
  <c r="F19" i="43"/>
  <c r="P52" i="59" s="1"/>
  <c r="F20" i="43"/>
  <c r="P53" i="59" s="1"/>
  <c r="F21" i="43"/>
  <c r="P54" i="59" s="1"/>
  <c r="F22" i="43"/>
  <c r="P55" i="59" s="1"/>
  <c r="F23" i="43"/>
  <c r="P56" i="59" s="1"/>
  <c r="F16" i="43"/>
  <c r="C65" i="63" l="1"/>
  <c r="P49" i="59"/>
  <c r="C66" i="63"/>
  <c r="D114" i="59"/>
  <c r="C44" i="62" s="1"/>
  <c r="B23" i="59"/>
  <c r="B24" i="59" s="1"/>
  <c r="B25" i="59" s="1"/>
  <c r="B26" i="59" s="1"/>
  <c r="B27" i="59" s="1"/>
  <c r="B28" i="59" s="1"/>
  <c r="B29" i="59" s="1"/>
  <c r="B30" i="59" s="1"/>
  <c r="B31" i="59" s="1"/>
  <c r="B32" i="59" s="1"/>
  <c r="B33" i="59" s="1"/>
  <c r="B34" i="59" s="1"/>
  <c r="B35" i="59" s="1"/>
  <c r="B36" i="59" s="1"/>
  <c r="B37" i="59" s="1"/>
  <c r="B38" i="59" s="1"/>
  <c r="B39" i="59" s="1"/>
  <c r="B40" i="59" s="1"/>
  <c r="B41" i="59" s="1"/>
  <c r="B42" i="59" s="1"/>
  <c r="C10" i="63"/>
  <c r="F22" i="42"/>
  <c r="P48" i="59" s="1"/>
  <c r="F20" i="42"/>
  <c r="P46" i="59" s="1"/>
  <c r="F21" i="42"/>
  <c r="P47" i="59" s="1"/>
  <c r="F19" i="42"/>
  <c r="P45" i="59" s="1"/>
  <c r="F17" i="42"/>
  <c r="P43" i="59" s="1"/>
  <c r="F18" i="42"/>
  <c r="P44" i="59" s="1"/>
  <c r="F16" i="42"/>
  <c r="P42" i="59" s="1"/>
  <c r="F33" i="41"/>
  <c r="F34" i="41"/>
  <c r="F35" i="41"/>
  <c r="F29" i="41"/>
  <c r="F30" i="41"/>
  <c r="F31" i="41"/>
  <c r="F32" i="41"/>
  <c r="F26" i="41"/>
  <c r="P32" i="59" s="1"/>
  <c r="F27" i="41"/>
  <c r="F28" i="41"/>
  <c r="F24" i="41"/>
  <c r="F25" i="41"/>
  <c r="F22" i="41"/>
  <c r="P28" i="59" s="1"/>
  <c r="F21" i="41"/>
  <c r="P27" i="59" s="1"/>
  <c r="F23" i="41"/>
  <c r="P29" i="59" s="1"/>
  <c r="F17" i="41"/>
  <c r="P23" i="59" s="1"/>
  <c r="F18" i="41"/>
  <c r="P24" i="59" s="1"/>
  <c r="F19" i="41"/>
  <c r="P25" i="59" s="1"/>
  <c r="F20" i="41"/>
  <c r="P26" i="59" s="1"/>
  <c r="F16" i="41"/>
  <c r="P22" i="59" s="1"/>
  <c r="C39" i="63" l="1"/>
  <c r="C40" i="63"/>
  <c r="P41" i="59"/>
  <c r="P40" i="59"/>
  <c r="P38" i="59"/>
  <c r="P39" i="59"/>
  <c r="P33" i="59"/>
  <c r="P31" i="59"/>
  <c r="P30" i="59"/>
  <c r="P37" i="59"/>
  <c r="P36" i="59"/>
  <c r="P35" i="59"/>
  <c r="P34" i="59"/>
  <c r="C11" i="63"/>
  <c r="C67" i="63"/>
  <c r="D115" i="59"/>
  <c r="B43" i="59"/>
  <c r="B44" i="59" s="1"/>
  <c r="B45" i="59" s="1"/>
  <c r="B46" i="59" s="1"/>
  <c r="B47" i="59" s="1"/>
  <c r="B48" i="59" s="1"/>
  <c r="B49" i="59" s="1"/>
  <c r="F17" i="56"/>
  <c r="P21" i="59" s="1"/>
  <c r="F16" i="56"/>
  <c r="P20" i="59" s="1"/>
  <c r="F7" i="39"/>
  <c r="C12" i="63" l="1"/>
  <c r="C41" i="63"/>
  <c r="D116" i="59"/>
  <c r="C48" i="62" s="1"/>
  <c r="B50" i="59"/>
  <c r="B51" i="59" s="1"/>
  <c r="B52" i="59" s="1"/>
  <c r="B53" i="59" s="1"/>
  <c r="B54" i="59" s="1"/>
  <c r="B55" i="59" s="1"/>
  <c r="B56" i="59" s="1"/>
  <c r="B57" i="59" s="1"/>
  <c r="C47" i="62"/>
  <c r="D117" i="59" l="1"/>
  <c r="C49" i="62" s="1"/>
  <c r="C50" i="62" s="1"/>
  <c r="C31" i="62" s="1"/>
  <c r="C69" i="63"/>
  <c r="C70" i="63"/>
  <c r="B58" i="59"/>
  <c r="B59" i="59" s="1"/>
  <c r="B60" i="59" s="1"/>
  <c r="B61" i="59" s="1"/>
  <c r="B62" i="59" s="1"/>
  <c r="B63" i="59" s="1"/>
  <c r="B64" i="59" s="1"/>
  <c r="B65" i="59" s="1"/>
  <c r="AU23" i="47"/>
  <c r="V68" i="58" s="1"/>
  <c r="AT23" i="47"/>
  <c r="U68" i="58" s="1"/>
  <c r="AM23" i="47"/>
  <c r="T68" i="58" s="1"/>
  <c r="AG64" i="64" s="1"/>
  <c r="AL23" i="47"/>
  <c r="S68" i="58" s="1"/>
  <c r="AF64" i="64" s="1"/>
  <c r="AE23" i="47"/>
  <c r="R68" i="58" s="1"/>
  <c r="AE64" i="64" s="1"/>
  <c r="AD23" i="47"/>
  <c r="Q68" i="58" s="1"/>
  <c r="AD64" i="64" s="1"/>
  <c r="V23" i="47"/>
  <c r="W23" i="47"/>
  <c r="P68" i="58" s="1"/>
  <c r="AC64" i="64" s="1"/>
  <c r="O68" i="58" l="1"/>
  <c r="AB64" i="64" s="1"/>
  <c r="AV23" i="47"/>
  <c r="W68" i="58" s="1"/>
  <c r="AJ64" i="64" s="1"/>
  <c r="F34" i="69" s="1"/>
  <c r="C71" i="63"/>
  <c r="AJ114" i="60"/>
  <c r="AI114" i="60"/>
  <c r="AI64" i="64"/>
  <c r="BJ64" i="64" s="1"/>
  <c r="BL64" i="64" s="1"/>
  <c r="BM64" i="64" s="1"/>
  <c r="AH114" i="60"/>
  <c r="AG114" i="60"/>
  <c r="AH64" i="64"/>
  <c r="BI64" i="64" s="1"/>
  <c r="C15" i="63"/>
  <c r="C44" i="63"/>
  <c r="C16" i="63"/>
  <c r="C45" i="63"/>
  <c r="C14" i="63"/>
  <c r="C43" i="63"/>
  <c r="D118" i="59"/>
  <c r="C51" i="62" s="1"/>
  <c r="B66" i="59"/>
  <c r="B67" i="59" s="1"/>
  <c r="X68" i="58"/>
  <c r="AZ23" i="47"/>
  <c r="BH23" i="47" s="1"/>
  <c r="AG68" i="58" s="1"/>
  <c r="AY23" i="47"/>
  <c r="BG23" i="47" s="1"/>
  <c r="AW23" i="47"/>
  <c r="BE23" i="47" s="1"/>
  <c r="AX23" i="47"/>
  <c r="BF23" i="47" s="1"/>
  <c r="BK64" i="64" l="1"/>
  <c r="AK64" i="64"/>
  <c r="G34" i="69" s="1"/>
  <c r="Y68" i="58"/>
  <c r="AL64" i="64" s="1"/>
  <c r="H34" i="69" s="1"/>
  <c r="C72" i="63"/>
  <c r="D119" i="59"/>
  <c r="C52" i="62" s="1"/>
  <c r="B68" i="59"/>
  <c r="B69" i="59" s="1"/>
  <c r="B70" i="59" s="1"/>
  <c r="Z68" i="58"/>
  <c r="AH68" i="58" s="1"/>
  <c r="W19" i="43"/>
  <c r="P43" i="58" s="1"/>
  <c r="AC39" i="64" s="1"/>
  <c r="D120" i="59" l="1"/>
  <c r="C53" i="62" s="1"/>
  <c r="C17" i="63"/>
  <c r="C46" i="63"/>
  <c r="C74" i="63"/>
  <c r="C73" i="63"/>
  <c r="B71" i="59"/>
  <c r="B72" i="59" s="1"/>
  <c r="B73" i="59" s="1"/>
  <c r="B74" i="59" s="1"/>
  <c r="AA68" i="58"/>
  <c r="W17" i="43"/>
  <c r="P41" i="58" s="1"/>
  <c r="AC37" i="64" l="1"/>
  <c r="C19" i="63"/>
  <c r="C48" i="63"/>
  <c r="C18" i="63"/>
  <c r="C47" i="63"/>
  <c r="D121" i="59"/>
  <c r="C54" i="62" s="1"/>
  <c r="B75" i="59"/>
  <c r="B76" i="59" s="1"/>
  <c r="B77" i="59" s="1"/>
  <c r="B78" i="59" s="1"/>
  <c r="AE16" i="46"/>
  <c r="R59" i="58" s="1"/>
  <c r="AD16" i="46"/>
  <c r="Q59" i="58" s="1"/>
  <c r="AU16" i="46"/>
  <c r="V59" i="58" s="1"/>
  <c r="AT16" i="46"/>
  <c r="U59" i="58" s="1"/>
  <c r="V16" i="46"/>
  <c r="O59" i="58" s="1"/>
  <c r="AL16" i="46"/>
  <c r="S59" i="58" s="1"/>
  <c r="X49" i="60" s="1"/>
  <c r="AC49" i="60" s="1"/>
  <c r="AM16" i="46"/>
  <c r="T59" i="58" s="1"/>
  <c r="Z49" i="60" s="1"/>
  <c r="W16" i="46"/>
  <c r="P59" i="58" s="1"/>
  <c r="F18" i="46"/>
  <c r="P85" i="59" s="1"/>
  <c r="F17" i="46"/>
  <c r="P84" i="59" s="1"/>
  <c r="F16" i="46"/>
  <c r="P83" i="59" s="1"/>
  <c r="P11" i="59"/>
  <c r="F19" i="45"/>
  <c r="P12" i="59" s="1"/>
  <c r="F16" i="45"/>
  <c r="P9" i="59" s="1"/>
  <c r="AE55" i="64" l="1"/>
  <c r="Q49" i="60"/>
  <c r="AA49" i="60"/>
  <c r="AB55" i="64"/>
  <c r="P49" i="60"/>
  <c r="Y49" i="60"/>
  <c r="AD49" i="60" s="1"/>
  <c r="G49" i="60"/>
  <c r="F49" i="60"/>
  <c r="AD55" i="64"/>
  <c r="O49" i="60"/>
  <c r="T49" i="60" s="1"/>
  <c r="AC55" i="64"/>
  <c r="R49" i="60"/>
  <c r="U49" i="60" s="1"/>
  <c r="I49" i="60"/>
  <c r="H49" i="60"/>
  <c r="AG49" i="60"/>
  <c r="AH55" i="64"/>
  <c r="AG55" i="64"/>
  <c r="BJ55" i="64" s="1"/>
  <c r="BL55" i="64" s="1"/>
  <c r="BM55" i="64" s="1"/>
  <c r="AJ49" i="60"/>
  <c r="AH49" i="60"/>
  <c r="AF55" i="64"/>
  <c r="BI55" i="64" s="1"/>
  <c r="AI49" i="60"/>
  <c r="AI55" i="64"/>
  <c r="C75" i="63"/>
  <c r="D122" i="59"/>
  <c r="C55" i="62" s="1"/>
  <c r="B79" i="59"/>
  <c r="B80" i="59" s="1"/>
  <c r="B81" i="59" s="1"/>
  <c r="B82" i="59" s="1"/>
  <c r="B83" i="59" s="1"/>
  <c r="AV16" i="46"/>
  <c r="F17" i="37"/>
  <c r="P6" i="59" s="1"/>
  <c r="F18" i="37"/>
  <c r="P7" i="59" s="1"/>
  <c r="F19" i="37"/>
  <c r="P8" i="59" s="1"/>
  <c r="F16" i="37"/>
  <c r="P5" i="59" s="1"/>
  <c r="F17" i="44"/>
  <c r="P14" i="59" s="1"/>
  <c r="F18" i="44"/>
  <c r="P15" i="59" s="1"/>
  <c r="F19" i="44"/>
  <c r="P16" i="59" s="1"/>
  <c r="F20" i="44"/>
  <c r="P17" i="59" s="1"/>
  <c r="F21" i="44"/>
  <c r="P18" i="59" s="1"/>
  <c r="F22" i="44"/>
  <c r="P19" i="59" s="1"/>
  <c r="F16" i="44"/>
  <c r="P13" i="59" s="1"/>
  <c r="W21" i="42"/>
  <c r="P38" i="58" s="1"/>
  <c r="AC34" i="64" s="1"/>
  <c r="BK55" i="64" l="1"/>
  <c r="K49" i="60"/>
  <c r="L49" i="60"/>
  <c r="J49" i="60"/>
  <c r="C20" i="63"/>
  <c r="C49" i="63"/>
  <c r="C76" i="63"/>
  <c r="D123" i="59"/>
  <c r="C56" i="62" s="1"/>
  <c r="C57" i="62" s="1"/>
  <c r="C32" i="62" s="1"/>
  <c r="B84" i="59"/>
  <c r="B85" i="59" s="1"/>
  <c r="B86" i="59" s="1"/>
  <c r="AM49" i="60"/>
  <c r="AL49" i="60"/>
  <c r="AZ16" i="46"/>
  <c r="BD16" i="46" s="1"/>
  <c r="AD59" i="58" s="1"/>
  <c r="AY16" i="46"/>
  <c r="BC16" i="46" s="1"/>
  <c r="W59" i="58"/>
  <c r="AX16" i="46"/>
  <c r="AW16" i="46"/>
  <c r="W20" i="42"/>
  <c r="P37" i="58" s="1"/>
  <c r="AC33" i="64" s="1"/>
  <c r="D124" i="59" l="1"/>
  <c r="C45" i="62" s="1"/>
  <c r="AJ55" i="64"/>
  <c r="F28" i="69" s="1"/>
  <c r="C68" i="63"/>
  <c r="C46" i="62"/>
  <c r="C30" i="62" s="1"/>
  <c r="C21" i="63"/>
  <c r="C50" i="63"/>
  <c r="C77" i="63"/>
  <c r="B87" i="59"/>
  <c r="B88" i="59" s="1"/>
  <c r="B89" i="59" s="1"/>
  <c r="BG16" i="46"/>
  <c r="BH16" i="46"/>
  <c r="AG59" i="58" s="1"/>
  <c r="BF16" i="46"/>
  <c r="BB16" i="46"/>
  <c r="BA16" i="46"/>
  <c r="BE16" i="46"/>
  <c r="V19" i="37"/>
  <c r="O58" i="58" s="1"/>
  <c r="C42" i="63" l="1"/>
  <c r="G15" i="60"/>
  <c r="F15" i="60"/>
  <c r="C13" i="63"/>
  <c r="D125" i="59"/>
  <c r="C58" i="62" s="1"/>
  <c r="C78" i="63" s="1"/>
  <c r="AB54" i="64"/>
  <c r="Z59" i="58"/>
  <c r="AH59" i="58" s="1"/>
  <c r="AK55" i="64"/>
  <c r="G28" i="69" s="1"/>
  <c r="C22" i="63"/>
  <c r="C51" i="63"/>
  <c r="B90" i="59"/>
  <c r="B91" i="59" s="1"/>
  <c r="B92" i="59" s="1"/>
  <c r="B93" i="59" s="1"/>
  <c r="B94" i="59" s="1"/>
  <c r="B95" i="59" s="1"/>
  <c r="B96" i="59" s="1"/>
  <c r="B97" i="59" s="1"/>
  <c r="B98" i="59" s="1"/>
  <c r="B99" i="59" s="1"/>
  <c r="B100" i="59" s="1"/>
  <c r="B101" i="59" s="1"/>
  <c r="B102" i="59" s="1"/>
  <c r="B103" i="59" s="1"/>
  <c r="B104" i="59" s="1"/>
  <c r="B105" i="59" s="1"/>
  <c r="B106" i="59" s="1"/>
  <c r="O18" i="46"/>
  <c r="R85" i="59" s="1"/>
  <c r="O17" i="46"/>
  <c r="R84" i="59" s="1"/>
  <c r="O16" i="46"/>
  <c r="R83" i="59" s="1"/>
  <c r="AU17" i="46"/>
  <c r="V60" i="58" s="1"/>
  <c r="AT17" i="46"/>
  <c r="U60" i="58" s="1"/>
  <c r="AM17" i="46"/>
  <c r="T60" i="58" s="1"/>
  <c r="AL17" i="46"/>
  <c r="S60" i="58" s="1"/>
  <c r="AE17" i="46"/>
  <c r="R60" i="58" s="1"/>
  <c r="AD17" i="46"/>
  <c r="Q60" i="58" s="1"/>
  <c r="W17" i="46"/>
  <c r="P60" i="58" s="1"/>
  <c r="V17" i="46"/>
  <c r="O60" i="58" s="1"/>
  <c r="I17" i="46"/>
  <c r="E84" i="59" s="1"/>
  <c r="D50" i="60" s="1"/>
  <c r="I16" i="46"/>
  <c r="E83" i="59" s="1"/>
  <c r="D49" i="60" s="1"/>
  <c r="H17" i="46"/>
  <c r="H16" i="46"/>
  <c r="Q84" i="59"/>
  <c r="E50" i="60" s="1"/>
  <c r="N50" i="60" s="1"/>
  <c r="W50" i="60" s="1"/>
  <c r="Q83" i="59"/>
  <c r="E49" i="60" s="1"/>
  <c r="N49" i="60" s="1"/>
  <c r="W49" i="60" s="1"/>
  <c r="AF49" i="60" s="1"/>
  <c r="E17" i="46"/>
  <c r="E16" i="46"/>
  <c r="D17" i="46"/>
  <c r="D16" i="46"/>
  <c r="B16" i="46"/>
  <c r="C16" i="46"/>
  <c r="Y50" i="60" l="1"/>
  <c r="P50" i="60"/>
  <c r="G50" i="60"/>
  <c r="F50" i="60"/>
  <c r="AF56" i="64"/>
  <c r="X50" i="60"/>
  <c r="AC50" i="60" s="1"/>
  <c r="AD56" i="64"/>
  <c r="O50" i="60"/>
  <c r="AE56" i="64"/>
  <c r="Q50" i="60"/>
  <c r="AG56" i="64"/>
  <c r="Z50" i="60"/>
  <c r="AC56" i="64"/>
  <c r="R50" i="60"/>
  <c r="AA50" i="60"/>
  <c r="H50" i="60"/>
  <c r="I50" i="60"/>
  <c r="AL55" i="64"/>
  <c r="H28" i="69" s="1"/>
  <c r="AE59" i="58"/>
  <c r="D126" i="59"/>
  <c r="C59" i="62" s="1"/>
  <c r="C60" i="62" s="1"/>
  <c r="AH50" i="60"/>
  <c r="AB56" i="64"/>
  <c r="AG50" i="60"/>
  <c r="AH56" i="64"/>
  <c r="AJ50" i="60"/>
  <c r="AI50" i="60"/>
  <c r="AI56" i="64"/>
  <c r="C23" i="63"/>
  <c r="C52" i="63"/>
  <c r="X60" i="58"/>
  <c r="AZ17" i="46"/>
  <c r="BH17" i="46" s="1"/>
  <c r="AG60" i="58" s="1"/>
  <c r="AV17" i="46"/>
  <c r="W60" i="58" s="1"/>
  <c r="AJ56" i="64" s="1"/>
  <c r="F29" i="69" s="1"/>
  <c r="AW17" i="46"/>
  <c r="BE17" i="46" s="1"/>
  <c r="AX17" i="46"/>
  <c r="BF17" i="46" s="1"/>
  <c r="AY17" i="46"/>
  <c r="BG17" i="46" s="1"/>
  <c r="D22" i="47"/>
  <c r="D23" i="47"/>
  <c r="D20" i="47"/>
  <c r="D21" i="47"/>
  <c r="D19" i="47"/>
  <c r="D18" i="47"/>
  <c r="D17" i="47"/>
  <c r="BJ56" i="64" l="1"/>
  <c r="BL56" i="64" s="1"/>
  <c r="BM56" i="64" s="1"/>
  <c r="K50" i="60"/>
  <c r="T50" i="60"/>
  <c r="AD50" i="60"/>
  <c r="U50" i="60"/>
  <c r="J50" i="60"/>
  <c r="L50" i="60"/>
  <c r="D127" i="59"/>
  <c r="C33" i="62"/>
  <c r="C62" i="62"/>
  <c r="BI56" i="64"/>
  <c r="BK56" i="64"/>
  <c r="Z60" i="58"/>
  <c r="AH60" i="58" s="1"/>
  <c r="AK56" i="64"/>
  <c r="G29" i="69" s="1"/>
  <c r="Y60" i="58"/>
  <c r="C79" i="63"/>
  <c r="AL50" i="60"/>
  <c r="AM50" i="60"/>
  <c r="BD17" i="46"/>
  <c r="AD60" i="58" s="1"/>
  <c r="BB17" i="46"/>
  <c r="BA17" i="46"/>
  <c r="BC17" i="46"/>
  <c r="I18" i="45"/>
  <c r="E11" i="59" s="1"/>
  <c r="D23" i="60" s="1"/>
  <c r="I19" i="45"/>
  <c r="E12" i="59" s="1"/>
  <c r="D24" i="60" s="1"/>
  <c r="I16" i="45"/>
  <c r="E9" i="59" s="1"/>
  <c r="D21" i="60" s="1"/>
  <c r="H18" i="45"/>
  <c r="H19" i="45"/>
  <c r="H16" i="45"/>
  <c r="Q11" i="59"/>
  <c r="E23" i="60" s="1"/>
  <c r="Q12" i="59"/>
  <c r="E24" i="60" s="1"/>
  <c r="E21" i="60"/>
  <c r="E18" i="45"/>
  <c r="E19" i="45"/>
  <c r="E16" i="45"/>
  <c r="D18" i="45"/>
  <c r="D19" i="45"/>
  <c r="D16" i="45"/>
  <c r="C18" i="45"/>
  <c r="C19" i="45"/>
  <c r="C16" i="45"/>
  <c r="B16" i="45"/>
  <c r="AU19" i="45"/>
  <c r="V99" i="58" s="1"/>
  <c r="AT19" i="45"/>
  <c r="U99" i="58" s="1"/>
  <c r="AM19" i="45"/>
  <c r="T99" i="58" s="1"/>
  <c r="AL19" i="45"/>
  <c r="S99" i="58" s="1"/>
  <c r="AE19" i="45"/>
  <c r="R99" i="58" s="1"/>
  <c r="AD19" i="45"/>
  <c r="Q99" i="58" s="1"/>
  <c r="W19" i="45"/>
  <c r="P99" i="58" s="1"/>
  <c r="V19" i="45"/>
  <c r="O99" i="58" s="1"/>
  <c r="R12" i="59"/>
  <c r="AU18" i="45"/>
  <c r="V98" i="58" s="1"/>
  <c r="AI23" i="60" s="1"/>
  <c r="AT18" i="45"/>
  <c r="U98" i="58" s="1"/>
  <c r="AM18" i="45"/>
  <c r="T98" i="58" s="1"/>
  <c r="AL18" i="45"/>
  <c r="S98" i="58" s="1"/>
  <c r="AE18" i="45"/>
  <c r="R98" i="58" s="1"/>
  <c r="AD18" i="45"/>
  <c r="Q98" i="58" s="1"/>
  <c r="W18" i="45"/>
  <c r="P98" i="58" s="1"/>
  <c r="V18" i="45"/>
  <c r="O98" i="58" s="1"/>
  <c r="R11" i="59"/>
  <c r="AU16" i="45"/>
  <c r="V96" i="58" s="1"/>
  <c r="AT16" i="45"/>
  <c r="U96" i="58" s="1"/>
  <c r="AM16" i="45"/>
  <c r="T96" i="58" s="1"/>
  <c r="AL16" i="45"/>
  <c r="S96" i="58" s="1"/>
  <c r="AE16" i="45"/>
  <c r="R96" i="58" s="1"/>
  <c r="AD16" i="45"/>
  <c r="Q96" i="58" s="1"/>
  <c r="W16" i="45"/>
  <c r="P96" i="58" s="1"/>
  <c r="V16" i="45"/>
  <c r="O96" i="58" s="1"/>
  <c r="R9" i="59"/>
  <c r="AG93" i="64" l="1"/>
  <c r="Z23" i="60"/>
  <c r="AF94" i="64"/>
  <c r="X24" i="60"/>
  <c r="AC24" i="60" s="1"/>
  <c r="N23" i="60"/>
  <c r="W23" i="60"/>
  <c r="AF23" i="60" s="1"/>
  <c r="AF93" i="64"/>
  <c r="X23" i="60"/>
  <c r="AC23" i="60" s="1"/>
  <c r="AG94" i="64"/>
  <c r="Z24" i="60"/>
  <c r="AG92" i="64"/>
  <c r="Z21" i="60"/>
  <c r="G23" i="60"/>
  <c r="L23" i="60" s="1"/>
  <c r="P23" i="60"/>
  <c r="F23" i="60"/>
  <c r="K23" i="60" s="1"/>
  <c r="Y23" i="60"/>
  <c r="AD92" i="64"/>
  <c r="O21" i="60"/>
  <c r="T21" i="60" s="1"/>
  <c r="Y24" i="60"/>
  <c r="G24" i="60"/>
  <c r="P24" i="60"/>
  <c r="F24" i="60"/>
  <c r="AE94" i="64"/>
  <c r="Q24" i="60"/>
  <c r="AE92" i="64"/>
  <c r="Q21" i="60"/>
  <c r="AD93" i="64"/>
  <c r="O23" i="60"/>
  <c r="N24" i="60"/>
  <c r="W24" i="60"/>
  <c r="AF24" i="60" s="1"/>
  <c r="P21" i="60"/>
  <c r="U21" i="60" s="1"/>
  <c r="F21" i="60"/>
  <c r="K21" i="60" s="1"/>
  <c r="G21" i="60"/>
  <c r="L21" i="60" s="1"/>
  <c r="Y21" i="60"/>
  <c r="AD21" i="60" s="1"/>
  <c r="AF92" i="64"/>
  <c r="X21" i="60"/>
  <c r="AC21" i="60" s="1"/>
  <c r="AE93" i="64"/>
  <c r="Q23" i="60"/>
  <c r="AD94" i="64"/>
  <c r="O24" i="60"/>
  <c r="T24" i="60" s="1"/>
  <c r="N21" i="60"/>
  <c r="W21" i="60"/>
  <c r="AF21" i="60" s="1"/>
  <c r="AL56" i="64"/>
  <c r="H29" i="69" s="1"/>
  <c r="AA23" i="60"/>
  <c r="I23" i="60"/>
  <c r="J23" i="60" s="1"/>
  <c r="H23" i="60"/>
  <c r="H24" i="60"/>
  <c r="K24" i="60" s="1"/>
  <c r="I24" i="60"/>
  <c r="AA24" i="60"/>
  <c r="H21" i="60"/>
  <c r="AA21" i="60"/>
  <c r="AC92" i="64"/>
  <c r="AC93" i="64"/>
  <c r="AC94" i="64"/>
  <c r="AE60" i="58"/>
  <c r="AA60" i="58"/>
  <c r="AH21" i="60"/>
  <c r="AB92" i="64"/>
  <c r="AG24" i="60"/>
  <c r="AH94" i="64"/>
  <c r="AH23" i="60"/>
  <c r="AB93" i="64"/>
  <c r="AH24" i="60"/>
  <c r="AB94" i="64"/>
  <c r="AG23" i="60"/>
  <c r="AH93" i="64"/>
  <c r="AG21" i="60"/>
  <c r="AH92" i="64"/>
  <c r="AJ24" i="60"/>
  <c r="AI24" i="60"/>
  <c r="AI94" i="64"/>
  <c r="AJ23" i="60"/>
  <c r="AI93" i="64"/>
  <c r="AJ21" i="60"/>
  <c r="AI21" i="60"/>
  <c r="AI92" i="64"/>
  <c r="C24" i="63"/>
  <c r="C53" i="63"/>
  <c r="X96" i="58"/>
  <c r="X98" i="58"/>
  <c r="X99" i="58"/>
  <c r="AZ16" i="45"/>
  <c r="BH16" i="45" s="1"/>
  <c r="AG96" i="58" s="1"/>
  <c r="AV19" i="45"/>
  <c r="W99" i="58" s="1"/>
  <c r="AJ94" i="64" s="1"/>
  <c r="F48" i="69" s="1"/>
  <c r="AX18" i="45"/>
  <c r="BF18" i="45" s="1"/>
  <c r="AV18" i="45"/>
  <c r="W98" i="58" s="1"/>
  <c r="AJ93" i="64" s="1"/>
  <c r="F47" i="69" s="1"/>
  <c r="AZ19" i="45"/>
  <c r="BH19" i="45" s="1"/>
  <c r="AG99" i="58" s="1"/>
  <c r="AV16" i="45"/>
  <c r="W96" i="58" s="1"/>
  <c r="AJ92" i="64" s="1"/>
  <c r="F46" i="69" s="1"/>
  <c r="AY18" i="45"/>
  <c r="AW19" i="45"/>
  <c r="BE19" i="45" s="1"/>
  <c r="AX16" i="45"/>
  <c r="AZ18" i="45"/>
  <c r="BH18" i="45" s="1"/>
  <c r="AG98" i="58" s="1"/>
  <c r="AX19" i="45"/>
  <c r="BF19" i="45" s="1"/>
  <c r="AW16" i="45"/>
  <c r="BE16" i="45" s="1"/>
  <c r="AY16" i="45"/>
  <c r="BG16" i="45" s="1"/>
  <c r="AW18" i="45"/>
  <c r="BE18" i="45" s="1"/>
  <c r="AY19" i="45"/>
  <c r="BG19" i="45" s="1"/>
  <c r="AD23" i="60" l="1"/>
  <c r="BJ94" i="64"/>
  <c r="AD24" i="60"/>
  <c r="T23" i="60"/>
  <c r="AM21" i="60"/>
  <c r="BJ93" i="64"/>
  <c r="AM24" i="60"/>
  <c r="J24" i="60"/>
  <c r="L24" i="60"/>
  <c r="BJ92" i="64"/>
  <c r="I21" i="60"/>
  <c r="J21" i="60" s="1"/>
  <c r="AL24" i="60"/>
  <c r="AL23" i="60"/>
  <c r="BI93" i="64"/>
  <c r="AL21" i="60"/>
  <c r="E10" i="63" s="1"/>
  <c r="AM23" i="60"/>
  <c r="D39" i="63" s="1"/>
  <c r="BI94" i="64"/>
  <c r="BG18" i="45"/>
  <c r="BC18" i="45"/>
  <c r="BI92" i="64"/>
  <c r="G39" i="63"/>
  <c r="C54" i="63"/>
  <c r="AK94" i="64"/>
  <c r="Y99" i="58"/>
  <c r="AK93" i="64"/>
  <c r="Y98" i="58"/>
  <c r="AK92" i="64"/>
  <c r="Y96" i="58"/>
  <c r="G10" i="63"/>
  <c r="BB18" i="45"/>
  <c r="Z99" i="58"/>
  <c r="Z96" i="58"/>
  <c r="Z98" i="58"/>
  <c r="BB16" i="45"/>
  <c r="BF16" i="45"/>
  <c r="BD19" i="45"/>
  <c r="AD99" i="58" s="1"/>
  <c r="BD16" i="45"/>
  <c r="AD96" i="58" s="1"/>
  <c r="BA18" i="45"/>
  <c r="BC16" i="45"/>
  <c r="BB19" i="45"/>
  <c r="BA16" i="45"/>
  <c r="BA19" i="45"/>
  <c r="BD18" i="45"/>
  <c r="AD98" i="58" s="1"/>
  <c r="BC19" i="45"/>
  <c r="BK93" i="64" l="1"/>
  <c r="BK94" i="64"/>
  <c r="BK92" i="64"/>
  <c r="AL93" i="64"/>
  <c r="H47" i="69" s="1"/>
  <c r="AL94" i="64"/>
  <c r="H48" i="69" s="1"/>
  <c r="AL92" i="64"/>
  <c r="H46" i="69" s="1"/>
  <c r="AL25" i="60"/>
  <c r="F10" i="63"/>
  <c r="E39" i="63"/>
  <c r="H39" i="63" s="1"/>
  <c r="I39" i="63" s="1"/>
  <c r="AM25" i="60"/>
  <c r="D10" i="63"/>
  <c r="G48" i="69"/>
  <c r="BL94" i="64"/>
  <c r="BM94" i="64" s="1"/>
  <c r="BN94" i="64" s="1"/>
  <c r="G47" i="69"/>
  <c r="BL93" i="64"/>
  <c r="BM93" i="64" s="1"/>
  <c r="BN93" i="64" s="1"/>
  <c r="G46" i="69"/>
  <c r="BL92" i="64"/>
  <c r="BD20" i="45"/>
  <c r="AA98" i="58"/>
  <c r="AB98" i="58" s="1"/>
  <c r="AH98" i="58"/>
  <c r="AE98" i="58"/>
  <c r="AE96" i="58"/>
  <c r="AA96" i="58"/>
  <c r="AB96" i="58" s="1"/>
  <c r="AH96" i="58"/>
  <c r="AA99" i="58"/>
  <c r="AB99" i="58" s="1"/>
  <c r="AH99" i="58"/>
  <c r="AE99" i="58"/>
  <c r="BB20" i="45"/>
  <c r="BA20" i="45"/>
  <c r="BC20" i="45"/>
  <c r="H10" i="63" l="1"/>
  <c r="I10" i="63" s="1"/>
  <c r="AN25" i="60"/>
  <c r="I48" i="69"/>
  <c r="D30" i="67"/>
  <c r="D29" i="67"/>
  <c r="I47" i="69"/>
  <c r="BM92" i="64"/>
  <c r="BN92" i="64" s="1"/>
  <c r="AV17" i="56"/>
  <c r="AU17" i="56"/>
  <c r="V94" i="58" s="1"/>
  <c r="AT17" i="56"/>
  <c r="U94" i="58" s="1"/>
  <c r="AM17" i="56"/>
  <c r="T94" i="58" s="1"/>
  <c r="AL17" i="56"/>
  <c r="S94" i="58" s="1"/>
  <c r="AE17" i="56"/>
  <c r="R94" i="58" s="1"/>
  <c r="AD17" i="56"/>
  <c r="Q94" i="58" s="1"/>
  <c r="W17" i="56"/>
  <c r="P94" i="58" s="1"/>
  <c r="V17" i="56"/>
  <c r="O94" i="58" s="1"/>
  <c r="AV16" i="56"/>
  <c r="AU16" i="56"/>
  <c r="V93" i="58" s="1"/>
  <c r="AT16" i="56"/>
  <c r="U93" i="58" s="1"/>
  <c r="AM16" i="56"/>
  <c r="T93" i="58" s="1"/>
  <c r="AL16" i="56"/>
  <c r="S93" i="58" s="1"/>
  <c r="AE16" i="56"/>
  <c r="R93" i="58" s="1"/>
  <c r="AD16" i="56"/>
  <c r="Q93" i="58" s="1"/>
  <c r="W16" i="56"/>
  <c r="P93" i="58" s="1"/>
  <c r="V16" i="56"/>
  <c r="O93" i="58" s="1"/>
  <c r="I17" i="56"/>
  <c r="E21" i="59" s="1"/>
  <c r="D43" i="60" s="1"/>
  <c r="I16" i="56"/>
  <c r="E20" i="59" s="1"/>
  <c r="D42" i="60" s="1"/>
  <c r="H17" i="56"/>
  <c r="H16" i="56"/>
  <c r="Q21" i="59"/>
  <c r="E43" i="60" s="1"/>
  <c r="N43" i="60" s="1"/>
  <c r="W43" i="60" s="1"/>
  <c r="AF43" i="60" s="1"/>
  <c r="Q20" i="59"/>
  <c r="E42" i="60" s="1"/>
  <c r="N42" i="60" s="1"/>
  <c r="W42" i="60" s="1"/>
  <c r="AF42" i="60" s="1"/>
  <c r="E17" i="56"/>
  <c r="E16" i="56"/>
  <c r="D17" i="56"/>
  <c r="D16" i="56"/>
  <c r="C16" i="56"/>
  <c r="B16" i="56"/>
  <c r="R21" i="59"/>
  <c r="R20" i="59"/>
  <c r="O94" i="38"/>
  <c r="O93" i="38"/>
  <c r="AD89" i="64" l="1"/>
  <c r="O42" i="60"/>
  <c r="AE89" i="64"/>
  <c r="Q42" i="60"/>
  <c r="AF89" i="64"/>
  <c r="X42" i="60"/>
  <c r="AE90" i="64"/>
  <c r="Q43" i="60"/>
  <c r="AD90" i="64"/>
  <c r="O43" i="60"/>
  <c r="AG89" i="64"/>
  <c r="Z42" i="60"/>
  <c r="AF90" i="64"/>
  <c r="X43" i="60"/>
  <c r="AG90" i="64"/>
  <c r="Z43" i="60"/>
  <c r="P43" i="60"/>
  <c r="G43" i="60"/>
  <c r="F43" i="60"/>
  <c r="P42" i="60"/>
  <c r="G42" i="60"/>
  <c r="F42" i="60"/>
  <c r="AA43" i="60"/>
  <c r="R43" i="60"/>
  <c r="U43" i="60" s="1"/>
  <c r="I43" i="60"/>
  <c r="H43" i="60"/>
  <c r="K43" i="60" s="1"/>
  <c r="AA42" i="60"/>
  <c r="I42" i="60"/>
  <c r="H42" i="60"/>
  <c r="R42" i="60"/>
  <c r="U42" i="60" s="1"/>
  <c r="C10" i="62"/>
  <c r="AC89" i="64"/>
  <c r="AC90" i="64"/>
  <c r="D60" i="67"/>
  <c r="M28" i="66"/>
  <c r="D61" i="67"/>
  <c r="M29" i="66"/>
  <c r="AH43" i="60"/>
  <c r="AB90" i="64"/>
  <c r="AG43" i="60"/>
  <c r="AH90" i="64"/>
  <c r="AH42" i="60"/>
  <c r="AB89" i="64"/>
  <c r="AG42" i="60"/>
  <c r="AH89" i="64"/>
  <c r="AJ43" i="60"/>
  <c r="AI43" i="60"/>
  <c r="AI90" i="64"/>
  <c r="AJ42" i="60"/>
  <c r="AI42" i="60"/>
  <c r="AI89" i="64"/>
  <c r="I46" i="69"/>
  <c r="D28" i="67"/>
  <c r="M27" i="66" s="1"/>
  <c r="BO92" i="64"/>
  <c r="AY16" i="56"/>
  <c r="AZ16" i="56"/>
  <c r="W93" i="58"/>
  <c r="W94" i="58"/>
  <c r="AX16" i="56"/>
  <c r="AZ17" i="56"/>
  <c r="AX17" i="56"/>
  <c r="AY17" i="56"/>
  <c r="AW16" i="56"/>
  <c r="AW17" i="56"/>
  <c r="AC43" i="60" l="1"/>
  <c r="AC42" i="60"/>
  <c r="K42" i="60"/>
  <c r="AD42" i="60"/>
  <c r="BJ90" i="64"/>
  <c r="BK90" i="64" s="1"/>
  <c r="T43" i="60"/>
  <c r="T42" i="60"/>
  <c r="AD43" i="60"/>
  <c r="J43" i="60"/>
  <c r="L43" i="60"/>
  <c r="BJ89" i="64"/>
  <c r="BL89" i="64" s="1"/>
  <c r="BM89" i="64" s="1"/>
  <c r="J42" i="60"/>
  <c r="L42" i="60"/>
  <c r="BI89" i="64"/>
  <c r="AM43" i="60"/>
  <c r="X94" i="58"/>
  <c r="AJ90" i="64"/>
  <c r="X93" i="58"/>
  <c r="AJ89" i="64"/>
  <c r="BI90" i="64"/>
  <c r="C15" i="70"/>
  <c r="N27" i="66" s="1"/>
  <c r="J46" i="69"/>
  <c r="E28" i="67"/>
  <c r="D59" i="67"/>
  <c r="AL43" i="60"/>
  <c r="AM42" i="60"/>
  <c r="AL42" i="60"/>
  <c r="D12" i="63" s="1"/>
  <c r="BG17" i="56"/>
  <c r="BC17" i="56"/>
  <c r="BF17" i="56"/>
  <c r="BB17" i="56"/>
  <c r="BH17" i="56"/>
  <c r="AG94" i="58" s="1"/>
  <c r="BD17" i="56"/>
  <c r="AD94" i="58" s="1"/>
  <c r="BB16" i="56"/>
  <c r="BF16" i="56"/>
  <c r="BC16" i="56"/>
  <c r="BG16" i="56"/>
  <c r="BD16" i="56"/>
  <c r="AD93" i="58" s="1"/>
  <c r="BH16" i="56"/>
  <c r="AG93" i="58" s="1"/>
  <c r="BA17" i="56"/>
  <c r="BE17" i="56"/>
  <c r="BA16" i="56"/>
  <c r="BE16" i="56"/>
  <c r="BL90" i="64" l="1"/>
  <c r="BM90" i="64" s="1"/>
  <c r="BK89" i="64"/>
  <c r="AK90" i="64"/>
  <c r="D41" i="63"/>
  <c r="F41" i="63"/>
  <c r="AK89" i="64"/>
  <c r="Z93" i="58"/>
  <c r="Z94" i="58"/>
  <c r="F44" i="69"/>
  <c r="BN89" i="64"/>
  <c r="D26" i="67" s="1"/>
  <c r="AM44" i="60"/>
  <c r="G41" i="63"/>
  <c r="E41" i="63"/>
  <c r="D70" i="67"/>
  <c r="G12" i="63"/>
  <c r="F12" i="63"/>
  <c r="E12" i="63"/>
  <c r="AL44" i="60"/>
  <c r="BB18" i="56"/>
  <c r="BD18" i="56"/>
  <c r="BC18" i="56"/>
  <c r="BA18" i="56"/>
  <c r="I17" i="55"/>
  <c r="E90" i="59" s="1"/>
  <c r="D172" i="60" s="1"/>
  <c r="I18" i="55"/>
  <c r="E91" i="59" s="1"/>
  <c r="D173" i="60" s="1"/>
  <c r="I16" i="55"/>
  <c r="E89" i="59" s="1"/>
  <c r="D171" i="60" s="1"/>
  <c r="E17" i="55"/>
  <c r="E18" i="55"/>
  <c r="E16" i="55"/>
  <c r="D17" i="55"/>
  <c r="D18" i="55"/>
  <c r="D16" i="55"/>
  <c r="C16" i="55"/>
  <c r="B16" i="55"/>
  <c r="AU18" i="55"/>
  <c r="V92" i="58" s="1"/>
  <c r="AT18" i="55"/>
  <c r="U92" i="58" s="1"/>
  <c r="AM18" i="55"/>
  <c r="T92" i="58" s="1"/>
  <c r="AG88" i="64" s="1"/>
  <c r="AL18" i="55"/>
  <c r="S92" i="58" s="1"/>
  <c r="AF88" i="64" s="1"/>
  <c r="AE18" i="55"/>
  <c r="R92" i="58" s="1"/>
  <c r="AE88" i="64" s="1"/>
  <c r="AD18" i="55"/>
  <c r="Q92" i="58" s="1"/>
  <c r="AD88" i="64" s="1"/>
  <c r="W18" i="55"/>
  <c r="P92" i="58" s="1"/>
  <c r="AC88" i="64" s="1"/>
  <c r="V18" i="55"/>
  <c r="O92" i="58" s="1"/>
  <c r="O18" i="55"/>
  <c r="R91" i="59" s="1"/>
  <c r="AU17" i="55"/>
  <c r="V91" i="58" s="1"/>
  <c r="AT17" i="55"/>
  <c r="U91" i="58" s="1"/>
  <c r="AM17" i="55"/>
  <c r="T91" i="58" s="1"/>
  <c r="AG87" i="64" s="1"/>
  <c r="AL17" i="55"/>
  <c r="S91" i="58" s="1"/>
  <c r="AF87" i="64" s="1"/>
  <c r="AE17" i="55"/>
  <c r="R91" i="58" s="1"/>
  <c r="AE87" i="64" s="1"/>
  <c r="AD17" i="55"/>
  <c r="Q91" i="58" s="1"/>
  <c r="AD87" i="64" s="1"/>
  <c r="W17" i="55"/>
  <c r="V17" i="55"/>
  <c r="O91" i="58" s="1"/>
  <c r="O17" i="55"/>
  <c r="R90" i="59" s="1"/>
  <c r="AU16" i="55"/>
  <c r="V90" i="58" s="1"/>
  <c r="AT16" i="55"/>
  <c r="U90" i="58" s="1"/>
  <c r="AM16" i="55"/>
  <c r="T90" i="58" s="1"/>
  <c r="AG86" i="64" s="1"/>
  <c r="AL16" i="55"/>
  <c r="S90" i="58" s="1"/>
  <c r="AF86" i="64" s="1"/>
  <c r="AE16" i="55"/>
  <c r="R90" i="58" s="1"/>
  <c r="AE86" i="64" s="1"/>
  <c r="AD16" i="55"/>
  <c r="Q90" i="58" s="1"/>
  <c r="AD86" i="64" s="1"/>
  <c r="W16" i="55"/>
  <c r="V16" i="55"/>
  <c r="O90" i="58" s="1"/>
  <c r="O16" i="55"/>
  <c r="R89" i="59" s="1"/>
  <c r="O90" i="38"/>
  <c r="O91" i="38"/>
  <c r="O92" i="38"/>
  <c r="AL90" i="64" l="1"/>
  <c r="G44" i="69"/>
  <c r="AL89" i="64"/>
  <c r="I44" i="69"/>
  <c r="D57" i="67"/>
  <c r="M25" i="66"/>
  <c r="AH172" i="60"/>
  <c r="AB87" i="64"/>
  <c r="AG171" i="60"/>
  <c r="AH86" i="64"/>
  <c r="AH171" i="60"/>
  <c r="AB86" i="64"/>
  <c r="AH173" i="60"/>
  <c r="AB88" i="64"/>
  <c r="AG172" i="60"/>
  <c r="AH87" i="64"/>
  <c r="AG173" i="60"/>
  <c r="AH88" i="64"/>
  <c r="AJ173" i="60"/>
  <c r="AI173" i="60"/>
  <c r="AI88" i="64"/>
  <c r="BJ88" i="64" s="1"/>
  <c r="AI172" i="60"/>
  <c r="AI87" i="64"/>
  <c r="AI86" i="64"/>
  <c r="AI171" i="60"/>
  <c r="H41" i="63"/>
  <c r="I41" i="63" s="1"/>
  <c r="H12" i="63"/>
  <c r="I12" i="63" s="1"/>
  <c r="X92" i="58"/>
  <c r="AX16" i="55"/>
  <c r="BF16" i="55" s="1"/>
  <c r="P90" i="58"/>
  <c r="AC86" i="64" s="1"/>
  <c r="AW17" i="55"/>
  <c r="BE17" i="55" s="1"/>
  <c r="P91" i="58"/>
  <c r="AC87" i="64" s="1"/>
  <c r="AV16" i="55"/>
  <c r="W90" i="58" s="1"/>
  <c r="AJ86" i="64" s="1"/>
  <c r="AX17" i="55"/>
  <c r="BF17" i="55" s="1"/>
  <c r="AZ17" i="55"/>
  <c r="BH17" i="55" s="1"/>
  <c r="AG91" i="58" s="1"/>
  <c r="AY16" i="55"/>
  <c r="BG16" i="55" s="1"/>
  <c r="AV17" i="55"/>
  <c r="W91" i="58" s="1"/>
  <c r="AJ87" i="64" s="1"/>
  <c r="AV18" i="55"/>
  <c r="W92" i="58" s="1"/>
  <c r="AJ88" i="64" s="1"/>
  <c r="AZ18" i="55"/>
  <c r="BH18" i="55" s="1"/>
  <c r="AG92" i="58" s="1"/>
  <c r="AW18" i="55"/>
  <c r="BE18" i="55" s="1"/>
  <c r="AZ16" i="55"/>
  <c r="BH16" i="55" s="1"/>
  <c r="AG90" i="58" s="1"/>
  <c r="AY17" i="55"/>
  <c r="BG17" i="55" s="1"/>
  <c r="AX18" i="55"/>
  <c r="BF18" i="55" s="1"/>
  <c r="AW16" i="55"/>
  <c r="BE16" i="55" s="1"/>
  <c r="AY18" i="55"/>
  <c r="BG18" i="55" s="1"/>
  <c r="H44" i="69" l="1"/>
  <c r="AL173" i="60"/>
  <c r="BI86" i="64"/>
  <c r="AL172" i="60"/>
  <c r="AJ172" i="60"/>
  <c r="AM172" i="60" s="1"/>
  <c r="BI88" i="64"/>
  <c r="BK88" i="64" s="1"/>
  <c r="AM173" i="60"/>
  <c r="AJ171" i="60"/>
  <c r="AM171" i="60" s="1"/>
  <c r="BJ86" i="64"/>
  <c r="BL86" i="64" s="1"/>
  <c r="BM86" i="64" s="1"/>
  <c r="BJ87" i="64"/>
  <c r="BL87" i="64" s="1"/>
  <c r="BM87" i="64" s="1"/>
  <c r="BI87" i="64"/>
  <c r="BL88" i="64"/>
  <c r="BM88" i="64" s="1"/>
  <c r="AK88" i="64"/>
  <c r="Y92" i="58"/>
  <c r="AL88" i="64" s="1"/>
  <c r="Z92" i="58"/>
  <c r="AH92" i="58" s="1"/>
  <c r="X91" i="58"/>
  <c r="X90" i="58"/>
  <c r="AL171" i="60"/>
  <c r="BB16" i="55"/>
  <c r="BD18" i="55"/>
  <c r="AD92" i="58" s="1"/>
  <c r="BC16" i="55"/>
  <c r="BB17" i="55"/>
  <c r="BD17" i="55"/>
  <c r="AD91" i="58" s="1"/>
  <c r="BA17" i="55"/>
  <c r="BA16" i="55"/>
  <c r="BA18" i="55"/>
  <c r="BB18" i="55"/>
  <c r="BC17" i="55"/>
  <c r="BC18" i="55"/>
  <c r="BD16" i="55"/>
  <c r="AD90" i="58" s="1"/>
  <c r="D53" i="63" l="1"/>
  <c r="F53" i="63"/>
  <c r="BK87" i="64"/>
  <c r="BK86" i="64"/>
  <c r="AM174" i="60"/>
  <c r="E53" i="63"/>
  <c r="G53" i="63"/>
  <c r="AK87" i="64"/>
  <c r="Y91" i="58"/>
  <c r="AL87" i="64" s="1"/>
  <c r="AK86" i="64"/>
  <c r="Y90" i="58"/>
  <c r="AL86" i="64" s="1"/>
  <c r="AL174" i="60"/>
  <c r="G24" i="63"/>
  <c r="F24" i="63"/>
  <c r="E24" i="63"/>
  <c r="D24" i="63"/>
  <c r="AE92" i="58"/>
  <c r="AA92" i="58"/>
  <c r="Z90" i="58"/>
  <c r="AH90" i="58" s="1"/>
  <c r="BB19" i="55"/>
  <c r="Z91" i="58"/>
  <c r="AA91" i="58" s="1"/>
  <c r="BD19" i="55"/>
  <c r="BC19" i="55"/>
  <c r="BA19" i="55"/>
  <c r="AE91" i="58" l="1"/>
  <c r="H53" i="63"/>
  <c r="I53" i="63" s="1"/>
  <c r="AE90" i="58"/>
  <c r="H24" i="63"/>
  <c r="I24" i="63" s="1"/>
  <c r="AA90" i="58"/>
  <c r="AH91" i="58"/>
  <c r="O17" i="54"/>
  <c r="R87" i="59" s="1"/>
  <c r="O18" i="54"/>
  <c r="R88" i="59" s="1"/>
  <c r="O16" i="54"/>
  <c r="R86" i="59" s="1"/>
  <c r="I17" i="54"/>
  <c r="E87" i="59" s="1"/>
  <c r="D164" i="60" s="1"/>
  <c r="I18" i="54"/>
  <c r="E88" i="59" s="1"/>
  <c r="D165" i="60" s="1"/>
  <c r="I16" i="54"/>
  <c r="E86" i="59" s="1"/>
  <c r="D163" i="60" s="1"/>
  <c r="H17" i="54"/>
  <c r="H18" i="54"/>
  <c r="H16" i="54"/>
  <c r="Q87" i="59"/>
  <c r="E164" i="60" s="1"/>
  <c r="Q88" i="59"/>
  <c r="E165" i="60" s="1"/>
  <c r="Q86" i="59"/>
  <c r="E163" i="60" s="1"/>
  <c r="E17" i="54"/>
  <c r="E18" i="54"/>
  <c r="E16" i="54"/>
  <c r="D17" i="54"/>
  <c r="D18" i="54"/>
  <c r="D16" i="54"/>
  <c r="C16" i="54"/>
  <c r="B16" i="54"/>
  <c r="AU18" i="54"/>
  <c r="V89" i="58" s="1"/>
  <c r="AT18" i="54"/>
  <c r="U89" i="58" s="1"/>
  <c r="AM18" i="54"/>
  <c r="T89" i="58" s="1"/>
  <c r="AG85" i="64" s="1"/>
  <c r="AL18" i="54"/>
  <c r="S89" i="58" s="1"/>
  <c r="AF85" i="64" s="1"/>
  <c r="AE18" i="54"/>
  <c r="R89" i="58" s="1"/>
  <c r="AE85" i="64" s="1"/>
  <c r="AD18" i="54"/>
  <c r="Q89" i="58" s="1"/>
  <c r="AD85" i="64" s="1"/>
  <c r="W18" i="54"/>
  <c r="P89" i="58" s="1"/>
  <c r="AC85" i="64" s="1"/>
  <c r="V18" i="54"/>
  <c r="O89" i="58" s="1"/>
  <c r="AU17" i="54"/>
  <c r="V88" i="58" s="1"/>
  <c r="AT17" i="54"/>
  <c r="U88" i="58" s="1"/>
  <c r="AM17" i="54"/>
  <c r="T88" i="58" s="1"/>
  <c r="AG84" i="64" s="1"/>
  <c r="AL17" i="54"/>
  <c r="S88" i="58" s="1"/>
  <c r="AF84" i="64" s="1"/>
  <c r="AE17" i="54"/>
  <c r="R88" i="58" s="1"/>
  <c r="AE84" i="64" s="1"/>
  <c r="AD17" i="54"/>
  <c r="Q88" i="58" s="1"/>
  <c r="AD84" i="64" s="1"/>
  <c r="W17" i="54"/>
  <c r="P88" i="58" s="1"/>
  <c r="AC84" i="64" s="1"/>
  <c r="V17" i="54"/>
  <c r="O88" i="58" s="1"/>
  <c r="AU16" i="54"/>
  <c r="V87" i="58" s="1"/>
  <c r="AT16" i="54"/>
  <c r="U87" i="58" s="1"/>
  <c r="AM16" i="54"/>
  <c r="T87" i="58" s="1"/>
  <c r="AG83" i="64" s="1"/>
  <c r="AL16" i="54"/>
  <c r="S87" i="58" s="1"/>
  <c r="AF83" i="64" s="1"/>
  <c r="AE16" i="54"/>
  <c r="R87" i="58" s="1"/>
  <c r="AE83" i="64" s="1"/>
  <c r="AD16" i="54"/>
  <c r="Q87" i="58" s="1"/>
  <c r="AD83" i="64" s="1"/>
  <c r="W16" i="54"/>
  <c r="P87" i="58" s="1"/>
  <c r="AC83" i="64" s="1"/>
  <c r="V16" i="54"/>
  <c r="O87" i="58" s="1"/>
  <c r="O89" i="38"/>
  <c r="O88" i="38"/>
  <c r="O87" i="38"/>
  <c r="O83" i="38"/>
  <c r="O82" i="38"/>
  <c r="O81" i="38"/>
  <c r="O80" i="38"/>
  <c r="O79" i="38"/>
  <c r="AN174" i="60" l="1"/>
  <c r="C24" i="62" s="1"/>
  <c r="AG163" i="60"/>
  <c r="AH83" i="64"/>
  <c r="AG164" i="60"/>
  <c r="AH84" i="64"/>
  <c r="AG165" i="60"/>
  <c r="AH85" i="64"/>
  <c r="AH163" i="60"/>
  <c r="AB83" i="64"/>
  <c r="AH164" i="60"/>
  <c r="AB84" i="64"/>
  <c r="AH165" i="60"/>
  <c r="AB85" i="64"/>
  <c r="AJ165" i="60"/>
  <c r="AI165" i="60"/>
  <c r="AI85" i="64"/>
  <c r="BJ85" i="64" s="1"/>
  <c r="AI164" i="60"/>
  <c r="AJ164" i="60"/>
  <c r="AI84" i="64"/>
  <c r="BJ84" i="64" s="1"/>
  <c r="AI163" i="60"/>
  <c r="AJ163" i="60"/>
  <c r="AI83" i="64"/>
  <c r="BJ83" i="64" s="1"/>
  <c r="X87" i="58"/>
  <c r="X88" i="58"/>
  <c r="X89" i="58"/>
  <c r="AV18" i="54"/>
  <c r="W89" i="58" s="1"/>
  <c r="AJ85" i="64" s="1"/>
  <c r="AZ16" i="54"/>
  <c r="BH16" i="54" s="1"/>
  <c r="AG87" i="58" s="1"/>
  <c r="AZ18" i="54"/>
  <c r="BH18" i="54" s="1"/>
  <c r="AG89" i="58" s="1"/>
  <c r="AV17" i="54"/>
  <c r="W88" i="58" s="1"/>
  <c r="AJ84" i="64" s="1"/>
  <c r="AV16" i="54"/>
  <c r="W87" i="58" s="1"/>
  <c r="AJ83" i="64" s="1"/>
  <c r="F43" i="69" s="1"/>
  <c r="AZ17" i="54"/>
  <c r="AW18" i="54"/>
  <c r="BE18" i="54" s="1"/>
  <c r="AX16" i="54"/>
  <c r="BF16" i="54" s="1"/>
  <c r="AX17" i="54"/>
  <c r="BF17" i="54" s="1"/>
  <c r="AX18" i="54"/>
  <c r="BF18" i="54" s="1"/>
  <c r="AW16" i="54"/>
  <c r="BE16" i="54" s="1"/>
  <c r="AW17" i="54"/>
  <c r="BE17" i="54" s="1"/>
  <c r="AY16" i="54"/>
  <c r="BG16" i="54" s="1"/>
  <c r="AY17" i="54"/>
  <c r="BG17" i="54" s="1"/>
  <c r="AY18" i="54"/>
  <c r="BG18" i="54" s="1"/>
  <c r="BI83" i="64" l="1"/>
  <c r="BI84" i="64"/>
  <c r="BK84" i="64" s="1"/>
  <c r="BI85" i="64"/>
  <c r="BL85" i="64"/>
  <c r="BM85" i="64" s="1"/>
  <c r="BK85" i="64"/>
  <c r="BL84" i="64"/>
  <c r="BM84" i="64" s="1"/>
  <c r="BL83" i="64"/>
  <c r="BM83" i="64" s="1"/>
  <c r="BK83" i="64"/>
  <c r="AK85" i="64"/>
  <c r="Y89" i="58"/>
  <c r="AL85" i="64" s="1"/>
  <c r="AK84" i="64"/>
  <c r="Y88" i="58"/>
  <c r="AL84" i="64" s="1"/>
  <c r="AK83" i="64"/>
  <c r="Y87" i="58"/>
  <c r="AL83" i="64" s="1"/>
  <c r="Z89" i="58"/>
  <c r="BD16" i="54"/>
  <c r="AD87" i="58" s="1"/>
  <c r="Z88" i="58"/>
  <c r="BD17" i="54"/>
  <c r="AD88" i="58" s="1"/>
  <c r="BH17" i="54"/>
  <c r="AG88" i="58" s="1"/>
  <c r="Z87" i="58"/>
  <c r="BD18" i="54"/>
  <c r="AD89" i="58" s="1"/>
  <c r="BB17" i="54"/>
  <c r="BB16" i="54"/>
  <c r="BC16" i="54"/>
  <c r="BC18" i="54"/>
  <c r="BA17" i="54"/>
  <c r="BC17" i="54"/>
  <c r="BA16" i="54"/>
  <c r="BB18" i="54"/>
  <c r="BA18" i="54"/>
  <c r="D52" i="63" l="1"/>
  <c r="F52" i="63"/>
  <c r="G43" i="69"/>
  <c r="H43" i="69"/>
  <c r="BN83" i="64"/>
  <c r="D25" i="67" s="1"/>
  <c r="E52" i="63"/>
  <c r="G52" i="63"/>
  <c r="G23" i="63"/>
  <c r="F23" i="63"/>
  <c r="E23" i="63"/>
  <c r="D23" i="63"/>
  <c r="AM166" i="60"/>
  <c r="AL166" i="60"/>
  <c r="AE88" i="58"/>
  <c r="AA88" i="58"/>
  <c r="AH88" i="58"/>
  <c r="AA87" i="58"/>
  <c r="AH87" i="58"/>
  <c r="BD19" i="54"/>
  <c r="AE89" i="58"/>
  <c r="AE87" i="58"/>
  <c r="AA89" i="58"/>
  <c r="AH89" i="58"/>
  <c r="BA19" i="54"/>
  <c r="BC19" i="54"/>
  <c r="BB19" i="54"/>
  <c r="D60" i="62" l="1"/>
  <c r="D33" i="62"/>
  <c r="E60" i="62"/>
  <c r="E33" i="62"/>
  <c r="D56" i="67"/>
  <c r="M24" i="66"/>
  <c r="AN166" i="60"/>
  <c r="I43" i="69"/>
  <c r="H52" i="63"/>
  <c r="I52" i="63" s="1"/>
  <c r="AB87" i="58"/>
  <c r="H23" i="63"/>
  <c r="I23" i="63" s="1"/>
  <c r="AV20" i="53"/>
  <c r="W83" i="58" s="1"/>
  <c r="AJ79" i="64" s="1"/>
  <c r="AU20" i="53"/>
  <c r="V83" i="58" s="1"/>
  <c r="AT20" i="53"/>
  <c r="U83" i="58" s="1"/>
  <c r="AM20" i="53"/>
  <c r="T83" i="58" s="1"/>
  <c r="AG79" i="64" s="1"/>
  <c r="AL20" i="53"/>
  <c r="S83" i="58" s="1"/>
  <c r="AF79" i="64" s="1"/>
  <c r="AE20" i="53"/>
  <c r="R83" i="58" s="1"/>
  <c r="AE79" i="64" s="1"/>
  <c r="AD20" i="53"/>
  <c r="Q83" i="58" s="1"/>
  <c r="AD79" i="64" s="1"/>
  <c r="P83" i="58"/>
  <c r="AC79" i="64" s="1"/>
  <c r="V20" i="53"/>
  <c r="O83" i="58" s="1"/>
  <c r="O17" i="53"/>
  <c r="R79" i="59" s="1"/>
  <c r="O18" i="53"/>
  <c r="R80" i="59" s="1"/>
  <c r="O19" i="53"/>
  <c r="R81" i="59" s="1"/>
  <c r="O20" i="53"/>
  <c r="R82" i="59" s="1"/>
  <c r="O16" i="53"/>
  <c r="R78" i="59" s="1"/>
  <c r="I17" i="53"/>
  <c r="E79" i="59" s="1"/>
  <c r="D154" i="60" s="1"/>
  <c r="I18" i="53"/>
  <c r="E80" i="59" s="1"/>
  <c r="D155" i="60" s="1"/>
  <c r="I19" i="53"/>
  <c r="E81" i="59" s="1"/>
  <c r="I20" i="53"/>
  <c r="E82" i="59" s="1"/>
  <c r="D157" i="60" s="1"/>
  <c r="I16" i="53"/>
  <c r="E78" i="59" s="1"/>
  <c r="D153" i="60" s="1"/>
  <c r="H17" i="53"/>
  <c r="H18" i="53"/>
  <c r="H19" i="53"/>
  <c r="H20" i="53"/>
  <c r="H16" i="53"/>
  <c r="Q79" i="59"/>
  <c r="E154" i="60" s="1"/>
  <c r="Q80" i="59"/>
  <c r="E155" i="60" s="1"/>
  <c r="Q81" i="59"/>
  <c r="Q82" i="59"/>
  <c r="E157" i="60" s="1"/>
  <c r="Q78" i="59"/>
  <c r="E153" i="60" s="1"/>
  <c r="E17" i="53"/>
  <c r="E18" i="53"/>
  <c r="E19" i="53"/>
  <c r="E16" i="53"/>
  <c r="D18" i="53"/>
  <c r="D19" i="53"/>
  <c r="D17" i="53"/>
  <c r="D16" i="53"/>
  <c r="C16" i="53"/>
  <c r="B16" i="53"/>
  <c r="AV19" i="53"/>
  <c r="W82" i="58" s="1"/>
  <c r="AJ78" i="64" s="1"/>
  <c r="AU19" i="53"/>
  <c r="V82" i="58" s="1"/>
  <c r="AT19" i="53"/>
  <c r="U82" i="58" s="1"/>
  <c r="AM19" i="53"/>
  <c r="T82" i="58" s="1"/>
  <c r="AG78" i="64" s="1"/>
  <c r="AL19" i="53"/>
  <c r="S82" i="58" s="1"/>
  <c r="AF78" i="64" s="1"/>
  <c r="AE19" i="53"/>
  <c r="R82" i="58" s="1"/>
  <c r="AE78" i="64" s="1"/>
  <c r="AD19" i="53"/>
  <c r="Q82" i="58" s="1"/>
  <c r="AD78" i="64" s="1"/>
  <c r="P82" i="58"/>
  <c r="AC78" i="64" s="1"/>
  <c r="V19" i="53"/>
  <c r="O82" i="58" s="1"/>
  <c r="AV18" i="53"/>
  <c r="W81" i="58" s="1"/>
  <c r="AJ77" i="64" s="1"/>
  <c r="AU18" i="53"/>
  <c r="V81" i="58" s="1"/>
  <c r="AT18" i="53"/>
  <c r="U81" i="58" s="1"/>
  <c r="AM18" i="53"/>
  <c r="T81" i="58" s="1"/>
  <c r="AG77" i="64" s="1"/>
  <c r="AL18" i="53"/>
  <c r="S81" i="58" s="1"/>
  <c r="AF77" i="64" s="1"/>
  <c r="AE18" i="53"/>
  <c r="R81" i="58" s="1"/>
  <c r="AE77" i="64" s="1"/>
  <c r="AD18" i="53"/>
  <c r="Q81" i="58" s="1"/>
  <c r="AD77" i="64" s="1"/>
  <c r="W18" i="53"/>
  <c r="P81" i="58" s="1"/>
  <c r="AC77" i="64" s="1"/>
  <c r="V18" i="53"/>
  <c r="O81" i="58" s="1"/>
  <c r="AV17" i="53"/>
  <c r="AU17" i="53"/>
  <c r="V80" i="58" s="1"/>
  <c r="AT17" i="53"/>
  <c r="U80" i="58" s="1"/>
  <c r="AM17" i="53"/>
  <c r="T80" i="58" s="1"/>
  <c r="AG76" i="64" s="1"/>
  <c r="AL17" i="53"/>
  <c r="S80" i="58" s="1"/>
  <c r="AF76" i="64" s="1"/>
  <c r="AE17" i="53"/>
  <c r="R80" i="58" s="1"/>
  <c r="AE76" i="64" s="1"/>
  <c r="AD17" i="53"/>
  <c r="Q80" i="58" s="1"/>
  <c r="AD76" i="64" s="1"/>
  <c r="W17" i="53"/>
  <c r="P80" i="58" s="1"/>
  <c r="AC76" i="64" s="1"/>
  <c r="V17" i="53"/>
  <c r="O80" i="58" s="1"/>
  <c r="AV16" i="53"/>
  <c r="AU16" i="53"/>
  <c r="V79" i="58" s="1"/>
  <c r="AT16" i="53"/>
  <c r="U79" i="58" s="1"/>
  <c r="AM16" i="53"/>
  <c r="T79" i="58" s="1"/>
  <c r="AG75" i="64" s="1"/>
  <c r="AL16" i="53"/>
  <c r="S79" i="58" s="1"/>
  <c r="AF75" i="64" s="1"/>
  <c r="AE16" i="53"/>
  <c r="R79" i="58" s="1"/>
  <c r="AE75" i="64" s="1"/>
  <c r="AD16" i="53"/>
  <c r="Q79" i="58" s="1"/>
  <c r="AD75" i="64" s="1"/>
  <c r="W16" i="53"/>
  <c r="P79" i="58" s="1"/>
  <c r="AC75" i="64" s="1"/>
  <c r="V16" i="53"/>
  <c r="O79" i="58" s="1"/>
  <c r="F60" i="62" l="1"/>
  <c r="F33" i="62"/>
  <c r="C23" i="62"/>
  <c r="AG153" i="60"/>
  <c r="AH75" i="64"/>
  <c r="AG154" i="60"/>
  <c r="AH76" i="64"/>
  <c r="AH153" i="60"/>
  <c r="AB75" i="64"/>
  <c r="AH77" i="64"/>
  <c r="AG157" i="60"/>
  <c r="AH79" i="64"/>
  <c r="AH154" i="60"/>
  <c r="AB76" i="64"/>
  <c r="AG156" i="60"/>
  <c r="AH78" i="64"/>
  <c r="AB77" i="64"/>
  <c r="AH157" i="60"/>
  <c r="AB79" i="64"/>
  <c r="AH156" i="60"/>
  <c r="AB78" i="64"/>
  <c r="AJ157" i="60"/>
  <c r="AI157" i="60"/>
  <c r="AI79" i="64"/>
  <c r="BJ79" i="64" s="1"/>
  <c r="AJ156" i="60"/>
  <c r="AI156" i="60"/>
  <c r="AI78" i="64"/>
  <c r="BJ78" i="64" s="1"/>
  <c r="AI77" i="64"/>
  <c r="BJ77" i="64" s="1"/>
  <c r="AJ154" i="60"/>
  <c r="AI154" i="60"/>
  <c r="AI76" i="64"/>
  <c r="BJ76" i="64" s="1"/>
  <c r="AJ153" i="60"/>
  <c r="AI153" i="60"/>
  <c r="AI75" i="64"/>
  <c r="BJ75" i="64" s="1"/>
  <c r="AY16" i="53"/>
  <c r="AZ16" i="53"/>
  <c r="X83" i="58"/>
  <c r="X81" i="58"/>
  <c r="X82" i="58"/>
  <c r="W79" i="58"/>
  <c r="AY19" i="53"/>
  <c r="AY17" i="53"/>
  <c r="AW18" i="53"/>
  <c r="AZ20" i="53"/>
  <c r="AZ17" i="53"/>
  <c r="AW19" i="53"/>
  <c r="AW17" i="53"/>
  <c r="AZ18" i="53"/>
  <c r="AW16" i="53"/>
  <c r="AY20" i="53"/>
  <c r="AY18" i="53"/>
  <c r="AW20" i="53"/>
  <c r="AZ19" i="53"/>
  <c r="W80" i="58"/>
  <c r="AX19" i="53"/>
  <c r="AX17" i="53"/>
  <c r="AX20" i="53"/>
  <c r="AX18" i="53"/>
  <c r="AX16" i="53"/>
  <c r="BI75" i="64" l="1"/>
  <c r="BI79" i="64"/>
  <c r="BK79" i="64" s="1"/>
  <c r="BI77" i="64"/>
  <c r="BI76" i="64"/>
  <c r="AL77" i="64"/>
  <c r="Z81" i="58"/>
  <c r="AL79" i="64"/>
  <c r="Z83" i="58"/>
  <c r="AL78" i="64"/>
  <c r="Z82" i="58"/>
  <c r="BI78" i="64"/>
  <c r="BK78" i="64" s="1"/>
  <c r="X80" i="58"/>
  <c r="AK76" i="64" s="1"/>
  <c r="AJ76" i="64"/>
  <c r="X79" i="58"/>
  <c r="AK75" i="64" s="1"/>
  <c r="AJ75" i="64"/>
  <c r="F41" i="69" s="1"/>
  <c r="BL79" i="64"/>
  <c r="BL78" i="64"/>
  <c r="BL77" i="64"/>
  <c r="BM77" i="64" s="1"/>
  <c r="BK77" i="64"/>
  <c r="BL76" i="64"/>
  <c r="BM76" i="64" s="1"/>
  <c r="BK76" i="64"/>
  <c r="BL75" i="64"/>
  <c r="BM75" i="64" s="1"/>
  <c r="BK75" i="64"/>
  <c r="AK78" i="64"/>
  <c r="AK77" i="64"/>
  <c r="AK79" i="64"/>
  <c r="BF16" i="53"/>
  <c r="BB16" i="53"/>
  <c r="BH19" i="53"/>
  <c r="AG82" i="58" s="1"/>
  <c r="BD19" i="53"/>
  <c r="AD82" i="58" s="1"/>
  <c r="BA19" i="53"/>
  <c r="BE19" i="53"/>
  <c r="BE20" i="53"/>
  <c r="BA20" i="53"/>
  <c r="BH17" i="53"/>
  <c r="AG80" i="58" s="1"/>
  <c r="BD17" i="53"/>
  <c r="AD80" i="58" s="1"/>
  <c r="BG16" i="53"/>
  <c r="BC16" i="53"/>
  <c r="BH16" i="53"/>
  <c r="AG79" i="58" s="1"/>
  <c r="BD16" i="53"/>
  <c r="AD79" i="58" s="1"/>
  <c r="BG18" i="53"/>
  <c r="BC18" i="53"/>
  <c r="BH20" i="53"/>
  <c r="AG83" i="58" s="1"/>
  <c r="BD20" i="53"/>
  <c r="AD83" i="58" s="1"/>
  <c r="BF18" i="53"/>
  <c r="BB18" i="53"/>
  <c r="BF20" i="53"/>
  <c r="BB20" i="53"/>
  <c r="BG20" i="53"/>
  <c r="BC20" i="53"/>
  <c r="BE18" i="53"/>
  <c r="BA18" i="53"/>
  <c r="BF17" i="53"/>
  <c r="BB17" i="53"/>
  <c r="BE16" i="53"/>
  <c r="BA16" i="53"/>
  <c r="BG17" i="53"/>
  <c r="BC17" i="53"/>
  <c r="BH18" i="53"/>
  <c r="AG81" i="58" s="1"/>
  <c r="BD18" i="53"/>
  <c r="AD81" i="58" s="1"/>
  <c r="BC19" i="53"/>
  <c r="BG19" i="53"/>
  <c r="BF19" i="53"/>
  <c r="BB19" i="53"/>
  <c r="BA17" i="53"/>
  <c r="BE17" i="53"/>
  <c r="AV17" i="52"/>
  <c r="AU17" i="52"/>
  <c r="V76" i="58" s="1"/>
  <c r="AT17" i="52"/>
  <c r="U76" i="58" s="1"/>
  <c r="AU16" i="52"/>
  <c r="V75" i="58" s="1"/>
  <c r="AT16" i="52"/>
  <c r="U75" i="58" s="1"/>
  <c r="AM17" i="52"/>
  <c r="T76" i="58" s="1"/>
  <c r="AG72" i="64" s="1"/>
  <c r="AL17" i="52"/>
  <c r="S76" i="58" s="1"/>
  <c r="AF72" i="64" s="1"/>
  <c r="AM16" i="52"/>
  <c r="T75" i="58" s="1"/>
  <c r="AG71" i="64" s="1"/>
  <c r="AL16" i="52"/>
  <c r="S75" i="58" s="1"/>
  <c r="AF71" i="64" s="1"/>
  <c r="AD17" i="52"/>
  <c r="Q76" i="58" s="1"/>
  <c r="AD72" i="64" s="1"/>
  <c r="AE16" i="52"/>
  <c r="R75" i="58" s="1"/>
  <c r="AE71" i="64" s="1"/>
  <c r="AD16" i="52"/>
  <c r="Q75" i="58" s="1"/>
  <c r="AD71" i="64" s="1"/>
  <c r="W17" i="52"/>
  <c r="P76" i="58" s="1"/>
  <c r="AC72" i="64" s="1"/>
  <c r="V17" i="52"/>
  <c r="O76" i="58" s="1"/>
  <c r="W16" i="52"/>
  <c r="P75" i="58" s="1"/>
  <c r="AC71" i="64" s="1"/>
  <c r="V16" i="52"/>
  <c r="O75" i="58" s="1"/>
  <c r="BM78" i="64" l="1"/>
  <c r="D51" i="63"/>
  <c r="F51" i="63"/>
  <c r="AL75" i="64"/>
  <c r="Z79" i="58"/>
  <c r="AL76" i="64"/>
  <c r="Z80" i="58"/>
  <c r="AH144" i="60"/>
  <c r="AB71" i="64"/>
  <c r="AG144" i="60"/>
  <c r="AH71" i="64"/>
  <c r="AG145" i="60"/>
  <c r="AH72" i="64"/>
  <c r="AH145" i="60"/>
  <c r="AB72" i="64"/>
  <c r="AI145" i="60"/>
  <c r="AJ145" i="60"/>
  <c r="AI72" i="64"/>
  <c r="BJ72" i="64" s="1"/>
  <c r="AJ144" i="60"/>
  <c r="AI144" i="60"/>
  <c r="AI71" i="64"/>
  <c r="BJ71" i="64" s="1"/>
  <c r="G51" i="63"/>
  <c r="E51" i="63"/>
  <c r="G41" i="69"/>
  <c r="D22" i="63"/>
  <c r="G22" i="63"/>
  <c r="F22" i="63"/>
  <c r="E22" i="63"/>
  <c r="AY16" i="52"/>
  <c r="AZ16" i="52"/>
  <c r="BD21" i="53"/>
  <c r="AL158" i="60"/>
  <c r="AM158" i="60"/>
  <c r="BA21" i="53"/>
  <c r="BC21" i="53"/>
  <c r="BB21" i="53"/>
  <c r="W76" i="58"/>
  <c r="AY17" i="52"/>
  <c r="AX17" i="52"/>
  <c r="AW17" i="52"/>
  <c r="AW16" i="52"/>
  <c r="AZ17" i="52"/>
  <c r="AX16" i="52"/>
  <c r="Q77" i="59"/>
  <c r="E147" i="60" s="1"/>
  <c r="Q75" i="59"/>
  <c r="E145" i="60" s="1"/>
  <c r="Q76" i="59"/>
  <c r="E146" i="60" s="1"/>
  <c r="Q74" i="59"/>
  <c r="O19" i="52"/>
  <c r="R77" i="59" s="1"/>
  <c r="O17" i="52"/>
  <c r="R75" i="59" s="1"/>
  <c r="O18" i="52"/>
  <c r="R76" i="59" s="1"/>
  <c r="O16" i="52"/>
  <c r="R74" i="59" s="1"/>
  <c r="I17" i="52"/>
  <c r="E75" i="59" s="1"/>
  <c r="D145" i="60" s="1"/>
  <c r="I18" i="52"/>
  <c r="E76" i="59" s="1"/>
  <c r="D146" i="60" s="1"/>
  <c r="I19" i="52"/>
  <c r="E77" i="59" s="1"/>
  <c r="D147" i="60" s="1"/>
  <c r="I16" i="52"/>
  <c r="E74" i="59" s="1"/>
  <c r="H17" i="52"/>
  <c r="H18" i="52"/>
  <c r="H19" i="52"/>
  <c r="H16" i="52"/>
  <c r="E17" i="52"/>
  <c r="E18" i="52"/>
  <c r="E19" i="52"/>
  <c r="E16" i="52"/>
  <c r="D18" i="52"/>
  <c r="D19" i="52"/>
  <c r="D17" i="52"/>
  <c r="D16" i="52"/>
  <c r="C16" i="52"/>
  <c r="B16" i="52"/>
  <c r="AU19" i="52"/>
  <c r="V78" i="58" s="1"/>
  <c r="AT19" i="52"/>
  <c r="U78" i="58" s="1"/>
  <c r="AM19" i="52"/>
  <c r="T78" i="58" s="1"/>
  <c r="AG74" i="64" s="1"/>
  <c r="AL19" i="52"/>
  <c r="S78" i="58" s="1"/>
  <c r="AF74" i="64" s="1"/>
  <c r="AE19" i="52"/>
  <c r="R78" i="58" s="1"/>
  <c r="AE74" i="64" s="1"/>
  <c r="AD19" i="52"/>
  <c r="Q78" i="58" s="1"/>
  <c r="AD74" i="64" s="1"/>
  <c r="W19" i="52"/>
  <c r="P78" i="58" s="1"/>
  <c r="AC74" i="64" s="1"/>
  <c r="V19" i="52"/>
  <c r="O78" i="58" s="1"/>
  <c r="AU18" i="52"/>
  <c r="V77" i="58" s="1"/>
  <c r="AT18" i="52"/>
  <c r="U77" i="58" s="1"/>
  <c r="AM18" i="52"/>
  <c r="T77" i="58" s="1"/>
  <c r="AG73" i="64" s="1"/>
  <c r="AL18" i="52"/>
  <c r="S77" i="58" s="1"/>
  <c r="AF73" i="64" s="1"/>
  <c r="AE18" i="52"/>
  <c r="R77" i="58" s="1"/>
  <c r="AE73" i="64" s="1"/>
  <c r="AD18" i="52"/>
  <c r="Q77" i="58" s="1"/>
  <c r="AD73" i="64" s="1"/>
  <c r="W18" i="52"/>
  <c r="P77" i="58" s="1"/>
  <c r="AC73" i="64" s="1"/>
  <c r="V18" i="52"/>
  <c r="O77" i="58" s="1"/>
  <c r="AV16" i="52"/>
  <c r="W75" i="58" s="1"/>
  <c r="O78" i="38"/>
  <c r="O77" i="38"/>
  <c r="O75" i="38"/>
  <c r="O76" i="38"/>
  <c r="H41" i="69" l="1"/>
  <c r="E144" i="60"/>
  <c r="D144" i="60"/>
  <c r="BI72" i="64"/>
  <c r="BK72" i="64" s="1"/>
  <c r="AG146" i="60"/>
  <c r="AH73" i="64"/>
  <c r="AG147" i="60"/>
  <c r="AH74" i="64"/>
  <c r="X75" i="58"/>
  <c r="AJ71" i="64"/>
  <c r="F38" i="69" s="1"/>
  <c r="AH146" i="60"/>
  <c r="AB73" i="64"/>
  <c r="X76" i="58"/>
  <c r="AK72" i="64" s="1"/>
  <c r="G39" i="69" s="1"/>
  <c r="AJ72" i="64"/>
  <c r="F39" i="69" s="1"/>
  <c r="BI71" i="64"/>
  <c r="BK71" i="64" s="1"/>
  <c r="AH147" i="60"/>
  <c r="AB74" i="64"/>
  <c r="AJ147" i="60"/>
  <c r="AI147" i="60"/>
  <c r="AI74" i="64"/>
  <c r="BJ74" i="64" s="1"/>
  <c r="AJ146" i="60"/>
  <c r="AI146" i="60"/>
  <c r="AI73" i="64"/>
  <c r="BJ73" i="64" s="1"/>
  <c r="BL72" i="64"/>
  <c r="BM72" i="64" s="1"/>
  <c r="BL71" i="64"/>
  <c r="BM71" i="64" s="1"/>
  <c r="H51" i="63"/>
  <c r="I51" i="63" s="1"/>
  <c r="H22" i="63"/>
  <c r="I22" i="63" s="1"/>
  <c r="X78" i="58"/>
  <c r="BH16" i="52"/>
  <c r="AG75" i="58" s="1"/>
  <c r="BD16" i="52"/>
  <c r="AD75" i="58" s="1"/>
  <c r="BF17" i="52"/>
  <c r="BB17" i="52"/>
  <c r="BG17" i="52"/>
  <c r="BC17" i="52"/>
  <c r="BF16" i="52"/>
  <c r="BB16" i="52"/>
  <c r="X77" i="58"/>
  <c r="BG16" i="52"/>
  <c r="BC16" i="52"/>
  <c r="BH17" i="52"/>
  <c r="AG76" i="58" s="1"/>
  <c r="BD17" i="52"/>
  <c r="AD76" i="58" s="1"/>
  <c r="BE16" i="52"/>
  <c r="BA16" i="52"/>
  <c r="BE17" i="52"/>
  <c r="BA17" i="52"/>
  <c r="AV19" i="52"/>
  <c r="W78" i="58" s="1"/>
  <c r="AJ74" i="64" s="1"/>
  <c r="AV18" i="52"/>
  <c r="W77" i="58" s="1"/>
  <c r="AJ73" i="64" s="1"/>
  <c r="AY18" i="52"/>
  <c r="BG18" i="52" s="1"/>
  <c r="AX18" i="52"/>
  <c r="BF18" i="52" s="1"/>
  <c r="AW18" i="52"/>
  <c r="BE18" i="52" s="1"/>
  <c r="AZ18" i="52"/>
  <c r="BH18" i="52" s="1"/>
  <c r="AG77" i="58" s="1"/>
  <c r="AY19" i="52"/>
  <c r="BG19" i="52" s="1"/>
  <c r="AX19" i="52"/>
  <c r="BF19" i="52" s="1"/>
  <c r="AW19" i="52"/>
  <c r="BE19" i="52" s="1"/>
  <c r="AZ19" i="52"/>
  <c r="BH19" i="52" s="1"/>
  <c r="AG78" i="58" s="1"/>
  <c r="BI73" i="64" l="1"/>
  <c r="BI74" i="64"/>
  <c r="BK74" i="64" s="1"/>
  <c r="F40" i="69"/>
  <c r="AL71" i="64"/>
  <c r="H38" i="69" s="1"/>
  <c r="Z75" i="58"/>
  <c r="AK71" i="64"/>
  <c r="G38" i="69" s="1"/>
  <c r="AL72" i="64"/>
  <c r="H39" i="69" s="1"/>
  <c r="Z76" i="58"/>
  <c r="BK73" i="64"/>
  <c r="AK74" i="64"/>
  <c r="BL74" i="64" s="1"/>
  <c r="BM74" i="64" s="1"/>
  <c r="Y78" i="58"/>
  <c r="AL74" i="64" s="1"/>
  <c r="AK73" i="64"/>
  <c r="Y77" i="58"/>
  <c r="AL73" i="64" s="1"/>
  <c r="Z78" i="58"/>
  <c r="AH78" i="58" s="1"/>
  <c r="D50" i="63"/>
  <c r="Z77" i="58"/>
  <c r="BA19" i="52"/>
  <c r="BC18" i="52"/>
  <c r="BB19" i="52"/>
  <c r="BC19" i="52"/>
  <c r="BA18" i="52"/>
  <c r="BD19" i="52"/>
  <c r="AD78" i="58" s="1"/>
  <c r="BD18" i="52"/>
  <c r="AD77" i="58" s="1"/>
  <c r="BB18" i="52"/>
  <c r="F50" i="63" l="1"/>
  <c r="H40" i="69"/>
  <c r="G21" i="63"/>
  <c r="G50" i="63"/>
  <c r="E50" i="63"/>
  <c r="G40" i="69"/>
  <c r="BL73" i="64"/>
  <c r="BM73" i="64" s="1"/>
  <c r="F21" i="63"/>
  <c r="E21" i="63"/>
  <c r="D21" i="63"/>
  <c r="AL148" i="60"/>
  <c r="AM148" i="60"/>
  <c r="AA78" i="58"/>
  <c r="AE78" i="58"/>
  <c r="AE77" i="58"/>
  <c r="AA77" i="58"/>
  <c r="AH77" i="58"/>
  <c r="BD20" i="52"/>
  <c r="BC20" i="52"/>
  <c r="BB20" i="52"/>
  <c r="BA20" i="52"/>
  <c r="H50" i="63" l="1"/>
  <c r="I50" i="63" s="1"/>
  <c r="H21" i="63"/>
  <c r="I21" i="63" s="1"/>
  <c r="O17" i="51"/>
  <c r="R68" i="59" s="1"/>
  <c r="O18" i="51"/>
  <c r="R69" i="59" s="1"/>
  <c r="O16" i="51"/>
  <c r="R67" i="59" s="1"/>
  <c r="I17" i="51"/>
  <c r="E68" i="59" s="1"/>
  <c r="D128" i="60" s="1"/>
  <c r="I18" i="51"/>
  <c r="E69" i="59" s="1"/>
  <c r="D129" i="60" s="1"/>
  <c r="I16" i="51"/>
  <c r="E67" i="59" s="1"/>
  <c r="D127" i="60" s="1"/>
  <c r="H18" i="51"/>
  <c r="H17" i="51"/>
  <c r="H16" i="51"/>
  <c r="Q68" i="59"/>
  <c r="Q69" i="59"/>
  <c r="Q67" i="59"/>
  <c r="E127" i="60" s="1"/>
  <c r="E17" i="51"/>
  <c r="E18" i="51"/>
  <c r="E16" i="51"/>
  <c r="D17" i="51"/>
  <c r="D18" i="51"/>
  <c r="D16" i="51"/>
  <c r="C16" i="51"/>
  <c r="B16" i="51"/>
  <c r="AU18" i="51"/>
  <c r="V73" i="58" s="1"/>
  <c r="AT18" i="51"/>
  <c r="U73" i="58" s="1"/>
  <c r="AM18" i="51"/>
  <c r="T73" i="58" s="1"/>
  <c r="AL18" i="51"/>
  <c r="S73" i="58" s="1"/>
  <c r="AF69" i="64" s="1"/>
  <c r="AE18" i="51"/>
  <c r="AD18" i="51"/>
  <c r="Q73" i="58" s="1"/>
  <c r="W18" i="51"/>
  <c r="V18" i="51"/>
  <c r="O73" i="58" s="1"/>
  <c r="AU17" i="51"/>
  <c r="AT17" i="51"/>
  <c r="U72" i="58" s="1"/>
  <c r="AM17" i="51"/>
  <c r="T72" i="58" s="1"/>
  <c r="AL17" i="51"/>
  <c r="S72" i="58" s="1"/>
  <c r="AF68" i="64" s="1"/>
  <c r="AE17" i="51"/>
  <c r="AD17" i="51"/>
  <c r="Q72" i="58" s="1"/>
  <c r="W17" i="51"/>
  <c r="V17" i="51"/>
  <c r="O72" i="58" s="1"/>
  <c r="AU16" i="51"/>
  <c r="V71" i="58" s="1"/>
  <c r="AT16" i="51"/>
  <c r="U71" i="58" s="1"/>
  <c r="AM16" i="51"/>
  <c r="T71" i="58" s="1"/>
  <c r="AL16" i="51"/>
  <c r="S71" i="58" s="1"/>
  <c r="AF67" i="64" s="1"/>
  <c r="AE16" i="51"/>
  <c r="R71" i="58" s="1"/>
  <c r="AD16" i="51"/>
  <c r="Q71" i="58" s="1"/>
  <c r="W16" i="51"/>
  <c r="V16" i="51"/>
  <c r="O71" i="58" s="1"/>
  <c r="O72" i="38"/>
  <c r="O73" i="38"/>
  <c r="AH67" i="64" l="1"/>
  <c r="AG127" i="60"/>
  <c r="AH129" i="60"/>
  <c r="AH68" i="64"/>
  <c r="AG128" i="60"/>
  <c r="AH127" i="60"/>
  <c r="AH69" i="64"/>
  <c r="AG129" i="60"/>
  <c r="AH128" i="60"/>
  <c r="AG67" i="64"/>
  <c r="AG68" i="64"/>
  <c r="AG69" i="64"/>
  <c r="AI69" i="64"/>
  <c r="AI129" i="60"/>
  <c r="AI67" i="64"/>
  <c r="AI127" i="60"/>
  <c r="AD67" i="64"/>
  <c r="AB69" i="64"/>
  <c r="AB68" i="64"/>
  <c r="AD68" i="64"/>
  <c r="AB67" i="64"/>
  <c r="AE67" i="64"/>
  <c r="AD69" i="64"/>
  <c r="E129" i="60"/>
  <c r="E128" i="60"/>
  <c r="P71" i="58"/>
  <c r="AW16" i="51"/>
  <c r="P72" i="58"/>
  <c r="AW17" i="51"/>
  <c r="P73" i="58"/>
  <c r="AW18" i="51"/>
  <c r="R73" i="58"/>
  <c r="AX18" i="51"/>
  <c r="AY18" i="51"/>
  <c r="AZ18" i="51"/>
  <c r="R72" i="58"/>
  <c r="AX17" i="51"/>
  <c r="AY17" i="51"/>
  <c r="AZ17" i="51"/>
  <c r="BH17" i="51" s="1"/>
  <c r="AG72" i="58" s="1"/>
  <c r="V72" i="58"/>
  <c r="AX16" i="51"/>
  <c r="BF16" i="51" s="1"/>
  <c r="AY16" i="51"/>
  <c r="BG16" i="51" s="1"/>
  <c r="AZ16" i="51"/>
  <c r="AV17" i="51"/>
  <c r="W72" i="58" s="1"/>
  <c r="AJ68" i="64" s="1"/>
  <c r="AV18" i="51"/>
  <c r="W73" i="58" s="1"/>
  <c r="AJ69" i="64" s="1"/>
  <c r="AV16" i="51"/>
  <c r="W71" i="58" s="1"/>
  <c r="AJ67" i="64" s="1"/>
  <c r="F36" i="69" s="1"/>
  <c r="AJ127" i="60" l="1"/>
  <c r="AM127" i="60" s="1"/>
  <c r="I127" i="60"/>
  <c r="H127" i="60"/>
  <c r="K127" i="60" s="1"/>
  <c r="AJ129" i="60"/>
  <c r="BI68" i="64"/>
  <c r="BI69" i="64"/>
  <c r="BI67" i="64"/>
  <c r="AI68" i="64"/>
  <c r="AI128" i="60"/>
  <c r="AJ128" i="60"/>
  <c r="AC69" i="64"/>
  <c r="AC68" i="64"/>
  <c r="AE68" i="64"/>
  <c r="AC67" i="64"/>
  <c r="AE69" i="64"/>
  <c r="X73" i="58"/>
  <c r="X71" i="58"/>
  <c r="BE18" i="51"/>
  <c r="BA18" i="51"/>
  <c r="BA17" i="51"/>
  <c r="BE17" i="51"/>
  <c r="BE16" i="51"/>
  <c r="BA16" i="51"/>
  <c r="X72" i="58"/>
  <c r="BD17" i="51"/>
  <c r="AD72" i="58" s="1"/>
  <c r="BH18" i="51"/>
  <c r="AG73" i="58" s="1"/>
  <c r="BD18" i="51"/>
  <c r="AD73" i="58" s="1"/>
  <c r="BG18" i="51"/>
  <c r="BC18" i="51"/>
  <c r="BF18" i="51"/>
  <c r="BB18" i="51"/>
  <c r="BC17" i="51"/>
  <c r="BG17" i="51"/>
  <c r="BF17" i="51"/>
  <c r="BB17" i="51"/>
  <c r="BB16" i="51"/>
  <c r="BD16" i="51"/>
  <c r="AD71" i="58" s="1"/>
  <c r="BH16" i="51"/>
  <c r="AG71" i="58" s="1"/>
  <c r="BC16" i="51"/>
  <c r="BJ69" i="64" l="1"/>
  <c r="J127" i="60"/>
  <c r="L127" i="60"/>
  <c r="D48" i="63"/>
  <c r="F48" i="63"/>
  <c r="BJ68" i="64"/>
  <c r="BL68" i="64" s="1"/>
  <c r="BM68" i="64" s="1"/>
  <c r="BJ67" i="64"/>
  <c r="BL67" i="64" s="1"/>
  <c r="BM67" i="64" s="1"/>
  <c r="E48" i="63"/>
  <c r="G48" i="63"/>
  <c r="AM130" i="60"/>
  <c r="AK68" i="64"/>
  <c r="Y72" i="58"/>
  <c r="AK67" i="64"/>
  <c r="Y71" i="58"/>
  <c r="AL67" i="64" s="1"/>
  <c r="AL130" i="60"/>
  <c r="AK69" i="64"/>
  <c r="Y73" i="58"/>
  <c r="AL69" i="64" s="1"/>
  <c r="Z71" i="58"/>
  <c r="AA71" i="58" s="1"/>
  <c r="Z73" i="58"/>
  <c r="AH73" i="58" s="1"/>
  <c r="G19" i="63"/>
  <c r="F19" i="63"/>
  <c r="E19" i="63"/>
  <c r="D19" i="63"/>
  <c r="Z72" i="58"/>
  <c r="AH72" i="58" s="1"/>
  <c r="BD19" i="51"/>
  <c r="BA19" i="51"/>
  <c r="BC19" i="51"/>
  <c r="BB19" i="51"/>
  <c r="O16" i="50"/>
  <c r="R70" i="59" s="1"/>
  <c r="I16" i="50"/>
  <c r="E70" i="59" s="1"/>
  <c r="D135" i="60" s="1"/>
  <c r="H16" i="50"/>
  <c r="Q70" i="59"/>
  <c r="E135" i="60" s="1"/>
  <c r="D16" i="50"/>
  <c r="O74" i="38"/>
  <c r="AU17" i="37"/>
  <c r="V56" i="58" s="1"/>
  <c r="AT17" i="37"/>
  <c r="U56" i="58" s="1"/>
  <c r="AM17" i="37"/>
  <c r="T56" i="58" s="1"/>
  <c r="AL17" i="37"/>
  <c r="S56" i="58" s="1"/>
  <c r="AE17" i="37"/>
  <c r="R56" i="58" s="1"/>
  <c r="AD17" i="37"/>
  <c r="Q56" i="58" s="1"/>
  <c r="W17" i="37"/>
  <c r="P56" i="58" s="1"/>
  <c r="V17" i="37"/>
  <c r="O56" i="58" s="1"/>
  <c r="AN127" i="60" l="1"/>
  <c r="AE127" i="60"/>
  <c r="V127" i="60"/>
  <c r="M127" i="60"/>
  <c r="AD52" i="64"/>
  <c r="O13" i="60"/>
  <c r="AE52" i="64"/>
  <c r="AA13" i="60"/>
  <c r="AD13" i="60" s="1"/>
  <c r="Q13" i="60"/>
  <c r="AF52" i="64"/>
  <c r="X13" i="60"/>
  <c r="AC13" i="60" s="1"/>
  <c r="AG52" i="64"/>
  <c r="Z13" i="60"/>
  <c r="Y13" i="60"/>
  <c r="P13" i="60"/>
  <c r="F13" i="60"/>
  <c r="K13" i="60" s="1"/>
  <c r="G13" i="60"/>
  <c r="AC52" i="64"/>
  <c r="R13" i="60"/>
  <c r="I13" i="60"/>
  <c r="J13" i="60" s="1"/>
  <c r="H13" i="60"/>
  <c r="AL68" i="64"/>
  <c r="H36" i="69" s="1"/>
  <c r="AG13" i="60"/>
  <c r="AH52" i="64"/>
  <c r="AH13" i="60"/>
  <c r="AB52" i="64"/>
  <c r="BK67" i="64"/>
  <c r="AJ13" i="60"/>
  <c r="AI13" i="60"/>
  <c r="AI52" i="64"/>
  <c r="H48" i="63"/>
  <c r="I48" i="63" s="1"/>
  <c r="H19" i="63"/>
  <c r="I19" i="63" s="1"/>
  <c r="G36" i="69"/>
  <c r="AA73" i="58"/>
  <c r="AH71" i="58"/>
  <c r="BK68" i="64"/>
  <c r="BL69" i="64"/>
  <c r="BM69" i="64" s="1"/>
  <c r="BK69" i="64"/>
  <c r="AE71" i="58"/>
  <c r="AE73" i="58"/>
  <c r="AA72" i="58"/>
  <c r="X56" i="58"/>
  <c r="AE72" i="58"/>
  <c r="C16" i="50"/>
  <c r="B16" i="50"/>
  <c r="AU16" i="50"/>
  <c r="V74" i="58" s="1"/>
  <c r="AT16" i="50"/>
  <c r="U74" i="58" s="1"/>
  <c r="AM16" i="50"/>
  <c r="T74" i="58" s="1"/>
  <c r="AG70" i="64" s="1"/>
  <c r="AL16" i="50"/>
  <c r="S74" i="58" s="1"/>
  <c r="AF70" i="64" s="1"/>
  <c r="AE16" i="50"/>
  <c r="R74" i="58" s="1"/>
  <c r="AD16" i="50"/>
  <c r="Q74" i="58" s="1"/>
  <c r="W16" i="50"/>
  <c r="V16" i="50"/>
  <c r="O71" i="38"/>
  <c r="BI52" i="64" l="1"/>
  <c r="L13" i="60"/>
  <c r="O74" i="58"/>
  <c r="AV16" i="50"/>
  <c r="BJ52" i="64"/>
  <c r="BL52" i="64" s="1"/>
  <c r="BM52" i="64" s="1"/>
  <c r="U13" i="60"/>
  <c r="T13" i="60"/>
  <c r="AI70" i="64"/>
  <c r="AI135" i="60"/>
  <c r="AH70" i="64"/>
  <c r="AG135" i="60"/>
  <c r="AH135" i="60"/>
  <c r="AK52" i="64"/>
  <c r="G25" i="69" s="1"/>
  <c r="AZ16" i="50"/>
  <c r="AD70" i="64"/>
  <c r="AE70" i="64"/>
  <c r="AB70" i="64"/>
  <c r="AN130" i="60"/>
  <c r="C19" i="62" s="1"/>
  <c r="AL13" i="60"/>
  <c r="Z56" i="58"/>
  <c r="AA56" i="58" s="1"/>
  <c r="AM13" i="60"/>
  <c r="P74" i="58"/>
  <c r="AJ135" i="60" s="1"/>
  <c r="AW16" i="50"/>
  <c r="AX16" i="50"/>
  <c r="BF16" i="50" s="1"/>
  <c r="AY16" i="50"/>
  <c r="BG16" i="50" s="1"/>
  <c r="BK52" i="64" l="1"/>
  <c r="BI70" i="64"/>
  <c r="AZ19" i="50"/>
  <c r="AZ18" i="50"/>
  <c r="AC70" i="64"/>
  <c r="W74" i="58"/>
  <c r="AJ70" i="64" s="1"/>
  <c r="F37" i="69" s="1"/>
  <c r="X74" i="58"/>
  <c r="AL139" i="60"/>
  <c r="BE16" i="50"/>
  <c r="BA16" i="50"/>
  <c r="BC16" i="50"/>
  <c r="BH16" i="50"/>
  <c r="AG74" i="58" s="1"/>
  <c r="BD16" i="50"/>
  <c r="AD74" i="58" s="1"/>
  <c r="BB16" i="50"/>
  <c r="BB20" i="50" s="1"/>
  <c r="D49" i="63" l="1"/>
  <c r="F49" i="63"/>
  <c r="X85" i="58"/>
  <c r="BH18" i="50"/>
  <c r="AG85" i="58" s="1"/>
  <c r="X86" i="58"/>
  <c r="BH19" i="50"/>
  <c r="AG86" i="58" s="1"/>
  <c r="BJ70" i="64"/>
  <c r="BL70" i="64" s="1"/>
  <c r="BM70" i="64" s="1"/>
  <c r="G49" i="63"/>
  <c r="E49" i="63"/>
  <c r="AK70" i="64"/>
  <c r="G37" i="69" s="1"/>
  <c r="Y74" i="58"/>
  <c r="AL70" i="64" s="1"/>
  <c r="H37" i="69" s="1"/>
  <c r="AM139" i="60"/>
  <c r="D20" i="63"/>
  <c r="E20" i="63"/>
  <c r="G20" i="63"/>
  <c r="F20" i="63"/>
  <c r="BD18" i="50"/>
  <c r="AD85" i="58" s="1"/>
  <c r="BD17" i="50"/>
  <c r="AD84" i="58" s="1"/>
  <c r="AE84" i="58" s="1"/>
  <c r="BD19" i="50"/>
  <c r="AD86" i="58" s="1"/>
  <c r="BC19" i="50"/>
  <c r="BC20" i="50" s="1"/>
  <c r="Z74" i="58"/>
  <c r="AH74" i="58" s="1"/>
  <c r="BA20" i="50"/>
  <c r="BK70" i="64" l="1"/>
  <c r="AK82" i="64"/>
  <c r="Z86" i="58"/>
  <c r="AH86" i="58" s="1"/>
  <c r="AK81" i="64"/>
  <c r="G42" i="69" s="1"/>
  <c r="Z85" i="58"/>
  <c r="H49" i="63"/>
  <c r="I49" i="63" s="1"/>
  <c r="H20" i="63"/>
  <c r="I20" i="63" s="1"/>
  <c r="AA74" i="58"/>
  <c r="BD20" i="50"/>
  <c r="AE74" i="58"/>
  <c r="O17" i="48"/>
  <c r="R66" i="59" s="1"/>
  <c r="O16" i="48"/>
  <c r="R65" i="59" s="1"/>
  <c r="H17" i="48"/>
  <c r="H16" i="48"/>
  <c r="E17" i="48"/>
  <c r="E16" i="48"/>
  <c r="D17" i="48"/>
  <c r="D16" i="48"/>
  <c r="C16" i="48"/>
  <c r="B16" i="48"/>
  <c r="AV17" i="48"/>
  <c r="AU17" i="48"/>
  <c r="V70" i="58" s="1"/>
  <c r="AT17" i="48"/>
  <c r="U70" i="58" s="1"/>
  <c r="AM17" i="48"/>
  <c r="T70" i="58" s="1"/>
  <c r="AG66" i="64" s="1"/>
  <c r="AL17" i="48"/>
  <c r="S70" i="58" s="1"/>
  <c r="AF66" i="64" s="1"/>
  <c r="AE17" i="48"/>
  <c r="R70" i="58" s="1"/>
  <c r="AE66" i="64" s="1"/>
  <c r="AD17" i="48"/>
  <c r="Q70" i="58" s="1"/>
  <c r="AD66" i="64" s="1"/>
  <c r="W17" i="48"/>
  <c r="P70" i="58" s="1"/>
  <c r="AC66" i="64" s="1"/>
  <c r="V17" i="48"/>
  <c r="O70" i="58" s="1"/>
  <c r="I17" i="48"/>
  <c r="E66" i="59" s="1"/>
  <c r="D121" i="60" s="1"/>
  <c r="AV16" i="48"/>
  <c r="AW16" i="48" s="1"/>
  <c r="AU16" i="48"/>
  <c r="V69" i="58" s="1"/>
  <c r="AT16" i="48"/>
  <c r="U69" i="58" s="1"/>
  <c r="AM16" i="48"/>
  <c r="T69" i="58" s="1"/>
  <c r="AG65" i="64" s="1"/>
  <c r="AL16" i="48"/>
  <c r="S69" i="58" s="1"/>
  <c r="AF65" i="64" s="1"/>
  <c r="AE16" i="48"/>
  <c r="R69" i="58" s="1"/>
  <c r="AE65" i="64" s="1"/>
  <c r="AD16" i="48"/>
  <c r="Q69" i="58" s="1"/>
  <c r="AD65" i="64" s="1"/>
  <c r="W16" i="48"/>
  <c r="P69" i="58" s="1"/>
  <c r="AC65" i="64" s="1"/>
  <c r="V16" i="48"/>
  <c r="O69" i="58" s="1"/>
  <c r="I16" i="48"/>
  <c r="E65" i="59" s="1"/>
  <c r="D120" i="60" s="1"/>
  <c r="O70" i="38"/>
  <c r="O69" i="38"/>
  <c r="AA84" i="58" l="1"/>
  <c r="AH85" i="58"/>
  <c r="AL82" i="64"/>
  <c r="AL81" i="64"/>
  <c r="H42" i="69" s="1"/>
  <c r="AN139" i="60"/>
  <c r="AE85" i="58"/>
  <c r="AE86" i="58"/>
  <c r="AH66" i="64"/>
  <c r="AG120" i="60"/>
  <c r="AH65" i="64"/>
  <c r="AB66" i="64"/>
  <c r="AZ17" i="48"/>
  <c r="BD17" i="48" s="1"/>
  <c r="AD70" i="58" s="1"/>
  <c r="AZ16" i="48"/>
  <c r="AY17" i="48"/>
  <c r="BC17" i="48" s="1"/>
  <c r="AY16" i="48"/>
  <c r="AH120" i="60"/>
  <c r="AB65" i="64"/>
  <c r="AI66" i="64"/>
  <c r="BJ66" i="64" s="1"/>
  <c r="AJ120" i="60"/>
  <c r="AI120" i="60"/>
  <c r="AI65" i="64"/>
  <c r="BJ65" i="64" s="1"/>
  <c r="P65" i="59"/>
  <c r="Q65" i="59"/>
  <c r="P66" i="59"/>
  <c r="Q66" i="59"/>
  <c r="W69" i="58"/>
  <c r="W70" i="58"/>
  <c r="AW17" i="48"/>
  <c r="AX16" i="48"/>
  <c r="AX17" i="48"/>
  <c r="BI66" i="64" l="1"/>
  <c r="BI65" i="64"/>
  <c r="BK65" i="64" s="1"/>
  <c r="X70" i="58"/>
  <c r="AK66" i="64" s="1"/>
  <c r="AJ66" i="64"/>
  <c r="X69" i="58"/>
  <c r="AJ65" i="64"/>
  <c r="F35" i="69" s="1"/>
  <c r="BL66" i="64"/>
  <c r="BM66" i="64" s="1"/>
  <c r="BK66" i="64"/>
  <c r="BL65" i="64"/>
  <c r="BM65" i="64" s="1"/>
  <c r="BF17" i="48"/>
  <c r="BB17" i="48"/>
  <c r="BB16" i="48"/>
  <c r="BF16" i="48"/>
  <c r="BA16" i="48"/>
  <c r="BE16" i="48"/>
  <c r="BE17" i="48"/>
  <c r="BA17" i="48"/>
  <c r="BC16" i="48"/>
  <c r="BG16" i="48"/>
  <c r="BG17" i="48"/>
  <c r="BD16" i="48"/>
  <c r="AD69" i="58" s="1"/>
  <c r="BH16" i="48"/>
  <c r="AG69" i="58" s="1"/>
  <c r="BH17" i="48"/>
  <c r="AG70" i="58" s="1"/>
  <c r="BN65" i="64" l="1"/>
  <c r="D24" i="67" s="1"/>
  <c r="AL65" i="64"/>
  <c r="Z69" i="58"/>
  <c r="AK65" i="64"/>
  <c r="G35" i="69" s="1"/>
  <c r="D47" i="63"/>
  <c r="F47" i="63"/>
  <c r="AL66" i="64"/>
  <c r="H35" i="69" s="1"/>
  <c r="Z70" i="58"/>
  <c r="BB18" i="48"/>
  <c r="AM122" i="60"/>
  <c r="E47" i="63"/>
  <c r="G47" i="63"/>
  <c r="AL122" i="60"/>
  <c r="E18" i="63"/>
  <c r="G18" i="63"/>
  <c r="D18" i="63"/>
  <c r="F18" i="63"/>
  <c r="BC18" i="48"/>
  <c r="BD18" i="48"/>
  <c r="BA18" i="48"/>
  <c r="AT18" i="47"/>
  <c r="U63" i="58" s="1"/>
  <c r="AL18" i="47"/>
  <c r="S63" i="58" s="1"/>
  <c r="AF59" i="64" s="1"/>
  <c r="AD18" i="47"/>
  <c r="Q63" i="58" s="1"/>
  <c r="W63" i="58"/>
  <c r="AV17" i="47"/>
  <c r="AX18" i="47" s="1"/>
  <c r="AU17" i="47"/>
  <c r="V62" i="58" s="1"/>
  <c r="AT17" i="47"/>
  <c r="U62" i="58" s="1"/>
  <c r="AM17" i="47"/>
  <c r="T62" i="58" s="1"/>
  <c r="AG58" i="64" s="1"/>
  <c r="AL17" i="47"/>
  <c r="S62" i="58" s="1"/>
  <c r="AF58" i="64" s="1"/>
  <c r="AE17" i="47"/>
  <c r="R62" i="58" s="1"/>
  <c r="AE58" i="64" s="1"/>
  <c r="AD17" i="47"/>
  <c r="Q62" i="58" s="1"/>
  <c r="AD58" i="64" s="1"/>
  <c r="AU22" i="47"/>
  <c r="V67" i="58" s="1"/>
  <c r="AT22" i="47"/>
  <c r="U67" i="58" s="1"/>
  <c r="AU21" i="47"/>
  <c r="V66" i="58" s="1"/>
  <c r="AT21" i="47"/>
  <c r="U66" i="58" s="1"/>
  <c r="AU20" i="47"/>
  <c r="V65" i="58" s="1"/>
  <c r="AT20" i="47"/>
  <c r="U65" i="58" s="1"/>
  <c r="AU19" i="47"/>
  <c r="V64" i="58" s="1"/>
  <c r="AT19" i="47"/>
  <c r="U64" i="58" s="1"/>
  <c r="AM22" i="47"/>
  <c r="T67" i="58" s="1"/>
  <c r="AG63" i="64" s="1"/>
  <c r="AL22" i="47"/>
  <c r="S67" i="58" s="1"/>
  <c r="AF63" i="64" s="1"/>
  <c r="AM21" i="47"/>
  <c r="T66" i="58" s="1"/>
  <c r="AG62" i="64" s="1"/>
  <c r="AL21" i="47"/>
  <c r="S66" i="58" s="1"/>
  <c r="AF62" i="64" s="1"/>
  <c r="AM20" i="47"/>
  <c r="T65" i="58" s="1"/>
  <c r="AG61" i="64" s="1"/>
  <c r="AL20" i="47"/>
  <c r="S65" i="58" s="1"/>
  <c r="AF61" i="64" s="1"/>
  <c r="AM19" i="47"/>
  <c r="T64" i="58" s="1"/>
  <c r="AG60" i="64" s="1"/>
  <c r="AL19" i="47"/>
  <c r="S64" i="58" s="1"/>
  <c r="AF60" i="64" s="1"/>
  <c r="AE22" i="47"/>
  <c r="R67" i="58" s="1"/>
  <c r="AD22" i="47"/>
  <c r="Q67" i="58" s="1"/>
  <c r="AD63" i="64" s="1"/>
  <c r="AE21" i="47"/>
  <c r="R66" i="58" s="1"/>
  <c r="AD21" i="47"/>
  <c r="Q66" i="58" s="1"/>
  <c r="AE20" i="47"/>
  <c r="R65" i="58" s="1"/>
  <c r="AD20" i="47"/>
  <c r="Q65" i="58" s="1"/>
  <c r="AD61" i="64" s="1"/>
  <c r="AE19" i="47"/>
  <c r="R64" i="58" s="1"/>
  <c r="AD19" i="47"/>
  <c r="Q64" i="58" s="1"/>
  <c r="AD60" i="64" s="1"/>
  <c r="V20" i="47"/>
  <c r="W20" i="47"/>
  <c r="P65" i="58" s="1"/>
  <c r="AC61" i="64" s="1"/>
  <c r="V21" i="47"/>
  <c r="W21" i="47"/>
  <c r="V22" i="47"/>
  <c r="O67" i="58" s="1"/>
  <c r="W22" i="47"/>
  <c r="W19" i="47"/>
  <c r="V19" i="47"/>
  <c r="O64" i="58" s="1"/>
  <c r="V18" i="47"/>
  <c r="O63" i="58" s="1"/>
  <c r="AB59" i="64" s="1"/>
  <c r="P63" i="58"/>
  <c r="AC59" i="64" s="1"/>
  <c r="W17" i="47"/>
  <c r="P62" i="58" s="1"/>
  <c r="AC58" i="64" s="1"/>
  <c r="V17" i="47"/>
  <c r="O62" i="58" s="1"/>
  <c r="AV16" i="47"/>
  <c r="AU16" i="47"/>
  <c r="V61" i="58" s="1"/>
  <c r="AT16" i="47"/>
  <c r="U61" i="58" s="1"/>
  <c r="AM16" i="47"/>
  <c r="T61" i="58" s="1"/>
  <c r="AG57" i="64" s="1"/>
  <c r="AL16" i="47"/>
  <c r="S61" i="58" s="1"/>
  <c r="AF57" i="64" s="1"/>
  <c r="AE16" i="47"/>
  <c r="R61" i="58" s="1"/>
  <c r="AE57" i="64" s="1"/>
  <c r="AD16" i="47"/>
  <c r="Q61" i="58" s="1"/>
  <c r="AD57" i="64" s="1"/>
  <c r="W16" i="47"/>
  <c r="P61" i="58" s="1"/>
  <c r="AC57" i="64" s="1"/>
  <c r="V16" i="47"/>
  <c r="O61" i="58" s="1"/>
  <c r="I17" i="47"/>
  <c r="E58" i="59" s="1"/>
  <c r="D108" i="60" s="1"/>
  <c r="I18" i="47"/>
  <c r="E59" i="59" s="1"/>
  <c r="D109" i="60" s="1"/>
  <c r="I19" i="47"/>
  <c r="E60" i="59" s="1"/>
  <c r="D110" i="60" s="1"/>
  <c r="I20" i="47"/>
  <c r="E61" i="59" s="1"/>
  <c r="D111" i="60" s="1"/>
  <c r="I21" i="47"/>
  <c r="E62" i="59" s="1"/>
  <c r="D112" i="60" s="1"/>
  <c r="I22" i="47"/>
  <c r="E63" i="59" s="1"/>
  <c r="D113" i="60" s="1"/>
  <c r="I23" i="47"/>
  <c r="E64" i="59" s="1"/>
  <c r="D114" i="60" s="1"/>
  <c r="I16" i="47"/>
  <c r="E57" i="59" s="1"/>
  <c r="D107" i="60" s="1"/>
  <c r="H23" i="47"/>
  <c r="H22" i="47"/>
  <c r="H17" i="47"/>
  <c r="H18" i="47"/>
  <c r="H19" i="47"/>
  <c r="H20" i="47"/>
  <c r="H21" i="47"/>
  <c r="H16" i="47"/>
  <c r="Q63" i="59"/>
  <c r="E113" i="60" s="1"/>
  <c r="Q64" i="59"/>
  <c r="E114" i="60" s="1"/>
  <c r="Q60" i="59"/>
  <c r="E110" i="60" s="1"/>
  <c r="Q61" i="59"/>
  <c r="E111" i="60" s="1"/>
  <c r="Q62" i="59"/>
  <c r="E112" i="60" s="1"/>
  <c r="Q59" i="59"/>
  <c r="E109" i="60" s="1"/>
  <c r="Q58" i="59"/>
  <c r="E108" i="60" s="1"/>
  <c r="Q57" i="59"/>
  <c r="E107" i="60" s="1"/>
  <c r="E17" i="47"/>
  <c r="E18" i="47"/>
  <c r="E19" i="47"/>
  <c r="E20" i="47"/>
  <c r="E21" i="47"/>
  <c r="E22" i="47"/>
  <c r="E23" i="47"/>
  <c r="E16" i="47"/>
  <c r="D16" i="47"/>
  <c r="C16" i="47"/>
  <c r="B16" i="47"/>
  <c r="BD23" i="47"/>
  <c r="AD68" i="58" s="1"/>
  <c r="BC23" i="47"/>
  <c r="BB23" i="47"/>
  <c r="BA23" i="47"/>
  <c r="O66" i="38"/>
  <c r="O67" i="38"/>
  <c r="O64" i="38"/>
  <c r="O65" i="38"/>
  <c r="O62" i="38"/>
  <c r="O63" i="38"/>
  <c r="O61" i="38"/>
  <c r="AE60" i="64" l="1"/>
  <c r="AE61" i="64"/>
  <c r="AE63" i="64"/>
  <c r="U24" i="60"/>
  <c r="AE62" i="64"/>
  <c r="U23" i="60"/>
  <c r="I35" i="69"/>
  <c r="AE68" i="58"/>
  <c r="D55" i="67"/>
  <c r="M23" i="66"/>
  <c r="AH58" i="64"/>
  <c r="AG113" i="60"/>
  <c r="AH63" i="64"/>
  <c r="X63" i="58"/>
  <c r="AJ59" i="64"/>
  <c r="F32" i="69" s="1"/>
  <c r="AB58" i="64"/>
  <c r="AH110" i="60"/>
  <c r="AB60" i="64"/>
  <c r="AG110" i="60"/>
  <c r="AH60" i="64"/>
  <c r="AD59" i="64"/>
  <c r="AG112" i="60"/>
  <c r="AH62" i="64"/>
  <c r="AG107" i="60"/>
  <c r="AH57" i="64"/>
  <c r="AG111" i="60"/>
  <c r="AH61" i="64"/>
  <c r="AH59" i="64"/>
  <c r="AH107" i="60"/>
  <c r="AB57" i="64"/>
  <c r="AH113" i="60"/>
  <c r="AB63" i="64"/>
  <c r="AI113" i="60"/>
  <c r="AI63" i="64"/>
  <c r="AI112" i="60"/>
  <c r="AI62" i="64"/>
  <c r="AJ111" i="60"/>
  <c r="AI111" i="60"/>
  <c r="AI61" i="64"/>
  <c r="AI110" i="60"/>
  <c r="AI60" i="64"/>
  <c r="AI58" i="64"/>
  <c r="BJ58" i="64" s="1"/>
  <c r="AJ107" i="60"/>
  <c r="AI107" i="60"/>
  <c r="AI57" i="64"/>
  <c r="BJ57" i="64" s="1"/>
  <c r="H47" i="63"/>
  <c r="I47" i="63" s="1"/>
  <c r="AD62" i="64"/>
  <c r="H18" i="63"/>
  <c r="I18" i="63" s="1"/>
  <c r="AY18" i="47"/>
  <c r="AZ18" i="47"/>
  <c r="AW19" i="47"/>
  <c r="BE19" i="47" s="1"/>
  <c r="P64" i="58"/>
  <c r="AJ110" i="60" s="1"/>
  <c r="AW22" i="47"/>
  <c r="BE22" i="47" s="1"/>
  <c r="P67" i="58"/>
  <c r="AC63" i="64" s="1"/>
  <c r="W61" i="58"/>
  <c r="AW18" i="47"/>
  <c r="AW16" i="47"/>
  <c r="AZ17" i="47"/>
  <c r="AY17" i="47"/>
  <c r="AW17" i="47"/>
  <c r="AY16" i="47"/>
  <c r="AZ16" i="47"/>
  <c r="X65" i="58"/>
  <c r="AY21" i="47"/>
  <c r="BG21" i="47" s="1"/>
  <c r="P66" i="58"/>
  <c r="AC62" i="64" s="1"/>
  <c r="AV21" i="47"/>
  <c r="W66" i="58" s="1"/>
  <c r="O66" i="58"/>
  <c r="AH112" i="60" s="1"/>
  <c r="W62" i="58"/>
  <c r="AX16" i="47"/>
  <c r="AX17" i="47"/>
  <c r="AV20" i="47"/>
  <c r="W65" i="58" s="1"/>
  <c r="AJ61" i="64" s="1"/>
  <c r="O65" i="58"/>
  <c r="AV19" i="47"/>
  <c r="W64" i="58" s="1"/>
  <c r="AJ60" i="64" s="1"/>
  <c r="AY20" i="47"/>
  <c r="BG20" i="47" s="1"/>
  <c r="AY19" i="47"/>
  <c r="BG19" i="47" s="1"/>
  <c r="AX19" i="47"/>
  <c r="AZ22" i="47"/>
  <c r="BH22" i="47" s="1"/>
  <c r="AG67" i="58" s="1"/>
  <c r="AX22" i="47"/>
  <c r="BF22" i="47" s="1"/>
  <c r="AY22" i="47"/>
  <c r="BG22" i="47" s="1"/>
  <c r="AW21" i="47"/>
  <c r="AZ19" i="47"/>
  <c r="AX20" i="47"/>
  <c r="BF20" i="47" s="1"/>
  <c r="AZ20" i="47"/>
  <c r="BH20" i="47" s="1"/>
  <c r="AG65" i="58" s="1"/>
  <c r="AW20" i="47"/>
  <c r="BE20" i="47" s="1"/>
  <c r="AV22" i="47"/>
  <c r="AX21" i="47"/>
  <c r="BF21" i="47" s="1"/>
  <c r="AZ21" i="47"/>
  <c r="BH21" i="47" s="1"/>
  <c r="AG66" i="58" s="1"/>
  <c r="BJ61" i="64" l="1"/>
  <c r="BI57" i="64"/>
  <c r="BK57" i="64" s="1"/>
  <c r="BI63" i="64"/>
  <c r="AL59" i="64"/>
  <c r="H32" i="69" s="1"/>
  <c r="Z63" i="58"/>
  <c r="BI58" i="64"/>
  <c r="AK59" i="64"/>
  <c r="G32" i="69" s="1"/>
  <c r="BJ62" i="64"/>
  <c r="BL62" i="64" s="1"/>
  <c r="BM62" i="64" s="1"/>
  <c r="X62" i="58"/>
  <c r="AJ58" i="64"/>
  <c r="F31" i="69" s="1"/>
  <c r="AJ112" i="60"/>
  <c r="BI59" i="64"/>
  <c r="BK59" i="64" s="1"/>
  <c r="BJ63" i="64"/>
  <c r="BK63" i="64" s="1"/>
  <c r="AH111" i="60"/>
  <c r="AB61" i="64"/>
  <c r="BI61" i="64" s="1"/>
  <c r="BK61" i="64" s="1"/>
  <c r="X61" i="58"/>
  <c r="AJ57" i="64"/>
  <c r="F30" i="69" s="1"/>
  <c r="AJ113" i="60"/>
  <c r="X64" i="58"/>
  <c r="AC60" i="64"/>
  <c r="BJ60" i="64" s="1"/>
  <c r="BI60" i="64"/>
  <c r="BL58" i="64"/>
  <c r="BM58" i="64" s="1"/>
  <c r="BK58" i="64"/>
  <c r="BL57" i="64"/>
  <c r="BM57" i="64" s="1"/>
  <c r="AK61" i="64"/>
  <c r="BL61" i="64" s="1"/>
  <c r="BM61" i="64" s="1"/>
  <c r="AL61" i="64"/>
  <c r="AB62" i="64"/>
  <c r="BI62" i="64" s="1"/>
  <c r="AJ62" i="64"/>
  <c r="BA19" i="47"/>
  <c r="X67" i="58"/>
  <c r="X66" i="58"/>
  <c r="Y66" i="58" s="1"/>
  <c r="AL62" i="64" s="1"/>
  <c r="BA21" i="47"/>
  <c r="BE21" i="47"/>
  <c r="BA22" i="47"/>
  <c r="W67" i="58"/>
  <c r="AJ63" i="64" s="1"/>
  <c r="BH17" i="47"/>
  <c r="AG62" i="58" s="1"/>
  <c r="BD17" i="47"/>
  <c r="AD62" i="58" s="1"/>
  <c r="BE17" i="47"/>
  <c r="BA17" i="47"/>
  <c r="BF17" i="47"/>
  <c r="BB17" i="47"/>
  <c r="Z65" i="58"/>
  <c r="BE16" i="47"/>
  <c r="BA16" i="47"/>
  <c r="BH16" i="47"/>
  <c r="AG61" i="58" s="1"/>
  <c r="BD16" i="47"/>
  <c r="AD61" i="58" s="1"/>
  <c r="BE18" i="47"/>
  <c r="BA18" i="47"/>
  <c r="BG16" i="47"/>
  <c r="BC16" i="47"/>
  <c r="BF16" i="47"/>
  <c r="BB16" i="47"/>
  <c r="BF18" i="47"/>
  <c r="BB18" i="47"/>
  <c r="BC21" i="47"/>
  <c r="BH18" i="47"/>
  <c r="AG63" i="58" s="1"/>
  <c r="BD18" i="47"/>
  <c r="AD63" i="58" s="1"/>
  <c r="BG18" i="47"/>
  <c r="BC18" i="47"/>
  <c r="BG17" i="47"/>
  <c r="BC17" i="47"/>
  <c r="BB19" i="47"/>
  <c r="BF19" i="47"/>
  <c r="BD19" i="47"/>
  <c r="AD64" i="58" s="1"/>
  <c r="BH19" i="47"/>
  <c r="AG64" i="58" s="1"/>
  <c r="BC19" i="47"/>
  <c r="BC22" i="47"/>
  <c r="BB22" i="47"/>
  <c r="BD22" i="47"/>
  <c r="AD67" i="58" s="1"/>
  <c r="BC20" i="47"/>
  <c r="BD20" i="47"/>
  <c r="AD65" i="58" s="1"/>
  <c r="BD21" i="47"/>
  <c r="AD66" i="58" s="1"/>
  <c r="BB21" i="47"/>
  <c r="BA20" i="47"/>
  <c r="BB20" i="47"/>
  <c r="BL63" i="64" l="1"/>
  <c r="BM63" i="64" s="1"/>
  <c r="BK60" i="64"/>
  <c r="AK60" i="64"/>
  <c r="BL60" i="64" s="1"/>
  <c r="Z64" i="58"/>
  <c r="AA64" i="58" s="1"/>
  <c r="AL57" i="64"/>
  <c r="H30" i="69" s="1"/>
  <c r="Z61" i="58"/>
  <c r="AL58" i="64"/>
  <c r="H31" i="69" s="1"/>
  <c r="Z62" i="58"/>
  <c r="AK57" i="64"/>
  <c r="G30" i="69" s="1"/>
  <c r="AK58" i="64"/>
  <c r="G31" i="69" s="1"/>
  <c r="AL60" i="64"/>
  <c r="AE64" i="58"/>
  <c r="F33" i="69"/>
  <c r="G46" i="63"/>
  <c r="AK63" i="64"/>
  <c r="Y67" i="58"/>
  <c r="AL63" i="64" s="1"/>
  <c r="Z66" i="58"/>
  <c r="AA66" i="58" s="1"/>
  <c r="AK62" i="64"/>
  <c r="BK62" i="64"/>
  <c r="Z67" i="58"/>
  <c r="AA67" i="58" s="1"/>
  <c r="AM115" i="60"/>
  <c r="AL115" i="60"/>
  <c r="AA65" i="58"/>
  <c r="AH65" i="58"/>
  <c r="BA24" i="47"/>
  <c r="AE65" i="58"/>
  <c r="AH64" i="58"/>
  <c r="BC24" i="47"/>
  <c r="BD24" i="47"/>
  <c r="BB24" i="47"/>
  <c r="D57" i="62" l="1"/>
  <c r="D32" i="62"/>
  <c r="E57" i="62"/>
  <c r="E32" i="62"/>
  <c r="AE67" i="58"/>
  <c r="H33" i="69"/>
  <c r="F46" i="63"/>
  <c r="D46" i="63"/>
  <c r="G33" i="69"/>
  <c r="E46" i="63"/>
  <c r="AH67" i="58"/>
  <c r="BM60" i="64"/>
  <c r="BN57" i="64" s="1"/>
  <c r="D17" i="63"/>
  <c r="E17" i="63"/>
  <c r="F17" i="63"/>
  <c r="G17" i="63"/>
  <c r="AH66" i="58"/>
  <c r="AE66" i="58"/>
  <c r="O68" i="38"/>
  <c r="H46" i="63" l="1"/>
  <c r="I46" i="63" s="1"/>
  <c r="I30" i="69"/>
  <c r="D23" i="67"/>
  <c r="M22" i="66" s="1"/>
  <c r="H17" i="63"/>
  <c r="I17" i="63" s="1"/>
  <c r="I18" i="46"/>
  <c r="E85" i="59" s="1"/>
  <c r="D51" i="60" s="1"/>
  <c r="H18" i="46"/>
  <c r="Q85" i="59"/>
  <c r="E51" i="60" s="1"/>
  <c r="N51" i="60" s="1"/>
  <c r="W51" i="60" s="1"/>
  <c r="AF51" i="60" s="1"/>
  <c r="E18" i="46"/>
  <c r="D18" i="46"/>
  <c r="C18" i="46"/>
  <c r="AU18" i="46"/>
  <c r="V95" i="58" s="1"/>
  <c r="AT18" i="46"/>
  <c r="U95" i="58" s="1"/>
  <c r="AM18" i="46"/>
  <c r="T95" i="58" s="1"/>
  <c r="AL18" i="46"/>
  <c r="S95" i="58" s="1"/>
  <c r="AE18" i="46"/>
  <c r="R95" i="58" s="1"/>
  <c r="AD18" i="46"/>
  <c r="Q95" i="58" s="1"/>
  <c r="W18" i="46"/>
  <c r="P95" i="58" s="1"/>
  <c r="V18" i="46"/>
  <c r="O95" i="58" s="1"/>
  <c r="O95" i="38"/>
  <c r="Q7" i="59"/>
  <c r="E14" i="60" s="1"/>
  <c r="Q8" i="59"/>
  <c r="E15" i="60" s="1"/>
  <c r="Q6" i="59"/>
  <c r="E13" i="60" s="1"/>
  <c r="Q5" i="59"/>
  <c r="E12" i="60" s="1"/>
  <c r="O59" i="38"/>
  <c r="AE91" i="64" l="1"/>
  <c r="Q51" i="60"/>
  <c r="AD91" i="64"/>
  <c r="O51" i="60"/>
  <c r="T51" i="60" s="1"/>
  <c r="AG91" i="64"/>
  <c r="Z51" i="60"/>
  <c r="AF91" i="64"/>
  <c r="X51" i="60"/>
  <c r="Y51" i="60"/>
  <c r="AD51" i="60" s="1"/>
  <c r="P51" i="60"/>
  <c r="U51" i="60" s="1"/>
  <c r="G51" i="60"/>
  <c r="L51" i="60" s="1"/>
  <c r="F51" i="60"/>
  <c r="K51" i="60" s="1"/>
  <c r="AC91" i="64"/>
  <c r="R51" i="60"/>
  <c r="AA51" i="60"/>
  <c r="I51" i="60"/>
  <c r="J51" i="60" s="1"/>
  <c r="H51" i="60"/>
  <c r="W13" i="60"/>
  <c r="AF13" i="60" s="1"/>
  <c r="N13" i="60"/>
  <c r="W15" i="60"/>
  <c r="AF15" i="60" s="1"/>
  <c r="N15" i="60"/>
  <c r="W14" i="60"/>
  <c r="AF14" i="60" s="1"/>
  <c r="N14" i="60"/>
  <c r="N12" i="60"/>
  <c r="W12" i="60"/>
  <c r="AF12" i="60" s="1"/>
  <c r="AG51" i="60"/>
  <c r="AH91" i="64"/>
  <c r="AH51" i="60"/>
  <c r="AB91" i="64"/>
  <c r="AI51" i="60"/>
  <c r="AJ51" i="60"/>
  <c r="AI91" i="64"/>
  <c r="D54" i="67"/>
  <c r="X95" i="58"/>
  <c r="AZ18" i="46"/>
  <c r="BH18" i="46" s="1"/>
  <c r="AG95" i="58" s="1"/>
  <c r="AV18" i="46"/>
  <c r="W95" i="58" s="1"/>
  <c r="AJ91" i="64" s="1"/>
  <c r="F45" i="69" s="1"/>
  <c r="AW18" i="46"/>
  <c r="BE18" i="46" s="1"/>
  <c r="AY18" i="46"/>
  <c r="BG18" i="46" s="1"/>
  <c r="AX18" i="46"/>
  <c r="BF18" i="46" s="1"/>
  <c r="AW17" i="37"/>
  <c r="BE17" i="37" s="1"/>
  <c r="AX17" i="37"/>
  <c r="BF17" i="37" s="1"/>
  <c r="AY17" i="37"/>
  <c r="BG17" i="37" s="1"/>
  <c r="AZ17" i="37"/>
  <c r="BH17" i="37" s="1"/>
  <c r="AG56" i="58" s="1"/>
  <c r="AU19" i="37"/>
  <c r="V58" i="58" s="1"/>
  <c r="AT19" i="37"/>
  <c r="U58" i="58" s="1"/>
  <c r="AM19" i="37"/>
  <c r="T58" i="58" s="1"/>
  <c r="AL19" i="37"/>
  <c r="S58" i="58" s="1"/>
  <c r="AE19" i="37"/>
  <c r="R58" i="58" s="1"/>
  <c r="AD19" i="37"/>
  <c r="Q58" i="58" s="1"/>
  <c r="W19" i="37"/>
  <c r="O19" i="37"/>
  <c r="R8" i="59" s="1"/>
  <c r="BJ91" i="64" l="1"/>
  <c r="BI91" i="64"/>
  <c r="AE54" i="64"/>
  <c r="Q15" i="60"/>
  <c r="AF54" i="64"/>
  <c r="X15" i="60"/>
  <c r="AG54" i="64"/>
  <c r="Z15" i="60"/>
  <c r="O15" i="60"/>
  <c r="Y15" i="60"/>
  <c r="P15" i="60"/>
  <c r="AL51" i="60"/>
  <c r="AL52" i="60" s="1"/>
  <c r="AM51" i="60"/>
  <c r="AM52" i="60" s="1"/>
  <c r="AG15" i="60"/>
  <c r="AH54" i="64"/>
  <c r="AD54" i="64"/>
  <c r="AH15" i="60"/>
  <c r="AH56" i="58"/>
  <c r="AI15" i="60"/>
  <c r="AI54" i="64"/>
  <c r="E42" i="63"/>
  <c r="G42" i="63"/>
  <c r="AK91" i="64"/>
  <c r="Y95" i="58"/>
  <c r="D13" i="63"/>
  <c r="E13" i="63"/>
  <c r="G13" i="63"/>
  <c r="F13" i="63"/>
  <c r="AL15" i="60"/>
  <c r="AW19" i="37"/>
  <c r="BE19" i="37" s="1"/>
  <c r="P58" i="58"/>
  <c r="Z95" i="58"/>
  <c r="AY19" i="37"/>
  <c r="BG19" i="37" s="1"/>
  <c r="AZ19" i="37"/>
  <c r="BH19" i="37" s="1"/>
  <c r="AG58" i="58" s="1"/>
  <c r="AX19" i="37"/>
  <c r="BF19" i="37" s="1"/>
  <c r="BD18" i="46"/>
  <c r="BA18" i="46"/>
  <c r="BC18" i="46"/>
  <c r="BB18" i="46"/>
  <c r="BB19" i="46" s="1"/>
  <c r="AV19" i="37"/>
  <c r="BK91" i="64" l="1"/>
  <c r="AC15" i="60"/>
  <c r="T15" i="60"/>
  <c r="AL91" i="64"/>
  <c r="H45" i="69" s="1"/>
  <c r="AC54" i="64"/>
  <c r="R15" i="60"/>
  <c r="U15" i="60" s="1"/>
  <c r="I15" i="60"/>
  <c r="H15" i="60"/>
  <c r="K15" i="60" s="1"/>
  <c r="BI54" i="64"/>
  <c r="AA15" i="60"/>
  <c r="AD15" i="60" s="1"/>
  <c r="AJ15" i="60"/>
  <c r="AM15" i="60" s="1"/>
  <c r="BD19" i="46"/>
  <c r="AD95" i="58"/>
  <c r="BJ54" i="64"/>
  <c r="BL54" i="64" s="1"/>
  <c r="BM54" i="64" s="1"/>
  <c r="D42" i="63"/>
  <c r="F42" i="63"/>
  <c r="BC19" i="46"/>
  <c r="G45" i="69"/>
  <c r="BL91" i="64"/>
  <c r="H13" i="63"/>
  <c r="I13" i="63" s="1"/>
  <c r="X58" i="58"/>
  <c r="AA95" i="58"/>
  <c r="AB95" i="58" s="1"/>
  <c r="AH95" i="58"/>
  <c r="BA19" i="37"/>
  <c r="W58" i="58"/>
  <c r="AJ54" i="64" s="1"/>
  <c r="F27" i="69" s="1"/>
  <c r="AE95" i="58"/>
  <c r="BA19" i="46"/>
  <c r="BD19" i="37"/>
  <c r="AD58" i="58" s="1"/>
  <c r="BB19" i="37"/>
  <c r="BC19" i="37"/>
  <c r="BK54" i="64" l="1"/>
  <c r="L15" i="60"/>
  <c r="J15" i="60"/>
  <c r="Z58" i="58"/>
  <c r="AH58" i="58" s="1"/>
  <c r="H42" i="63"/>
  <c r="I42" i="63" s="1"/>
  <c r="AK54" i="64"/>
  <c r="G27" i="69" s="1"/>
  <c r="Y58" i="58"/>
  <c r="BM91" i="64"/>
  <c r="BN91" i="64" s="1"/>
  <c r="AA58" i="58"/>
  <c r="W18" i="37"/>
  <c r="P57" i="58" s="1"/>
  <c r="V18" i="37"/>
  <c r="O57" i="58" s="1"/>
  <c r="AE18" i="37"/>
  <c r="R57" i="58" s="1"/>
  <c r="AD18" i="37"/>
  <c r="Q57" i="58" s="1"/>
  <c r="AM18" i="37"/>
  <c r="T57" i="58" s="1"/>
  <c r="AL18" i="37"/>
  <c r="S57" i="58" s="1"/>
  <c r="AV17" i="37"/>
  <c r="W56" i="58" s="1"/>
  <c r="AT18" i="37"/>
  <c r="U57" i="58" s="1"/>
  <c r="AU18" i="37"/>
  <c r="V57" i="58" s="1"/>
  <c r="O18" i="37"/>
  <c r="R7" i="59" s="1"/>
  <c r="AG53" i="64" l="1"/>
  <c r="Z14" i="60"/>
  <c r="AD53" i="64"/>
  <c r="O14" i="60"/>
  <c r="T14" i="60" s="1"/>
  <c r="AC53" i="64"/>
  <c r="R14" i="60"/>
  <c r="I14" i="60"/>
  <c r="J14" i="60" s="1"/>
  <c r="H14" i="60"/>
  <c r="AL54" i="64"/>
  <c r="H27" i="69" s="1"/>
  <c r="Y14" i="60"/>
  <c r="AD14" i="60" s="1"/>
  <c r="P14" i="60"/>
  <c r="G14" i="60"/>
  <c r="L14" i="60" s="1"/>
  <c r="F14" i="60"/>
  <c r="AE53" i="64"/>
  <c r="Q14" i="60"/>
  <c r="AA14" i="60"/>
  <c r="AF53" i="64"/>
  <c r="X14" i="60"/>
  <c r="AC14" i="60" s="1"/>
  <c r="AE58" i="58"/>
  <c r="AH14" i="60"/>
  <c r="AB53" i="64"/>
  <c r="AJ52" i="64"/>
  <c r="F25" i="69" s="1"/>
  <c r="Y56" i="58"/>
  <c r="AG14" i="60"/>
  <c r="AH53" i="64"/>
  <c r="AJ14" i="60"/>
  <c r="AI14" i="60"/>
  <c r="AI53" i="64"/>
  <c r="D27" i="67"/>
  <c r="M26" i="66" s="1"/>
  <c r="I45" i="69"/>
  <c r="X57" i="58"/>
  <c r="AX18" i="37"/>
  <c r="BF18" i="37" s="1"/>
  <c r="AW18" i="37"/>
  <c r="BE18" i="37" s="1"/>
  <c r="AY18" i="37"/>
  <c r="BG18" i="37" s="1"/>
  <c r="AZ18" i="37"/>
  <c r="BH18" i="37" s="1"/>
  <c r="AG57" i="58" s="1"/>
  <c r="BD17" i="37"/>
  <c r="AD56" i="58" s="1"/>
  <c r="BA17" i="37"/>
  <c r="BB17" i="37"/>
  <c r="BC17" i="37"/>
  <c r="AV18" i="37"/>
  <c r="W57" i="58" s="1"/>
  <c r="AJ53" i="64" s="1"/>
  <c r="F26" i="69" s="1"/>
  <c r="O17" i="37"/>
  <c r="R6" i="59" s="1"/>
  <c r="BJ53" i="64" l="1"/>
  <c r="U14" i="60"/>
  <c r="AL52" i="64"/>
  <c r="H25" i="69" s="1"/>
  <c r="K14" i="60"/>
  <c r="BI53" i="64"/>
  <c r="BK53" i="64" s="1"/>
  <c r="AE56" i="58"/>
  <c r="BL53" i="64"/>
  <c r="BM53" i="64" s="1"/>
  <c r="AK53" i="64"/>
  <c r="G26" i="69" s="1"/>
  <c r="Y57" i="58"/>
  <c r="D58" i="67"/>
  <c r="AL14" i="60"/>
  <c r="AM14" i="60"/>
  <c r="Z57" i="58"/>
  <c r="BB18" i="37"/>
  <c r="BC18" i="37"/>
  <c r="BD18" i="37"/>
  <c r="AD57" i="58" s="1"/>
  <c r="BA18" i="37"/>
  <c r="C16" i="37"/>
  <c r="B16" i="37"/>
  <c r="I22" i="44"/>
  <c r="E19" i="59" s="1"/>
  <c r="D36" i="60" s="1"/>
  <c r="I17" i="44"/>
  <c r="E14" i="59" s="1"/>
  <c r="D31" i="60" s="1"/>
  <c r="I18" i="44"/>
  <c r="E15" i="59" s="1"/>
  <c r="D32" i="60" s="1"/>
  <c r="I19" i="44"/>
  <c r="E16" i="59" s="1"/>
  <c r="D33" i="60" s="1"/>
  <c r="I20" i="44"/>
  <c r="E17" i="59" s="1"/>
  <c r="D34" i="60" s="1"/>
  <c r="I21" i="44"/>
  <c r="E18" i="59" s="1"/>
  <c r="D35" i="60" s="1"/>
  <c r="I16" i="44"/>
  <c r="E13" i="59" s="1"/>
  <c r="D30" i="60" s="1"/>
  <c r="H17" i="44"/>
  <c r="H18" i="44"/>
  <c r="H19" i="44"/>
  <c r="H20" i="44"/>
  <c r="H21" i="44"/>
  <c r="H22" i="44"/>
  <c r="H16" i="44"/>
  <c r="Q14" i="59"/>
  <c r="E31" i="60" s="1"/>
  <c r="Q15" i="59"/>
  <c r="E32" i="60" s="1"/>
  <c r="Q16" i="59"/>
  <c r="E33" i="60" s="1"/>
  <c r="Q17" i="59"/>
  <c r="E34" i="60" s="1"/>
  <c r="Q18" i="59"/>
  <c r="E35" i="60" s="1"/>
  <c r="Q19" i="59"/>
  <c r="E36" i="60" s="1"/>
  <c r="Q13" i="59"/>
  <c r="E30" i="60" s="1"/>
  <c r="E17" i="44"/>
  <c r="E18" i="44"/>
  <c r="E19" i="44"/>
  <c r="E20" i="44"/>
  <c r="E21" i="44"/>
  <c r="E22" i="44"/>
  <c r="E16" i="44"/>
  <c r="D22" i="44"/>
  <c r="D17" i="44"/>
  <c r="D18" i="44"/>
  <c r="D19" i="44"/>
  <c r="D20" i="44"/>
  <c r="D21" i="44"/>
  <c r="D16" i="44"/>
  <c r="C16" i="44"/>
  <c r="B16" i="44"/>
  <c r="AU22" i="44"/>
  <c r="V54" i="58" s="1"/>
  <c r="AT22" i="44"/>
  <c r="U54" i="58" s="1"/>
  <c r="AM22" i="44"/>
  <c r="T54" i="58" s="1"/>
  <c r="AL22" i="44"/>
  <c r="S54" i="58" s="1"/>
  <c r="AE22" i="44"/>
  <c r="R54" i="58" s="1"/>
  <c r="AD22" i="44"/>
  <c r="Q54" i="58" s="1"/>
  <c r="W22" i="44"/>
  <c r="V22" i="44"/>
  <c r="O54" i="58" s="1"/>
  <c r="AU21" i="44"/>
  <c r="V53" i="58" s="1"/>
  <c r="AT21" i="44"/>
  <c r="U53" i="58" s="1"/>
  <c r="AM21" i="44"/>
  <c r="T53" i="58" s="1"/>
  <c r="AL21" i="44"/>
  <c r="S53" i="58" s="1"/>
  <c r="AE21" i="44"/>
  <c r="R53" i="58" s="1"/>
  <c r="AD21" i="44"/>
  <c r="Q53" i="58" s="1"/>
  <c r="W21" i="44"/>
  <c r="V21" i="44"/>
  <c r="O53" i="58" s="1"/>
  <c r="AU20" i="44"/>
  <c r="V52" i="58" s="1"/>
  <c r="AT20" i="44"/>
  <c r="U52" i="58" s="1"/>
  <c r="AM20" i="44"/>
  <c r="T52" i="58" s="1"/>
  <c r="AL20" i="44"/>
  <c r="S52" i="58" s="1"/>
  <c r="AE20" i="44"/>
  <c r="R52" i="58" s="1"/>
  <c r="AD20" i="44"/>
  <c r="Q52" i="58" s="1"/>
  <c r="W20" i="44"/>
  <c r="P52" i="58" s="1"/>
  <c r="V20" i="44"/>
  <c r="O52" i="58" s="1"/>
  <c r="AU19" i="44"/>
  <c r="V51" i="58" s="1"/>
  <c r="AT19" i="44"/>
  <c r="U51" i="58" s="1"/>
  <c r="AM19" i="44"/>
  <c r="T51" i="58" s="1"/>
  <c r="AL19" i="44"/>
  <c r="S51" i="58" s="1"/>
  <c r="AE19" i="44"/>
  <c r="R51" i="58" s="1"/>
  <c r="AD19" i="44"/>
  <c r="Q51" i="58" s="1"/>
  <c r="W19" i="44"/>
  <c r="P51" i="58" s="1"/>
  <c r="V19" i="44"/>
  <c r="O51" i="58" s="1"/>
  <c r="AU18" i="44"/>
  <c r="V50" i="58" s="1"/>
  <c r="AT18" i="44"/>
  <c r="U50" i="58" s="1"/>
  <c r="AM18" i="44"/>
  <c r="T50" i="58" s="1"/>
  <c r="AL18" i="44"/>
  <c r="S50" i="58" s="1"/>
  <c r="AE18" i="44"/>
  <c r="R50" i="58" s="1"/>
  <c r="AD18" i="44"/>
  <c r="Q50" i="58" s="1"/>
  <c r="W18" i="44"/>
  <c r="V18" i="44"/>
  <c r="O50" i="58" s="1"/>
  <c r="AU17" i="44"/>
  <c r="V49" i="58" s="1"/>
  <c r="AT17" i="44"/>
  <c r="U49" i="58" s="1"/>
  <c r="AM17" i="44"/>
  <c r="T49" i="58" s="1"/>
  <c r="AL17" i="44"/>
  <c r="S49" i="58" s="1"/>
  <c r="AE17" i="44"/>
  <c r="R49" i="58" s="1"/>
  <c r="AD17" i="44"/>
  <c r="Q49" i="58" s="1"/>
  <c r="W17" i="44"/>
  <c r="V17" i="44"/>
  <c r="O49" i="58" s="1"/>
  <c r="R14" i="59"/>
  <c r="AU16" i="44"/>
  <c r="V48" i="58" s="1"/>
  <c r="AT16" i="44"/>
  <c r="U48" i="58" s="1"/>
  <c r="AM16" i="44"/>
  <c r="T48" i="58" s="1"/>
  <c r="AL16" i="44"/>
  <c r="S48" i="58" s="1"/>
  <c r="AE16" i="44"/>
  <c r="R48" i="58" s="1"/>
  <c r="AD16" i="44"/>
  <c r="Q48" i="58" s="1"/>
  <c r="W16" i="44"/>
  <c r="V16" i="44"/>
  <c r="O48" i="58" s="1"/>
  <c r="R13" i="59"/>
  <c r="F30" i="60" l="1"/>
  <c r="Y30" i="60"/>
  <c r="G30" i="60"/>
  <c r="P30" i="60"/>
  <c r="Y31" i="60"/>
  <c r="P31" i="60"/>
  <c r="F31" i="60"/>
  <c r="G31" i="60"/>
  <c r="Y32" i="60"/>
  <c r="P32" i="60"/>
  <c r="F32" i="60"/>
  <c r="G32" i="60"/>
  <c r="Y33" i="60"/>
  <c r="P33" i="60"/>
  <c r="G33" i="60"/>
  <c r="F33" i="60"/>
  <c r="F34" i="60"/>
  <c r="G34" i="60"/>
  <c r="Y34" i="60"/>
  <c r="P34" i="60"/>
  <c r="Y35" i="60"/>
  <c r="P35" i="60"/>
  <c r="F35" i="60"/>
  <c r="G35" i="60"/>
  <c r="Y36" i="60"/>
  <c r="P36" i="60"/>
  <c r="F36" i="60"/>
  <c r="G36" i="60"/>
  <c r="N30" i="60"/>
  <c r="W30" i="60"/>
  <c r="AF30" i="60" s="1"/>
  <c r="AD44" i="64"/>
  <c r="O30" i="60"/>
  <c r="T30" i="60" s="1"/>
  <c r="W36" i="60"/>
  <c r="AF36" i="60" s="1"/>
  <c r="N36" i="60"/>
  <c r="AD47" i="64"/>
  <c r="O33" i="60"/>
  <c r="AD50" i="64"/>
  <c r="O36" i="60"/>
  <c r="T36" i="60" s="1"/>
  <c r="W35" i="60"/>
  <c r="AF35" i="60" s="1"/>
  <c r="N35" i="60"/>
  <c r="AE44" i="64"/>
  <c r="Q30" i="60"/>
  <c r="AD48" i="64"/>
  <c r="O34" i="60"/>
  <c r="AF44" i="64"/>
  <c r="X30" i="60"/>
  <c r="AC30" i="60" s="1"/>
  <c r="AE45" i="64"/>
  <c r="Q31" i="60"/>
  <c r="AE46" i="64"/>
  <c r="Q32" i="60"/>
  <c r="AE47" i="64"/>
  <c r="Q33" i="60"/>
  <c r="AE48" i="64"/>
  <c r="Q34" i="60"/>
  <c r="AE49" i="64"/>
  <c r="Q35" i="60"/>
  <c r="AE50" i="64"/>
  <c r="Q36" i="60"/>
  <c r="W34" i="60"/>
  <c r="AF34" i="60" s="1"/>
  <c r="N34" i="60"/>
  <c r="W31" i="60"/>
  <c r="AF31" i="60" s="1"/>
  <c r="N31" i="60"/>
  <c r="AD46" i="64"/>
  <c r="O32" i="60"/>
  <c r="T32" i="60" s="1"/>
  <c r="AG44" i="64"/>
  <c r="Z30" i="60"/>
  <c r="AF45" i="64"/>
  <c r="X31" i="60"/>
  <c r="AF46" i="64"/>
  <c r="X32" i="60"/>
  <c r="AF47" i="64"/>
  <c r="X33" i="60"/>
  <c r="AF48" i="64"/>
  <c r="X34" i="60"/>
  <c r="AF49" i="64"/>
  <c r="X35" i="60"/>
  <c r="AF50" i="64"/>
  <c r="X36" i="60"/>
  <c r="W33" i="60"/>
  <c r="AF33" i="60" s="1"/>
  <c r="N33" i="60"/>
  <c r="AD45" i="64"/>
  <c r="O31" i="60"/>
  <c r="AD49" i="64"/>
  <c r="O35" i="60"/>
  <c r="AG45" i="64"/>
  <c r="Z31" i="60"/>
  <c r="AG46" i="64"/>
  <c r="Z32" i="60"/>
  <c r="AG47" i="64"/>
  <c r="Z33" i="60"/>
  <c r="AG48" i="64"/>
  <c r="Z34" i="60"/>
  <c r="AG49" i="64"/>
  <c r="Z35" i="60"/>
  <c r="AG50" i="64"/>
  <c r="Z36" i="60"/>
  <c r="W32" i="60"/>
  <c r="AF32" i="60" s="1"/>
  <c r="N32" i="60"/>
  <c r="AA34" i="60"/>
  <c r="AD34" i="60" s="1"/>
  <c r="R34" i="60"/>
  <c r="U34" i="60" s="1"/>
  <c r="H34" i="60"/>
  <c r="K34" i="60" s="1"/>
  <c r="I34" i="60"/>
  <c r="H33" i="60"/>
  <c r="R33" i="60"/>
  <c r="U33" i="60" s="1"/>
  <c r="I33" i="60"/>
  <c r="AA33" i="60"/>
  <c r="AD33" i="60" s="1"/>
  <c r="AL53" i="64"/>
  <c r="H26" i="69" s="1"/>
  <c r="AC47" i="64"/>
  <c r="AC48" i="64"/>
  <c r="AH36" i="60"/>
  <c r="AB50" i="64"/>
  <c r="AH31" i="60"/>
  <c r="AB45" i="64"/>
  <c r="AH30" i="60"/>
  <c r="AB44" i="64"/>
  <c r="AH35" i="60"/>
  <c r="AB49" i="64"/>
  <c r="AH33" i="60"/>
  <c r="AB47" i="64"/>
  <c r="AH34" i="60"/>
  <c r="AB48" i="64"/>
  <c r="AG30" i="60"/>
  <c r="AH44" i="64"/>
  <c r="AH32" i="60"/>
  <c r="AB46" i="64"/>
  <c r="AG31" i="60"/>
  <c r="AH45" i="64"/>
  <c r="AG32" i="60"/>
  <c r="AH46" i="64"/>
  <c r="AG33" i="60"/>
  <c r="AH47" i="64"/>
  <c r="AG34" i="60"/>
  <c r="AH48" i="64"/>
  <c r="AG35" i="60"/>
  <c r="AH49" i="64"/>
  <c r="AG36" i="60"/>
  <c r="AH50" i="64"/>
  <c r="AJ34" i="60"/>
  <c r="AI34" i="60"/>
  <c r="AI48" i="64"/>
  <c r="AJ33" i="60"/>
  <c r="AI33" i="60"/>
  <c r="AI47" i="64"/>
  <c r="AI36" i="60"/>
  <c r="AI50" i="64"/>
  <c r="AI31" i="60"/>
  <c r="AI45" i="64"/>
  <c r="AI30" i="60"/>
  <c r="AI44" i="64"/>
  <c r="AI32" i="60"/>
  <c r="AI46" i="64"/>
  <c r="AI35" i="60"/>
  <c r="AI49" i="64"/>
  <c r="AW17" i="44"/>
  <c r="BE17" i="44" s="1"/>
  <c r="P49" i="58"/>
  <c r="AW18" i="44"/>
  <c r="BE18" i="44" s="1"/>
  <c r="P50" i="58"/>
  <c r="X51" i="58"/>
  <c r="X52" i="58"/>
  <c r="AW21" i="44"/>
  <c r="BE21" i="44" s="1"/>
  <c r="P53" i="58"/>
  <c r="AW22" i="44"/>
  <c r="BE22" i="44" s="1"/>
  <c r="P54" i="58"/>
  <c r="AW16" i="44"/>
  <c r="BE16" i="44" s="1"/>
  <c r="P48" i="58"/>
  <c r="AE57" i="58"/>
  <c r="AH57" i="58"/>
  <c r="AA57" i="58"/>
  <c r="AX16" i="44"/>
  <c r="BF16" i="44" s="1"/>
  <c r="AX18" i="44"/>
  <c r="BF18" i="44" s="1"/>
  <c r="AY21" i="44"/>
  <c r="BG21" i="44" s="1"/>
  <c r="AZ19" i="44"/>
  <c r="BH19" i="44" s="1"/>
  <c r="AG51" i="58" s="1"/>
  <c r="AZ20" i="44"/>
  <c r="BH20" i="44" s="1"/>
  <c r="AG52" i="58" s="1"/>
  <c r="AV21" i="44"/>
  <c r="W53" i="58" s="1"/>
  <c r="AJ49" i="64" s="1"/>
  <c r="AV20" i="44"/>
  <c r="W52" i="58" s="1"/>
  <c r="AJ48" i="64" s="1"/>
  <c r="AV18" i="44"/>
  <c r="W50" i="58" s="1"/>
  <c r="AJ46" i="64" s="1"/>
  <c r="AV16" i="44"/>
  <c r="AX21" i="44"/>
  <c r="BF21" i="44" s="1"/>
  <c r="AY17" i="44"/>
  <c r="BG17" i="44" s="1"/>
  <c r="AV19" i="44"/>
  <c r="W51" i="58" s="1"/>
  <c r="AJ47" i="64" s="1"/>
  <c r="AY22" i="44"/>
  <c r="BG22" i="44" s="1"/>
  <c r="AY16" i="44"/>
  <c r="BG16" i="44" s="1"/>
  <c r="AV17" i="44"/>
  <c r="AX17" i="44"/>
  <c r="BF17" i="44" s="1"/>
  <c r="AY19" i="44"/>
  <c r="BG19" i="44" s="1"/>
  <c r="AV22" i="44"/>
  <c r="AY18" i="44"/>
  <c r="BG18" i="44" s="1"/>
  <c r="AW20" i="44"/>
  <c r="BE20" i="44" s="1"/>
  <c r="AX20" i="44"/>
  <c r="BF20" i="44" s="1"/>
  <c r="AZ22" i="44"/>
  <c r="BH22" i="44" s="1"/>
  <c r="AG54" i="58" s="1"/>
  <c r="AZ16" i="44"/>
  <c r="BH16" i="44" s="1"/>
  <c r="AG48" i="58" s="1"/>
  <c r="AZ17" i="44"/>
  <c r="BH17" i="44" s="1"/>
  <c r="AG49" i="58" s="1"/>
  <c r="AX19" i="44"/>
  <c r="BF19" i="44" s="1"/>
  <c r="AY20" i="44"/>
  <c r="BG20" i="44" s="1"/>
  <c r="AZ21" i="44"/>
  <c r="BH21" i="44" s="1"/>
  <c r="AG53" i="58" s="1"/>
  <c r="AZ18" i="44"/>
  <c r="BH18" i="44" s="1"/>
  <c r="AG50" i="58" s="1"/>
  <c r="AW19" i="44"/>
  <c r="BE19" i="44" s="1"/>
  <c r="AX22" i="44"/>
  <c r="BF22" i="44" s="1"/>
  <c r="BJ48" i="64" l="1"/>
  <c r="K33" i="60"/>
  <c r="AC36" i="60"/>
  <c r="AC32" i="60"/>
  <c r="T35" i="60"/>
  <c r="AC35" i="60"/>
  <c r="AC31" i="60"/>
  <c r="T34" i="60"/>
  <c r="T33" i="60"/>
  <c r="AC33" i="60"/>
  <c r="T31" i="60"/>
  <c r="AC34" i="60"/>
  <c r="AA36" i="60"/>
  <c r="AD36" i="60" s="1"/>
  <c r="H36" i="60"/>
  <c r="K36" i="60" s="1"/>
  <c r="I36" i="60"/>
  <c r="R36" i="60"/>
  <c r="U36" i="60" s="1"/>
  <c r="R35" i="60"/>
  <c r="U35" i="60" s="1"/>
  <c r="AA35" i="60"/>
  <c r="AD35" i="60" s="1"/>
  <c r="H35" i="60"/>
  <c r="K35" i="60" s="1"/>
  <c r="I35" i="60"/>
  <c r="J34" i="60"/>
  <c r="L34" i="60"/>
  <c r="J33" i="60"/>
  <c r="L33" i="60"/>
  <c r="AA32" i="60"/>
  <c r="AD32" i="60" s="1"/>
  <c r="R32" i="60"/>
  <c r="U32" i="60" s="1"/>
  <c r="I32" i="60"/>
  <c r="H32" i="60"/>
  <c r="K32" i="60" s="1"/>
  <c r="R31" i="60"/>
  <c r="U31" i="60" s="1"/>
  <c r="H31" i="60"/>
  <c r="K31" i="60" s="1"/>
  <c r="I31" i="60"/>
  <c r="AA31" i="60"/>
  <c r="AD31" i="60" s="1"/>
  <c r="I30" i="60"/>
  <c r="H30" i="60"/>
  <c r="K30" i="60" s="1"/>
  <c r="AA30" i="60"/>
  <c r="AD30" i="60" s="1"/>
  <c r="R30" i="60"/>
  <c r="U30" i="60" s="1"/>
  <c r="AC50" i="64"/>
  <c r="BJ50" i="64" s="1"/>
  <c r="BL50" i="64" s="1"/>
  <c r="BM50" i="64" s="1"/>
  <c r="AC49" i="64"/>
  <c r="BJ47" i="64"/>
  <c r="BL47" i="64" s="1"/>
  <c r="BM47" i="64" s="1"/>
  <c r="X54" i="58"/>
  <c r="AC45" i="64"/>
  <c r="BJ45" i="64" s="1"/>
  <c r="BL45" i="64" s="1"/>
  <c r="BM45" i="64" s="1"/>
  <c r="AC44" i="64"/>
  <c r="AC46" i="64"/>
  <c r="BJ46" i="64" s="1"/>
  <c r="BL46" i="64" s="1"/>
  <c r="BM46" i="64" s="1"/>
  <c r="BI49" i="64"/>
  <c r="BI46" i="64"/>
  <c r="BI45" i="64"/>
  <c r="AJ31" i="60"/>
  <c r="AJ35" i="60"/>
  <c r="BI44" i="64"/>
  <c r="AJ32" i="60"/>
  <c r="AM32" i="60" s="1"/>
  <c r="AJ36" i="60"/>
  <c r="AM36" i="60" s="1"/>
  <c r="BI48" i="64"/>
  <c r="BK48" i="64" s="1"/>
  <c r="BJ44" i="64"/>
  <c r="BI47" i="64"/>
  <c r="BI50" i="64"/>
  <c r="BJ49" i="64"/>
  <c r="AJ30" i="60"/>
  <c r="AM30" i="60" s="1"/>
  <c r="BL48" i="64"/>
  <c r="BM48" i="64" s="1"/>
  <c r="AK48" i="64"/>
  <c r="Y52" i="58"/>
  <c r="AK47" i="64"/>
  <c r="Y51" i="58"/>
  <c r="AL34" i="60"/>
  <c r="AM34" i="60"/>
  <c r="X50" i="58"/>
  <c r="AL32" i="60"/>
  <c r="AM33" i="60"/>
  <c r="X48" i="58"/>
  <c r="AL30" i="60"/>
  <c r="X49" i="58"/>
  <c r="AL31" i="60"/>
  <c r="AM31" i="60"/>
  <c r="AL33" i="60"/>
  <c r="X53" i="58"/>
  <c r="AL35" i="60"/>
  <c r="AM35" i="60"/>
  <c r="AL36" i="60"/>
  <c r="Z52" i="58"/>
  <c r="Z51" i="58"/>
  <c r="BA17" i="44"/>
  <c r="W49" i="58"/>
  <c r="AJ45" i="64" s="1"/>
  <c r="BA22" i="44"/>
  <c r="W54" i="58"/>
  <c r="AJ50" i="64" s="1"/>
  <c r="BB16" i="44"/>
  <c r="W48" i="58"/>
  <c r="AJ44" i="64" s="1"/>
  <c r="BB21" i="44"/>
  <c r="BA21" i="44"/>
  <c r="BC21" i="44"/>
  <c r="BA18" i="44"/>
  <c r="BB18" i="44"/>
  <c r="BC19" i="44"/>
  <c r="BD20" i="44"/>
  <c r="AD52" i="58" s="1"/>
  <c r="BC16" i="44"/>
  <c r="BA16" i="44"/>
  <c r="BD19" i="44"/>
  <c r="AD51" i="58" s="1"/>
  <c r="BC22" i="44"/>
  <c r="BC17" i="44"/>
  <c r="BB17" i="44"/>
  <c r="BD17" i="44"/>
  <c r="AD49" i="58" s="1"/>
  <c r="BB22" i="44"/>
  <c r="BD21" i="44"/>
  <c r="AD53" i="58" s="1"/>
  <c r="BD16" i="44"/>
  <c r="AD48" i="58" s="1"/>
  <c r="BD22" i="44"/>
  <c r="AD54" i="58" s="1"/>
  <c r="BA19" i="44"/>
  <c r="BC20" i="44"/>
  <c r="BB20" i="44"/>
  <c r="BC18" i="44"/>
  <c r="BA20" i="44"/>
  <c r="BD18" i="44"/>
  <c r="AD50" i="58" s="1"/>
  <c r="BB19" i="44"/>
  <c r="BK44" i="64" l="1"/>
  <c r="BK49" i="64"/>
  <c r="J36" i="60"/>
  <c r="L36" i="60"/>
  <c r="J35" i="60"/>
  <c r="L35" i="60"/>
  <c r="AL48" i="64"/>
  <c r="AL47" i="64"/>
  <c r="J32" i="60"/>
  <c r="L32" i="60"/>
  <c r="J31" i="60"/>
  <c r="L31" i="60"/>
  <c r="BK45" i="64"/>
  <c r="J30" i="60"/>
  <c r="L30" i="60"/>
  <c r="Z54" i="58"/>
  <c r="AH54" i="58" s="1"/>
  <c r="AK50" i="64"/>
  <c r="BK47" i="64"/>
  <c r="BK50" i="64"/>
  <c r="BL44" i="64"/>
  <c r="BM44" i="64" s="1"/>
  <c r="D40" i="63"/>
  <c r="F40" i="63"/>
  <c r="F23" i="69"/>
  <c r="Y54" i="58"/>
  <c r="BL49" i="64"/>
  <c r="BM49" i="64" s="1"/>
  <c r="BK46" i="64"/>
  <c r="E40" i="63"/>
  <c r="G40" i="63"/>
  <c r="AK49" i="64"/>
  <c r="Y53" i="58"/>
  <c r="AK46" i="64"/>
  <c r="AK45" i="64"/>
  <c r="AK44" i="64"/>
  <c r="D11" i="63"/>
  <c r="G11" i="63"/>
  <c r="F11" i="63"/>
  <c r="E11" i="63"/>
  <c r="Z49" i="58"/>
  <c r="AA49" i="58" s="1"/>
  <c r="AM37" i="60"/>
  <c r="Z48" i="58"/>
  <c r="AA48" i="58" s="1"/>
  <c r="AL37" i="60"/>
  <c r="Z50" i="58"/>
  <c r="AH50" i="58" s="1"/>
  <c r="Z53" i="58"/>
  <c r="AA53" i="58" s="1"/>
  <c r="AE51" i="58"/>
  <c r="AA51" i="58"/>
  <c r="AH51" i="58"/>
  <c r="AE52" i="58"/>
  <c r="AA52" i="58"/>
  <c r="AH52" i="58"/>
  <c r="BC23" i="44"/>
  <c r="BA23" i="44"/>
  <c r="BB23" i="44"/>
  <c r="BD23" i="44"/>
  <c r="BN44" i="64" l="1"/>
  <c r="AL50" i="64"/>
  <c r="AA54" i="58"/>
  <c r="AE54" i="58"/>
  <c r="AL49" i="64"/>
  <c r="AL45" i="64"/>
  <c r="AL44" i="64"/>
  <c r="I23" i="69"/>
  <c r="D21" i="67"/>
  <c r="H40" i="63"/>
  <c r="I40" i="63" s="1"/>
  <c r="G23" i="69"/>
  <c r="AL46" i="64"/>
  <c r="AE50" i="58"/>
  <c r="AH49" i="58"/>
  <c r="AE49" i="58"/>
  <c r="H11" i="63"/>
  <c r="I11" i="63" s="1"/>
  <c r="AH48" i="58"/>
  <c r="AE53" i="58"/>
  <c r="AA50" i="58"/>
  <c r="AB48" i="58" s="1"/>
  <c r="AH53" i="58"/>
  <c r="AE48" i="58"/>
  <c r="AU19" i="43"/>
  <c r="V43" i="58" s="1"/>
  <c r="AT19" i="43"/>
  <c r="U43" i="58" s="1"/>
  <c r="AM19" i="43"/>
  <c r="T43" i="58" s="1"/>
  <c r="AG39" i="64" s="1"/>
  <c r="AL19" i="43"/>
  <c r="S43" i="58" s="1"/>
  <c r="AF39" i="64" s="1"/>
  <c r="AD19" i="43"/>
  <c r="Q43" i="58" s="1"/>
  <c r="V19" i="43"/>
  <c r="O43" i="58" s="1"/>
  <c r="AB39" i="64" s="1"/>
  <c r="AV19" i="43"/>
  <c r="AV17" i="43"/>
  <c r="W41" i="58" s="1"/>
  <c r="AU17" i="43"/>
  <c r="V41" i="58" s="1"/>
  <c r="AT17" i="43"/>
  <c r="U41" i="58" s="1"/>
  <c r="AH37" i="64" s="1"/>
  <c r="AM17" i="43"/>
  <c r="T41" i="58" s="1"/>
  <c r="AL17" i="43"/>
  <c r="S41" i="58" s="1"/>
  <c r="V17" i="43"/>
  <c r="O41" i="58" s="1"/>
  <c r="O17" i="43"/>
  <c r="R50" i="59" s="1"/>
  <c r="O18" i="43"/>
  <c r="R51" i="59" s="1"/>
  <c r="O19" i="43"/>
  <c r="R52" i="59" s="1"/>
  <c r="O20" i="43"/>
  <c r="R53" i="59" s="1"/>
  <c r="O21" i="43"/>
  <c r="R54" i="59" s="1"/>
  <c r="O22" i="43"/>
  <c r="R55" i="59" s="1"/>
  <c r="O23" i="43"/>
  <c r="R56" i="59" s="1"/>
  <c r="O16" i="43"/>
  <c r="R49" i="59" s="1"/>
  <c r="I21" i="43"/>
  <c r="E54" i="59" s="1"/>
  <c r="D99" i="60" s="1"/>
  <c r="I22" i="43"/>
  <c r="E55" i="59" s="1"/>
  <c r="D100" i="60" s="1"/>
  <c r="I23" i="43"/>
  <c r="E56" i="59" s="1"/>
  <c r="D101" i="60" s="1"/>
  <c r="I20" i="43"/>
  <c r="E53" i="59" s="1"/>
  <c r="D98" i="60" s="1"/>
  <c r="I17" i="43"/>
  <c r="E50" i="59" s="1"/>
  <c r="D95" i="60" s="1"/>
  <c r="I18" i="43"/>
  <c r="E51" i="59" s="1"/>
  <c r="D96" i="60" s="1"/>
  <c r="I19" i="43"/>
  <c r="E52" i="59" s="1"/>
  <c r="D97" i="60" s="1"/>
  <c r="I16" i="43"/>
  <c r="E49" i="59" s="1"/>
  <c r="D94" i="60" s="1"/>
  <c r="H21" i="43"/>
  <c r="H22" i="43"/>
  <c r="H23" i="43"/>
  <c r="H17" i="43"/>
  <c r="H18" i="43"/>
  <c r="H19" i="43"/>
  <c r="H20" i="43"/>
  <c r="H16" i="43"/>
  <c r="Q56" i="59"/>
  <c r="E101" i="60" s="1"/>
  <c r="Q55" i="59"/>
  <c r="E100" i="60" s="1"/>
  <c r="Q54" i="59"/>
  <c r="E99" i="60" s="1"/>
  <c r="Q53" i="59"/>
  <c r="E98" i="60" s="1"/>
  <c r="Q50" i="59"/>
  <c r="E95" i="60" s="1"/>
  <c r="Q51" i="59"/>
  <c r="E96" i="60" s="1"/>
  <c r="Q52" i="59"/>
  <c r="E97" i="60" s="1"/>
  <c r="Q49" i="59"/>
  <c r="E94" i="60" s="1"/>
  <c r="E17" i="43"/>
  <c r="E18" i="43"/>
  <c r="E19" i="43"/>
  <c r="E20" i="43"/>
  <c r="E21" i="43"/>
  <c r="E22" i="43"/>
  <c r="E23" i="43"/>
  <c r="E16" i="43"/>
  <c r="D21" i="43"/>
  <c r="D22" i="43"/>
  <c r="D23" i="43"/>
  <c r="D17" i="43"/>
  <c r="D18" i="43"/>
  <c r="D19" i="43"/>
  <c r="D20" i="43"/>
  <c r="D16" i="43"/>
  <c r="C21" i="43"/>
  <c r="C20" i="43"/>
  <c r="C18" i="43"/>
  <c r="C16" i="43"/>
  <c r="B16" i="43"/>
  <c r="AU23" i="43"/>
  <c r="V47" i="58" s="1"/>
  <c r="AM23" i="43"/>
  <c r="T47" i="58" s="1"/>
  <c r="AG43" i="64" s="1"/>
  <c r="AL23" i="43"/>
  <c r="S47" i="58" s="1"/>
  <c r="AF43" i="64" s="1"/>
  <c r="AE23" i="43"/>
  <c r="R47" i="58" s="1"/>
  <c r="AE43" i="64" s="1"/>
  <c r="AD23" i="43"/>
  <c r="Q47" i="58" s="1"/>
  <c r="AD43" i="64" s="1"/>
  <c r="W23" i="43"/>
  <c r="P47" i="58" s="1"/>
  <c r="AC43" i="64" s="1"/>
  <c r="V23" i="43"/>
  <c r="O47" i="58" s="1"/>
  <c r="AU22" i="43"/>
  <c r="V46" i="58" s="1"/>
  <c r="AT22" i="43"/>
  <c r="U46" i="58" s="1"/>
  <c r="AM22" i="43"/>
  <c r="T46" i="58" s="1"/>
  <c r="AG42" i="64" s="1"/>
  <c r="AL22" i="43"/>
  <c r="S46" i="58" s="1"/>
  <c r="AF42" i="64" s="1"/>
  <c r="AE22" i="43"/>
  <c r="R46" i="58" s="1"/>
  <c r="AE42" i="64" s="1"/>
  <c r="AD22" i="43"/>
  <c r="Q46" i="58" s="1"/>
  <c r="AD42" i="64" s="1"/>
  <c r="W22" i="43"/>
  <c r="V22" i="43"/>
  <c r="O46" i="58" s="1"/>
  <c r="AU21" i="43"/>
  <c r="V45" i="58" s="1"/>
  <c r="AT21" i="43"/>
  <c r="U45" i="58" s="1"/>
  <c r="AM21" i="43"/>
  <c r="T45" i="58" s="1"/>
  <c r="AG41" i="64" s="1"/>
  <c r="AL21" i="43"/>
  <c r="S45" i="58" s="1"/>
  <c r="AF41" i="64" s="1"/>
  <c r="AE21" i="43"/>
  <c r="R45" i="58" s="1"/>
  <c r="AE41" i="64" s="1"/>
  <c r="AD21" i="43"/>
  <c r="Q45" i="58" s="1"/>
  <c r="AD41" i="64" s="1"/>
  <c r="W21" i="43"/>
  <c r="P45" i="58" s="1"/>
  <c r="AC41" i="64" s="1"/>
  <c r="V21" i="43"/>
  <c r="O45" i="58" s="1"/>
  <c r="AU20" i="43"/>
  <c r="V44" i="58" s="1"/>
  <c r="AT20" i="43"/>
  <c r="U44" i="58" s="1"/>
  <c r="AM20" i="43"/>
  <c r="T44" i="58" s="1"/>
  <c r="AG40" i="64" s="1"/>
  <c r="AL20" i="43"/>
  <c r="S44" i="58" s="1"/>
  <c r="AF40" i="64" s="1"/>
  <c r="AE20" i="43"/>
  <c r="R44" i="58" s="1"/>
  <c r="AE40" i="64" s="1"/>
  <c r="AD20" i="43"/>
  <c r="Q44" i="58" s="1"/>
  <c r="AD40" i="64" s="1"/>
  <c r="W20" i="43"/>
  <c r="V20" i="43"/>
  <c r="O44" i="58" s="1"/>
  <c r="AU18" i="43"/>
  <c r="V42" i="58" s="1"/>
  <c r="AT18" i="43"/>
  <c r="U42" i="58" s="1"/>
  <c r="AM18" i="43"/>
  <c r="AL18" i="43"/>
  <c r="S42" i="58" s="1"/>
  <c r="AF38" i="64" s="1"/>
  <c r="AE18" i="43"/>
  <c r="R42" i="58" s="1"/>
  <c r="AE38" i="64" s="1"/>
  <c r="AD18" i="43"/>
  <c r="Q42" i="58" s="1"/>
  <c r="AD38" i="64" s="1"/>
  <c r="W18" i="43"/>
  <c r="P42" i="58" s="1"/>
  <c r="AC38" i="64" s="1"/>
  <c r="V18" i="43"/>
  <c r="AU16" i="43"/>
  <c r="V40" i="58" s="1"/>
  <c r="AT16" i="43"/>
  <c r="U40" i="58" s="1"/>
  <c r="AM16" i="43"/>
  <c r="T40" i="58" s="1"/>
  <c r="AG36" i="64" s="1"/>
  <c r="AL16" i="43"/>
  <c r="S40" i="58" s="1"/>
  <c r="AF36" i="64" s="1"/>
  <c r="AE16" i="43"/>
  <c r="R40" i="58" s="1"/>
  <c r="AE36" i="64" s="1"/>
  <c r="AD16" i="43"/>
  <c r="Q40" i="58" s="1"/>
  <c r="AD36" i="64" s="1"/>
  <c r="W16" i="43"/>
  <c r="P40" i="58" s="1"/>
  <c r="AC36" i="64" s="1"/>
  <c r="V16" i="43"/>
  <c r="O40" i="58" s="1"/>
  <c r="O43" i="38"/>
  <c r="O41" i="38"/>
  <c r="O42" i="38"/>
  <c r="O44" i="38"/>
  <c r="O45" i="38"/>
  <c r="O46" i="38"/>
  <c r="O47" i="38"/>
  <c r="H23" i="69" l="1"/>
  <c r="AI37" i="64"/>
  <c r="AJ37" i="64"/>
  <c r="F18" i="69" s="1"/>
  <c r="D52" i="67"/>
  <c r="M20" i="66"/>
  <c r="AD39" i="64"/>
  <c r="T42" i="58"/>
  <c r="AG38" i="64" s="1"/>
  <c r="AF37" i="64"/>
  <c r="AH36" i="64"/>
  <c r="AH38" i="64"/>
  <c r="AH40" i="64"/>
  <c r="AH41" i="64"/>
  <c r="AH42" i="64"/>
  <c r="AG37" i="64"/>
  <c r="BJ37" i="64" s="1"/>
  <c r="BL37" i="64" s="1"/>
  <c r="BM37" i="64" s="1"/>
  <c r="AH39" i="64"/>
  <c r="AB37" i="64"/>
  <c r="AB36" i="64"/>
  <c r="AB40" i="64"/>
  <c r="AB41" i="64"/>
  <c r="AB42" i="64"/>
  <c r="AB43" i="64"/>
  <c r="BI43" i="64" s="1"/>
  <c r="AI43" i="64"/>
  <c r="BJ43" i="64" s="1"/>
  <c r="AI42" i="64"/>
  <c r="AI41" i="64"/>
  <c r="BJ41" i="64" s="1"/>
  <c r="AI40" i="64"/>
  <c r="AI39" i="64"/>
  <c r="BJ39" i="64" s="1"/>
  <c r="AI38" i="64"/>
  <c r="X41" i="58"/>
  <c r="AI36" i="64"/>
  <c r="BJ36" i="64" s="1"/>
  <c r="AN37" i="60"/>
  <c r="C11" i="62" s="1"/>
  <c r="AV18" i="43"/>
  <c r="W42" i="58" s="1"/>
  <c r="AJ38" i="64" s="1"/>
  <c r="F19" i="69" s="1"/>
  <c r="O42" i="58"/>
  <c r="X40" i="58"/>
  <c r="AW20" i="43"/>
  <c r="BE20" i="43" s="1"/>
  <c r="P44" i="58"/>
  <c r="AC40" i="64" s="1"/>
  <c r="X45" i="58"/>
  <c r="AW22" i="43"/>
  <c r="BE22" i="43" s="1"/>
  <c r="P46" i="58"/>
  <c r="AC42" i="64" s="1"/>
  <c r="X47" i="58"/>
  <c r="W43" i="58"/>
  <c r="AZ19" i="43"/>
  <c r="AY19" i="43"/>
  <c r="AZ17" i="43"/>
  <c r="AY17" i="43"/>
  <c r="AX17" i="43"/>
  <c r="AW17" i="43"/>
  <c r="AX19" i="43"/>
  <c r="AW19" i="43"/>
  <c r="AZ18" i="43"/>
  <c r="BH18" i="43" s="1"/>
  <c r="AG42" i="58" s="1"/>
  <c r="AX21" i="43"/>
  <c r="BF21" i="43" s="1"/>
  <c r="AY23" i="43"/>
  <c r="BG23" i="43" s="1"/>
  <c r="AX18" i="43"/>
  <c r="BF18" i="43" s="1"/>
  <c r="AV20" i="43"/>
  <c r="AV22" i="43"/>
  <c r="AX22" i="43"/>
  <c r="BF22" i="43" s="1"/>
  <c r="AV16" i="43"/>
  <c r="W40" i="58" s="1"/>
  <c r="AJ36" i="64" s="1"/>
  <c r="F17" i="69" s="1"/>
  <c r="AY21" i="43"/>
  <c r="BG21" i="43" s="1"/>
  <c r="AZ23" i="43"/>
  <c r="BH23" i="43" s="1"/>
  <c r="AG47" i="58" s="1"/>
  <c r="AW23" i="43"/>
  <c r="BE23" i="43" s="1"/>
  <c r="AY18" i="43"/>
  <c r="BG18" i="43" s="1"/>
  <c r="AV21" i="43"/>
  <c r="W45" i="58" s="1"/>
  <c r="AJ41" i="64" s="1"/>
  <c r="AZ21" i="43"/>
  <c r="BH21" i="43" s="1"/>
  <c r="AG45" i="58" s="1"/>
  <c r="AV23" i="43"/>
  <c r="AX20" i="43"/>
  <c r="BF20" i="43" s="1"/>
  <c r="AZ20" i="43"/>
  <c r="BH20" i="43" s="1"/>
  <c r="AG44" i="58" s="1"/>
  <c r="AY16" i="43"/>
  <c r="BG16" i="43" s="1"/>
  <c r="AX16" i="43"/>
  <c r="BF16" i="43" s="1"/>
  <c r="AW16" i="43"/>
  <c r="BE16" i="43" s="1"/>
  <c r="AZ16" i="43"/>
  <c r="BH16" i="43" s="1"/>
  <c r="AG40" i="58" s="1"/>
  <c r="AY20" i="43"/>
  <c r="BG20" i="43" s="1"/>
  <c r="AW18" i="43"/>
  <c r="BE18" i="43" s="1"/>
  <c r="AW21" i="43"/>
  <c r="BE21" i="43" s="1"/>
  <c r="AY22" i="43"/>
  <c r="BG22" i="43" s="1"/>
  <c r="AX23" i="43"/>
  <c r="BF23" i="43" s="1"/>
  <c r="AZ22" i="43"/>
  <c r="BH22" i="43" s="1"/>
  <c r="AG46" i="58" s="1"/>
  <c r="BI40" i="64" l="1"/>
  <c r="X42" i="58"/>
  <c r="BJ42" i="64"/>
  <c r="BL42" i="64" s="1"/>
  <c r="BM42" i="64" s="1"/>
  <c r="Z41" i="58"/>
  <c r="BJ40" i="64"/>
  <c r="BL40" i="64" s="1"/>
  <c r="BM40" i="64" s="1"/>
  <c r="BN40" i="64" s="1"/>
  <c r="X43" i="58"/>
  <c r="AK39" i="64" s="1"/>
  <c r="G20" i="69" s="1"/>
  <c r="AJ39" i="64"/>
  <c r="F20" i="69" s="1"/>
  <c r="BI42" i="64"/>
  <c r="BI37" i="64"/>
  <c r="BK37" i="64" s="1"/>
  <c r="BI41" i="64"/>
  <c r="BK41" i="64" s="1"/>
  <c r="BJ38" i="64"/>
  <c r="BL38" i="64" s="1"/>
  <c r="BM38" i="64" s="1"/>
  <c r="AB38" i="64"/>
  <c r="BI38" i="64" s="1"/>
  <c r="BI39" i="64"/>
  <c r="BK39" i="64" s="1"/>
  <c r="BI36" i="64"/>
  <c r="BK36" i="64" s="1"/>
  <c r="BL43" i="64"/>
  <c r="BM43" i="64" s="1"/>
  <c r="BK43" i="64"/>
  <c r="BL41" i="64"/>
  <c r="BM41" i="64" s="1"/>
  <c r="BL39" i="64"/>
  <c r="BM39" i="64" s="1"/>
  <c r="AL37" i="64"/>
  <c r="H18" i="69" s="1"/>
  <c r="AK37" i="64"/>
  <c r="G18" i="69" s="1"/>
  <c r="BL36" i="64"/>
  <c r="BM36" i="64" s="1"/>
  <c r="BN36" i="64" s="1"/>
  <c r="AK43" i="64"/>
  <c r="AK41" i="64"/>
  <c r="Y45" i="58"/>
  <c r="AL41" i="64" s="1"/>
  <c r="AK38" i="64"/>
  <c r="G19" i="69" s="1"/>
  <c r="Y42" i="58"/>
  <c r="AL38" i="64" s="1"/>
  <c r="H19" i="69" s="1"/>
  <c r="AK36" i="64"/>
  <c r="G17" i="69" s="1"/>
  <c r="Y40" i="58"/>
  <c r="AL36" i="64" s="1"/>
  <c r="H17" i="69" s="1"/>
  <c r="C20" i="62"/>
  <c r="X46" i="58"/>
  <c r="X44" i="58"/>
  <c r="BA20" i="43"/>
  <c r="W44" i="58"/>
  <c r="AJ40" i="64" s="1"/>
  <c r="F21" i="69" s="1"/>
  <c r="BB17" i="43"/>
  <c r="BF17" i="43"/>
  <c r="BC17" i="43"/>
  <c r="BG17" i="43"/>
  <c r="Z45" i="58"/>
  <c r="BD17" i="43"/>
  <c r="AD41" i="58" s="1"/>
  <c r="BH17" i="43"/>
  <c r="AG41" i="58" s="1"/>
  <c r="BG19" i="43"/>
  <c r="BC19" i="43"/>
  <c r="BH19" i="43"/>
  <c r="AG43" i="58" s="1"/>
  <c r="BD19" i="43"/>
  <c r="AD43" i="58" s="1"/>
  <c r="Z42" i="58"/>
  <c r="BD18" i="43"/>
  <c r="AD42" i="58" s="1"/>
  <c r="BA19" i="43"/>
  <c r="BE19" i="43"/>
  <c r="Z40" i="58"/>
  <c r="BC23" i="43"/>
  <c r="W47" i="58"/>
  <c r="AJ43" i="64" s="1"/>
  <c r="BF19" i="43"/>
  <c r="BB19" i="43"/>
  <c r="Z47" i="58"/>
  <c r="BA22" i="43"/>
  <c r="W46" i="58"/>
  <c r="AJ42" i="64" s="1"/>
  <c r="BA17" i="43"/>
  <c r="BE17" i="43"/>
  <c r="BB18" i="43"/>
  <c r="BB21" i="43"/>
  <c r="BD21" i="43"/>
  <c r="AD45" i="58" s="1"/>
  <c r="BB22" i="43"/>
  <c r="BC18" i="43"/>
  <c r="BC21" i="43"/>
  <c r="BA23" i="43"/>
  <c r="BD23" i="43"/>
  <c r="AD47" i="58" s="1"/>
  <c r="BD22" i="43"/>
  <c r="AD46" i="58" s="1"/>
  <c r="BB23" i="43"/>
  <c r="BA18" i="43"/>
  <c r="BC16" i="43"/>
  <c r="BD20" i="43"/>
  <c r="AD44" i="58" s="1"/>
  <c r="BC20" i="43"/>
  <c r="BC22" i="43"/>
  <c r="BB20" i="43"/>
  <c r="BB16" i="43"/>
  <c r="BA21" i="43"/>
  <c r="BD16" i="43"/>
  <c r="AD40" i="58" s="1"/>
  <c r="BA16" i="43"/>
  <c r="BK42" i="64" l="1"/>
  <c r="F22" i="69"/>
  <c r="BK38" i="64"/>
  <c r="BN38" i="64"/>
  <c r="BK40" i="64"/>
  <c r="D45" i="63"/>
  <c r="F45" i="63"/>
  <c r="AL39" i="64"/>
  <c r="H20" i="69" s="1"/>
  <c r="Z43" i="58"/>
  <c r="Y47" i="58"/>
  <c r="AL43" i="64" s="1"/>
  <c r="BN41" i="64"/>
  <c r="D20" i="67" s="1"/>
  <c r="D19" i="67"/>
  <c r="I21" i="69"/>
  <c r="I17" i="69"/>
  <c r="D17" i="67"/>
  <c r="E45" i="63"/>
  <c r="G45" i="63"/>
  <c r="AK42" i="64"/>
  <c r="G22" i="69" s="1"/>
  <c r="Y46" i="58"/>
  <c r="AL42" i="64" s="1"/>
  <c r="AK40" i="64"/>
  <c r="G21" i="69" s="1"/>
  <c r="Y44" i="58"/>
  <c r="AL40" i="64" s="1"/>
  <c r="H21" i="69" s="1"/>
  <c r="Z46" i="58"/>
  <c r="AH46" i="58" s="1"/>
  <c r="F16" i="63"/>
  <c r="E16" i="63"/>
  <c r="D16" i="63"/>
  <c r="G16" i="63"/>
  <c r="AL102" i="60"/>
  <c r="Z44" i="58"/>
  <c r="AH44" i="58" s="1"/>
  <c r="AM102" i="60"/>
  <c r="AE45" i="58"/>
  <c r="AH40" i="58"/>
  <c r="AA40" i="58"/>
  <c r="AA45" i="58"/>
  <c r="AH45" i="58"/>
  <c r="AE40" i="58"/>
  <c r="AH47" i="58"/>
  <c r="AA47" i="58"/>
  <c r="AA42" i="58"/>
  <c r="AH42" i="58"/>
  <c r="AE42" i="58"/>
  <c r="BA24" i="43"/>
  <c r="BB24" i="43"/>
  <c r="BD24" i="43"/>
  <c r="BC24" i="43"/>
  <c r="H22" i="69" l="1"/>
  <c r="AE47" i="58"/>
  <c r="BO36" i="64"/>
  <c r="J17" i="69" s="1"/>
  <c r="AE46" i="58"/>
  <c r="I19" i="69"/>
  <c r="D18" i="67"/>
  <c r="M17" i="66" s="1"/>
  <c r="I22" i="69"/>
  <c r="D50" i="67"/>
  <c r="M18" i="66"/>
  <c r="D51" i="67"/>
  <c r="M19" i="66"/>
  <c r="D48" i="67"/>
  <c r="M16" i="66"/>
  <c r="H45" i="63"/>
  <c r="I45" i="63" s="1"/>
  <c r="AA46" i="58"/>
  <c r="AB45" i="58" s="1"/>
  <c r="AA44" i="58"/>
  <c r="AB44" i="58" s="1"/>
  <c r="H16" i="63"/>
  <c r="I16" i="63" s="1"/>
  <c r="AE44" i="58"/>
  <c r="I21" i="42"/>
  <c r="E47" i="59" s="1"/>
  <c r="D87" i="60" s="1"/>
  <c r="I22" i="42"/>
  <c r="E48" i="59" s="1"/>
  <c r="D88" i="60" s="1"/>
  <c r="I20" i="42"/>
  <c r="E46" i="59" s="1"/>
  <c r="D86" i="60" s="1"/>
  <c r="I17" i="42"/>
  <c r="E43" i="59" s="1"/>
  <c r="D83" i="60" s="1"/>
  <c r="I18" i="42"/>
  <c r="E44" i="59" s="1"/>
  <c r="D84" i="60" s="1"/>
  <c r="I19" i="42"/>
  <c r="E45" i="59" s="1"/>
  <c r="D85" i="60" s="1"/>
  <c r="I16" i="42"/>
  <c r="E42" i="59" s="1"/>
  <c r="D82" i="60" s="1"/>
  <c r="H17" i="42"/>
  <c r="H18" i="42"/>
  <c r="H19" i="42"/>
  <c r="H20" i="42"/>
  <c r="H21" i="42"/>
  <c r="H22" i="42"/>
  <c r="H16" i="42"/>
  <c r="Q43" i="59"/>
  <c r="E83" i="60" s="1"/>
  <c r="Q44" i="59"/>
  <c r="E84" i="60" s="1"/>
  <c r="Q45" i="59"/>
  <c r="E85" i="60" s="1"/>
  <c r="Q46" i="59"/>
  <c r="E86" i="60" s="1"/>
  <c r="Q47" i="59"/>
  <c r="E87" i="60" s="1"/>
  <c r="Q48" i="59"/>
  <c r="E88" i="60" s="1"/>
  <c r="Q42" i="59"/>
  <c r="E82" i="60" s="1"/>
  <c r="D22" i="42"/>
  <c r="D21" i="42"/>
  <c r="D20" i="42"/>
  <c r="D17" i="42"/>
  <c r="D18" i="42"/>
  <c r="D19" i="42"/>
  <c r="D16" i="42"/>
  <c r="C20" i="42"/>
  <c r="C18" i="42"/>
  <c r="C16" i="42"/>
  <c r="B16" i="42"/>
  <c r="AU22" i="42"/>
  <c r="V39" i="58" s="1"/>
  <c r="AT22" i="42"/>
  <c r="U39" i="58" s="1"/>
  <c r="AM22" i="42"/>
  <c r="T39" i="58" s="1"/>
  <c r="AG35" i="64" s="1"/>
  <c r="AL22" i="42"/>
  <c r="S39" i="58" s="1"/>
  <c r="AF35" i="64" s="1"/>
  <c r="AE22" i="42"/>
  <c r="R39" i="58" s="1"/>
  <c r="AE35" i="64" s="1"/>
  <c r="AD22" i="42"/>
  <c r="Q39" i="58" s="1"/>
  <c r="AD35" i="64" s="1"/>
  <c r="W22" i="42"/>
  <c r="V22" i="42"/>
  <c r="O39" i="58" s="1"/>
  <c r="AY21" i="42"/>
  <c r="BG21" i="42" s="1"/>
  <c r="AX21" i="42"/>
  <c r="BF21" i="42" s="1"/>
  <c r="AW21" i="42"/>
  <c r="BE21" i="42" s="1"/>
  <c r="AU21" i="42"/>
  <c r="AT21" i="42"/>
  <c r="U38" i="58" s="1"/>
  <c r="AL21" i="42"/>
  <c r="S38" i="58" s="1"/>
  <c r="AF34" i="64" s="1"/>
  <c r="AD21" i="42"/>
  <c r="Q38" i="58" s="1"/>
  <c r="AD34" i="64" s="1"/>
  <c r="V21" i="42"/>
  <c r="O38" i="58" s="1"/>
  <c r="AY20" i="42"/>
  <c r="BG20" i="42" s="1"/>
  <c r="AX20" i="42"/>
  <c r="BF20" i="42" s="1"/>
  <c r="AW20" i="42"/>
  <c r="BE20" i="42" s="1"/>
  <c r="AU20" i="42"/>
  <c r="AT20" i="42"/>
  <c r="U37" i="58" s="1"/>
  <c r="AL20" i="42"/>
  <c r="S37" i="58" s="1"/>
  <c r="AF33" i="64" s="1"/>
  <c r="AD20" i="42"/>
  <c r="Q37" i="58" s="1"/>
  <c r="AD33" i="64" s="1"/>
  <c r="V20" i="42"/>
  <c r="O37" i="58" s="1"/>
  <c r="AU19" i="42"/>
  <c r="V36" i="58" s="1"/>
  <c r="AM19" i="42"/>
  <c r="T36" i="58" s="1"/>
  <c r="AG32" i="64" s="1"/>
  <c r="AE19" i="42"/>
  <c r="R36" i="58" s="1"/>
  <c r="AE32" i="64" s="1"/>
  <c r="W19" i="42"/>
  <c r="V19" i="42"/>
  <c r="O36" i="58" s="1"/>
  <c r="AU18" i="42"/>
  <c r="V35" i="58" s="1"/>
  <c r="AM18" i="42"/>
  <c r="T35" i="58" s="1"/>
  <c r="AG31" i="64" s="1"/>
  <c r="AE18" i="42"/>
  <c r="R35" i="58" s="1"/>
  <c r="AE31" i="64" s="1"/>
  <c r="W18" i="42"/>
  <c r="P35" i="58" s="1"/>
  <c r="AC31" i="64" s="1"/>
  <c r="AU17" i="42"/>
  <c r="V34" i="58" s="1"/>
  <c r="AT17" i="42"/>
  <c r="U34" i="58" s="1"/>
  <c r="AM17" i="42"/>
  <c r="T34" i="58" s="1"/>
  <c r="AG30" i="64" s="1"/>
  <c r="AL17" i="42"/>
  <c r="S34" i="58" s="1"/>
  <c r="AF30" i="64" s="1"/>
  <c r="AE17" i="42"/>
  <c r="R34" i="58" s="1"/>
  <c r="AE30" i="64" s="1"/>
  <c r="AD17" i="42"/>
  <c r="Q34" i="58" s="1"/>
  <c r="AD30" i="64" s="1"/>
  <c r="W17" i="42"/>
  <c r="P34" i="58" s="1"/>
  <c r="AC30" i="64" s="1"/>
  <c r="V17" i="42"/>
  <c r="O34" i="58" s="1"/>
  <c r="AU16" i="42"/>
  <c r="V33" i="58" s="1"/>
  <c r="AT16" i="42"/>
  <c r="U33" i="58" s="1"/>
  <c r="AM16" i="42"/>
  <c r="T33" i="58" s="1"/>
  <c r="AG29" i="64" s="1"/>
  <c r="AL16" i="42"/>
  <c r="S33" i="58" s="1"/>
  <c r="AF29" i="64" s="1"/>
  <c r="AE16" i="42"/>
  <c r="R33" i="58" s="1"/>
  <c r="AE29" i="64" s="1"/>
  <c r="AD16" i="42"/>
  <c r="Q33" i="58" s="1"/>
  <c r="AD29" i="64" s="1"/>
  <c r="W16" i="42"/>
  <c r="P33" i="58" s="1"/>
  <c r="AC29" i="64" s="1"/>
  <c r="V16" i="42"/>
  <c r="O33" i="58" s="1"/>
  <c r="E39" i="38"/>
  <c r="E38" i="38"/>
  <c r="E37" i="38"/>
  <c r="E36" i="38"/>
  <c r="E35" i="38"/>
  <c r="E34" i="38"/>
  <c r="E33" i="38"/>
  <c r="D49" i="67" l="1"/>
  <c r="E17" i="67"/>
  <c r="D68" i="67" s="1"/>
  <c r="C13" i="70"/>
  <c r="N16" i="66" s="1"/>
  <c r="AH33" i="64"/>
  <c r="AH34" i="64"/>
  <c r="AH29" i="64"/>
  <c r="AH30" i="64"/>
  <c r="AB32" i="64"/>
  <c r="AH35" i="64"/>
  <c r="AB29" i="64"/>
  <c r="AB30" i="64"/>
  <c r="AB33" i="64"/>
  <c r="BI33" i="64" s="1"/>
  <c r="AB34" i="64"/>
  <c r="AB35" i="64"/>
  <c r="AI35" i="64"/>
  <c r="AI32" i="64"/>
  <c r="AI31" i="64"/>
  <c r="BJ31" i="64" s="1"/>
  <c r="AI30" i="64"/>
  <c r="BJ30" i="64" s="1"/>
  <c r="AI29" i="64"/>
  <c r="BJ29" i="64" s="1"/>
  <c r="E20" i="42"/>
  <c r="E37" i="58"/>
  <c r="I33" i="64" s="1"/>
  <c r="E21" i="42"/>
  <c r="E38" i="58"/>
  <c r="I34" i="64" s="1"/>
  <c r="E22" i="42"/>
  <c r="E39" i="58"/>
  <c r="I35" i="64" s="1"/>
  <c r="E16" i="42"/>
  <c r="E33" i="58"/>
  <c r="I29" i="64" s="1"/>
  <c r="E18" i="42"/>
  <c r="E35" i="58"/>
  <c r="I31" i="64" s="1"/>
  <c r="E17" i="42"/>
  <c r="E34" i="58"/>
  <c r="I30" i="64" s="1"/>
  <c r="E19" i="42"/>
  <c r="E36" i="58"/>
  <c r="I32" i="64" s="1"/>
  <c r="AY22" i="42"/>
  <c r="BG22" i="42" s="1"/>
  <c r="P39" i="58"/>
  <c r="AC35" i="64" s="1"/>
  <c r="AW19" i="42"/>
  <c r="BE19" i="42" s="1"/>
  <c r="P36" i="58"/>
  <c r="AC32" i="64" s="1"/>
  <c r="AZ20" i="42"/>
  <c r="BH20" i="42" s="1"/>
  <c r="AG37" i="58" s="1"/>
  <c r="V37" i="58"/>
  <c r="AZ21" i="42"/>
  <c r="BH21" i="42" s="1"/>
  <c r="AG38" i="58" s="1"/>
  <c r="V38" i="58"/>
  <c r="X34" i="58"/>
  <c r="X33" i="58"/>
  <c r="X35" i="58"/>
  <c r="AZ17" i="42"/>
  <c r="BH17" i="42" s="1"/>
  <c r="AG34" i="58" s="1"/>
  <c r="V18" i="42"/>
  <c r="O35" i="58" s="1"/>
  <c r="AT19" i="42"/>
  <c r="U36" i="58" s="1"/>
  <c r="AY18" i="42"/>
  <c r="BG18" i="42" s="1"/>
  <c r="AV16" i="42"/>
  <c r="W33" i="58" s="1"/>
  <c r="AJ29" i="64" s="1"/>
  <c r="AL18" i="42"/>
  <c r="S35" i="58" s="1"/>
  <c r="AF31" i="64" s="1"/>
  <c r="AZ16" i="42"/>
  <c r="BH16" i="42" s="1"/>
  <c r="AG33" i="58" s="1"/>
  <c r="AV17" i="42"/>
  <c r="AD18" i="42"/>
  <c r="Q35" i="58" s="1"/>
  <c r="AD31" i="64" s="1"/>
  <c r="AY17" i="42"/>
  <c r="BG17" i="42" s="1"/>
  <c r="AZ18" i="42"/>
  <c r="BH18" i="42" s="1"/>
  <c r="AG35" i="58" s="1"/>
  <c r="AL19" i="42"/>
  <c r="S36" i="58" s="1"/>
  <c r="AF32" i="64" s="1"/>
  <c r="AX19" i="42"/>
  <c r="BF19" i="42" s="1"/>
  <c r="AV20" i="42"/>
  <c r="W37" i="58" s="1"/>
  <c r="AJ33" i="64" s="1"/>
  <c r="AD19" i="42"/>
  <c r="Q36" i="58" s="1"/>
  <c r="AD32" i="64" s="1"/>
  <c r="AV21" i="42"/>
  <c r="AT18" i="42"/>
  <c r="U35" i="58" s="1"/>
  <c r="AV22" i="42"/>
  <c r="AZ22" i="42"/>
  <c r="BH22" i="42" s="1"/>
  <c r="AG39" i="58" s="1"/>
  <c r="AX16" i="42"/>
  <c r="BF16" i="42" s="1"/>
  <c r="AW17" i="42"/>
  <c r="BE17" i="42" s="1"/>
  <c r="AW18" i="42"/>
  <c r="BE18" i="42" s="1"/>
  <c r="AY19" i="42"/>
  <c r="BG19" i="42" s="1"/>
  <c r="AW22" i="42"/>
  <c r="BE22" i="42" s="1"/>
  <c r="AW16" i="42"/>
  <c r="AY16" i="42"/>
  <c r="BG16" i="42" s="1"/>
  <c r="AX17" i="42"/>
  <c r="BF17" i="42" s="1"/>
  <c r="AX18" i="42"/>
  <c r="BF18" i="42" s="1"/>
  <c r="AZ19" i="42"/>
  <c r="BH19" i="42" s="1"/>
  <c r="AG36" i="58" s="1"/>
  <c r="AX22" i="42"/>
  <c r="BF22" i="42" s="1"/>
  <c r="BI34" i="64" l="1"/>
  <c r="BI35" i="64"/>
  <c r="BI29" i="64"/>
  <c r="BI30" i="64"/>
  <c r="BK30" i="64" s="1"/>
  <c r="AH32" i="64"/>
  <c r="BI32" i="64" s="1"/>
  <c r="AB31" i="64"/>
  <c r="BJ32" i="64"/>
  <c r="BL32" i="64" s="1"/>
  <c r="BM32" i="64" s="1"/>
  <c r="AH31" i="64"/>
  <c r="BJ35" i="64"/>
  <c r="BL35" i="64" s="1"/>
  <c r="BM35" i="64" s="1"/>
  <c r="X38" i="58"/>
  <c r="AI34" i="64"/>
  <c r="BJ34" i="64" s="1"/>
  <c r="X37" i="58"/>
  <c r="AI33" i="64"/>
  <c r="BJ33" i="64" s="1"/>
  <c r="BL31" i="64"/>
  <c r="BM31" i="64" s="1"/>
  <c r="BL30" i="64"/>
  <c r="BM30" i="64" s="1"/>
  <c r="BK29" i="64"/>
  <c r="BL29" i="64"/>
  <c r="BM29" i="64" s="1"/>
  <c r="AK31" i="64"/>
  <c r="AK30" i="64"/>
  <c r="AK29" i="64"/>
  <c r="Y33" i="58"/>
  <c r="AL29" i="64" s="1"/>
  <c r="X36" i="58"/>
  <c r="X39" i="58"/>
  <c r="BE16" i="42"/>
  <c r="BA16" i="42"/>
  <c r="Z35" i="58"/>
  <c r="BC22" i="42"/>
  <c r="W39" i="58"/>
  <c r="AJ35" i="64" s="1"/>
  <c r="Z33" i="58"/>
  <c r="BA21" i="42"/>
  <c r="W38" i="58"/>
  <c r="AJ34" i="64" s="1"/>
  <c r="BD17" i="42"/>
  <c r="AD34" i="58" s="1"/>
  <c r="W34" i="58"/>
  <c r="AJ30" i="64" s="1"/>
  <c r="F14" i="69" s="1"/>
  <c r="Z34" i="58"/>
  <c r="BD21" i="42"/>
  <c r="AD38" i="58" s="1"/>
  <c r="BD20" i="42"/>
  <c r="AD37" i="58" s="1"/>
  <c r="BB21" i="42"/>
  <c r="BC21" i="42"/>
  <c r="AV18" i="42"/>
  <c r="W35" i="58" s="1"/>
  <c r="AJ31" i="64" s="1"/>
  <c r="AV19" i="42"/>
  <c r="W36" i="58" s="1"/>
  <c r="AJ32" i="64" s="1"/>
  <c r="BC20" i="42"/>
  <c r="BD16" i="42"/>
  <c r="AD33" i="58" s="1"/>
  <c r="BD22" i="42"/>
  <c r="AD39" i="58" s="1"/>
  <c r="BB20" i="42"/>
  <c r="BA20" i="42"/>
  <c r="BC17" i="42"/>
  <c r="BB16" i="42"/>
  <c r="BB22" i="42"/>
  <c r="BB17" i="42"/>
  <c r="BC16" i="42"/>
  <c r="BA22" i="42"/>
  <c r="BA17" i="42"/>
  <c r="G14" i="69" l="1"/>
  <c r="BK32" i="64"/>
  <c r="BI31" i="64"/>
  <c r="BK31" i="64" s="1"/>
  <c r="Z37" i="58"/>
  <c r="AH37" i="58" s="1"/>
  <c r="Y37" i="58"/>
  <c r="AL33" i="64" s="1"/>
  <c r="F16" i="69"/>
  <c r="AK33" i="64"/>
  <c r="F15" i="69"/>
  <c r="F44" i="63"/>
  <c r="Z38" i="58"/>
  <c r="AH38" i="58" s="1"/>
  <c r="D44" i="63"/>
  <c r="BN29" i="64"/>
  <c r="I14" i="69" s="1"/>
  <c r="G15" i="63"/>
  <c r="Y34" i="58"/>
  <c r="AL30" i="64" s="1"/>
  <c r="H14" i="69" s="1"/>
  <c r="Y38" i="58"/>
  <c r="AL34" i="64" s="1"/>
  <c r="BN31" i="64"/>
  <c r="D15" i="67" s="1"/>
  <c r="BK35" i="64"/>
  <c r="AK34" i="64"/>
  <c r="Y35" i="58"/>
  <c r="AL31" i="64" s="1"/>
  <c r="BL34" i="64"/>
  <c r="BM34" i="64" s="1"/>
  <c r="BK34" i="64"/>
  <c r="BK33" i="64"/>
  <c r="BL33" i="64"/>
  <c r="BM33" i="64" s="1"/>
  <c r="G44" i="63"/>
  <c r="AK35" i="64"/>
  <c r="Y39" i="58"/>
  <c r="AL35" i="64" s="1"/>
  <c r="AK32" i="64"/>
  <c r="G15" i="69" s="1"/>
  <c r="Y36" i="58"/>
  <c r="AL32" i="64" s="1"/>
  <c r="E15" i="63"/>
  <c r="F15" i="63"/>
  <c r="D15" i="63"/>
  <c r="BB18" i="42"/>
  <c r="Z36" i="58"/>
  <c r="AA36" i="58" s="1"/>
  <c r="BC19" i="42"/>
  <c r="BD19" i="42"/>
  <c r="AD36" i="58" s="1"/>
  <c r="AL89" i="60"/>
  <c r="Z39" i="58"/>
  <c r="AA39" i="58" s="1"/>
  <c r="AH35" i="58"/>
  <c r="AA35" i="58"/>
  <c r="AH34" i="58"/>
  <c r="AA34" i="58"/>
  <c r="AH33" i="58"/>
  <c r="AA33" i="58"/>
  <c r="AE33" i="58"/>
  <c r="BC18" i="42"/>
  <c r="BA18" i="42"/>
  <c r="BD18" i="42"/>
  <c r="AD35" i="58" s="1"/>
  <c r="BB19" i="42"/>
  <c r="BA19" i="42"/>
  <c r="AE37" i="58" l="1"/>
  <c r="AA37" i="58"/>
  <c r="H15" i="69"/>
  <c r="AA38" i="58"/>
  <c r="AB37" i="58" s="1"/>
  <c r="D14" i="67"/>
  <c r="D45" i="67" s="1"/>
  <c r="E44" i="63"/>
  <c r="H44" i="63" s="1"/>
  <c r="I44" i="63" s="1"/>
  <c r="G16" i="69"/>
  <c r="AE38" i="58"/>
  <c r="AE34" i="58"/>
  <c r="BB23" i="42"/>
  <c r="AM89" i="60"/>
  <c r="H16" i="69"/>
  <c r="M14" i="66"/>
  <c r="D46" i="67"/>
  <c r="I15" i="69"/>
  <c r="AB33" i="58"/>
  <c r="AE35" i="58"/>
  <c r="BN33" i="64"/>
  <c r="BO29" i="64" s="1"/>
  <c r="E14" i="67" s="1"/>
  <c r="D67" i="67" s="1"/>
  <c r="AE39" i="58"/>
  <c r="H15" i="63"/>
  <c r="I15" i="63" s="1"/>
  <c r="AH36" i="58"/>
  <c r="AB35" i="58"/>
  <c r="AE36" i="58"/>
  <c r="BC23" i="42"/>
  <c r="BD23" i="42"/>
  <c r="AH39" i="58"/>
  <c r="BA23" i="42"/>
  <c r="AV22" i="41"/>
  <c r="AT22" i="41"/>
  <c r="U19" i="58" s="1"/>
  <c r="AU22" i="41"/>
  <c r="V19" i="58" s="1"/>
  <c r="AM22" i="41"/>
  <c r="T19" i="58" s="1"/>
  <c r="AG19" i="64" s="1"/>
  <c r="AL22" i="41"/>
  <c r="S19" i="58" s="1"/>
  <c r="AF19" i="64" s="1"/>
  <c r="AE22" i="41"/>
  <c r="R19" i="58" s="1"/>
  <c r="AE19" i="64" s="1"/>
  <c r="AD22" i="41"/>
  <c r="Q19" i="58" s="1"/>
  <c r="AD19" i="64" s="1"/>
  <c r="W22" i="41"/>
  <c r="P19" i="58" s="1"/>
  <c r="AC19" i="64" s="1"/>
  <c r="V22" i="41"/>
  <c r="O19" i="58" s="1"/>
  <c r="F63" i="60" s="1"/>
  <c r="K63" i="60" s="1"/>
  <c r="M13" i="66" l="1"/>
  <c r="I16" i="69"/>
  <c r="AN89" i="60"/>
  <c r="C15" i="62" s="1"/>
  <c r="C12" i="70"/>
  <c r="N13" i="66" s="1"/>
  <c r="J14" i="69"/>
  <c r="AG63" i="60"/>
  <c r="AH19" i="64"/>
  <c r="AH63" i="60"/>
  <c r="AB19" i="64"/>
  <c r="D16" i="67"/>
  <c r="AJ63" i="60"/>
  <c r="AI63" i="60"/>
  <c r="AI19" i="64"/>
  <c r="BJ19" i="64" s="1"/>
  <c r="W19" i="58"/>
  <c r="AW22" i="41"/>
  <c r="AZ22" i="41"/>
  <c r="BH22" i="41" s="1"/>
  <c r="AG19" i="58" s="1"/>
  <c r="AY22" i="41"/>
  <c r="BG22" i="41" s="1"/>
  <c r="AX22" i="41"/>
  <c r="BF22" i="41" s="1"/>
  <c r="I17" i="41"/>
  <c r="E23" i="59" s="1"/>
  <c r="D58" i="60" s="1"/>
  <c r="I18" i="41"/>
  <c r="E24" i="59" s="1"/>
  <c r="D59" i="60" s="1"/>
  <c r="I19" i="41"/>
  <c r="E25" i="59" s="1"/>
  <c r="D60" i="60" s="1"/>
  <c r="I20" i="41"/>
  <c r="E26" i="59" s="1"/>
  <c r="D61" i="60" s="1"/>
  <c r="I21" i="41"/>
  <c r="E27" i="59" s="1"/>
  <c r="D62" i="60" s="1"/>
  <c r="I22" i="41"/>
  <c r="E28" i="59" s="1"/>
  <c r="D63" i="60" s="1"/>
  <c r="I23" i="41"/>
  <c r="E29" i="59" s="1"/>
  <c r="D64" i="60" s="1"/>
  <c r="I24" i="41"/>
  <c r="E30" i="59" s="1"/>
  <c r="D65" i="60" s="1"/>
  <c r="I25" i="41"/>
  <c r="E31" i="59" s="1"/>
  <c r="D66" i="60" s="1"/>
  <c r="I26" i="41"/>
  <c r="E32" i="59" s="1"/>
  <c r="D67" i="60" s="1"/>
  <c r="I27" i="41"/>
  <c r="E33" i="59" s="1"/>
  <c r="D68" i="60" s="1"/>
  <c r="I28" i="41"/>
  <c r="E34" i="59" s="1"/>
  <c r="D69" i="60" s="1"/>
  <c r="I29" i="41"/>
  <c r="E35" i="59" s="1"/>
  <c r="D70" i="60" s="1"/>
  <c r="I30" i="41"/>
  <c r="E36" i="59" s="1"/>
  <c r="D71" i="60" s="1"/>
  <c r="I31" i="41"/>
  <c r="E37" i="59" s="1"/>
  <c r="D72" i="60" s="1"/>
  <c r="I32" i="41"/>
  <c r="E38" i="59" s="1"/>
  <c r="D73" i="60" s="1"/>
  <c r="I33" i="41"/>
  <c r="E39" i="59" s="1"/>
  <c r="D74" i="60" s="1"/>
  <c r="I34" i="41"/>
  <c r="E40" i="59" s="1"/>
  <c r="D75" i="60" s="1"/>
  <c r="I35" i="41"/>
  <c r="E41" i="59" s="1"/>
  <c r="D76" i="60" s="1"/>
  <c r="I16" i="41"/>
  <c r="E22" i="59" s="1"/>
  <c r="D57" i="60" s="1"/>
  <c r="H17" i="41"/>
  <c r="H18" i="41"/>
  <c r="H19" i="41"/>
  <c r="H20" i="41"/>
  <c r="H21" i="41"/>
  <c r="H22" i="41"/>
  <c r="H23" i="41"/>
  <c r="H24" i="41"/>
  <c r="H25" i="41"/>
  <c r="H26" i="41"/>
  <c r="H27" i="41"/>
  <c r="H28" i="41"/>
  <c r="H29" i="41"/>
  <c r="H30" i="41"/>
  <c r="H31" i="41"/>
  <c r="H32" i="41"/>
  <c r="H33" i="41"/>
  <c r="H34" i="41"/>
  <c r="H35" i="41"/>
  <c r="H16" i="41"/>
  <c r="Q23" i="59"/>
  <c r="E58" i="60" s="1"/>
  <c r="Q24" i="59"/>
  <c r="E59" i="60" s="1"/>
  <c r="Q25" i="59"/>
  <c r="E60" i="60" s="1"/>
  <c r="Q26" i="59"/>
  <c r="E61" i="60" s="1"/>
  <c r="Q27" i="59"/>
  <c r="E62" i="60" s="1"/>
  <c r="Q28" i="59"/>
  <c r="E63" i="60" s="1"/>
  <c r="Q29" i="59"/>
  <c r="E64" i="60" s="1"/>
  <c r="Q30" i="59"/>
  <c r="E65" i="60" s="1"/>
  <c r="Q31" i="59"/>
  <c r="E66" i="60" s="1"/>
  <c r="Q32" i="59"/>
  <c r="E67" i="60" s="1"/>
  <c r="Q33" i="59"/>
  <c r="E68" i="60" s="1"/>
  <c r="Q34" i="59"/>
  <c r="E69" i="60" s="1"/>
  <c r="Q35" i="59"/>
  <c r="E70" i="60" s="1"/>
  <c r="Q36" i="59"/>
  <c r="E71" i="60" s="1"/>
  <c r="Q37" i="59"/>
  <c r="E72" i="60" s="1"/>
  <c r="Q38" i="59"/>
  <c r="E73" i="60" s="1"/>
  <c r="Q39" i="59"/>
  <c r="E74" i="60" s="1"/>
  <c r="Q40" i="59"/>
  <c r="E75" i="60" s="1"/>
  <c r="Q41" i="59"/>
  <c r="E76" i="60" s="1"/>
  <c r="Q22" i="59"/>
  <c r="E57" i="60" s="1"/>
  <c r="E17" i="41"/>
  <c r="E18" i="41"/>
  <c r="E19" i="41"/>
  <c r="E20" i="41"/>
  <c r="E21" i="41"/>
  <c r="E22" i="41"/>
  <c r="E23" i="41"/>
  <c r="E24" i="41"/>
  <c r="E25" i="41"/>
  <c r="E26" i="41"/>
  <c r="E27" i="41"/>
  <c r="E28" i="41"/>
  <c r="E29" i="41"/>
  <c r="E30" i="41"/>
  <c r="E31" i="41"/>
  <c r="E32" i="41"/>
  <c r="E33" i="41"/>
  <c r="E34" i="41"/>
  <c r="E35" i="41"/>
  <c r="E16" i="41"/>
  <c r="D35" i="41"/>
  <c r="D34" i="41"/>
  <c r="D33" i="41"/>
  <c r="D32" i="41"/>
  <c r="D31" i="41"/>
  <c r="D30" i="41"/>
  <c r="D29" i="41"/>
  <c r="D28" i="41"/>
  <c r="D27" i="41"/>
  <c r="D26" i="41"/>
  <c r="D25" i="41"/>
  <c r="D24" i="41"/>
  <c r="D23" i="41"/>
  <c r="D22" i="41"/>
  <c r="D21" i="41"/>
  <c r="D20" i="41"/>
  <c r="D19" i="41"/>
  <c r="D18" i="41"/>
  <c r="D17" i="41"/>
  <c r="D16" i="41"/>
  <c r="BI19" i="64" l="1"/>
  <c r="AJ19" i="64"/>
  <c r="F11" i="69" s="1"/>
  <c r="D47" i="67"/>
  <c r="M15" i="66"/>
  <c r="BL19" i="64"/>
  <c r="BM19" i="64" s="1"/>
  <c r="BK19" i="64"/>
  <c r="BB22" i="41"/>
  <c r="BC22" i="41"/>
  <c r="BD22" i="41"/>
  <c r="AD19" i="58" s="1"/>
  <c r="BA22" i="41"/>
  <c r="BE22" i="41"/>
  <c r="X19" i="58"/>
  <c r="Z19" i="58" s="1"/>
  <c r="AU35" i="41"/>
  <c r="V32" i="58" s="1"/>
  <c r="AT35" i="41"/>
  <c r="U32" i="58" s="1"/>
  <c r="AM35" i="41"/>
  <c r="T32" i="58" s="1"/>
  <c r="AG28" i="64" s="1"/>
  <c r="AL35" i="41"/>
  <c r="S32" i="58" s="1"/>
  <c r="AF28" i="64" s="1"/>
  <c r="AE35" i="41"/>
  <c r="R32" i="58" s="1"/>
  <c r="AE28" i="64" s="1"/>
  <c r="AD35" i="41"/>
  <c r="Q32" i="58" s="1"/>
  <c r="AD28" i="64" s="1"/>
  <c r="W35" i="41"/>
  <c r="V35" i="41"/>
  <c r="O32" i="58" s="1"/>
  <c r="F76" i="60" s="1"/>
  <c r="K76" i="60" s="1"/>
  <c r="R41" i="59"/>
  <c r="AU34" i="41"/>
  <c r="V31" i="58" s="1"/>
  <c r="AT34" i="41"/>
  <c r="U31" i="58" s="1"/>
  <c r="AM34" i="41"/>
  <c r="T31" i="58" s="1"/>
  <c r="AG27" i="64" s="1"/>
  <c r="AL34" i="41"/>
  <c r="S31" i="58" s="1"/>
  <c r="AF27" i="64" s="1"/>
  <c r="AE34" i="41"/>
  <c r="R31" i="58" s="1"/>
  <c r="AE27" i="64" s="1"/>
  <c r="AD34" i="41"/>
  <c r="Q31" i="58" s="1"/>
  <c r="AD27" i="64" s="1"/>
  <c r="W34" i="41"/>
  <c r="V34" i="41"/>
  <c r="O31" i="58" s="1"/>
  <c r="F75" i="60" s="1"/>
  <c r="K75" i="60" s="1"/>
  <c r="R40" i="59"/>
  <c r="AU33" i="41"/>
  <c r="V30" i="58" s="1"/>
  <c r="AT33" i="41"/>
  <c r="U30" i="58" s="1"/>
  <c r="AM33" i="41"/>
  <c r="T30" i="58" s="1"/>
  <c r="AG26" i="64" s="1"/>
  <c r="AL33" i="41"/>
  <c r="S30" i="58" s="1"/>
  <c r="AF26" i="64" s="1"/>
  <c r="AE33" i="41"/>
  <c r="R30" i="58" s="1"/>
  <c r="AE26" i="64" s="1"/>
  <c r="AD33" i="41"/>
  <c r="Q30" i="58" s="1"/>
  <c r="AD26" i="64" s="1"/>
  <c r="W33" i="41"/>
  <c r="V33" i="41"/>
  <c r="O30" i="58" s="1"/>
  <c r="F74" i="60" s="1"/>
  <c r="K74" i="60" s="1"/>
  <c r="R39" i="59"/>
  <c r="AU32" i="41"/>
  <c r="V29" i="58" s="1"/>
  <c r="AM32" i="41"/>
  <c r="T29" i="58" s="1"/>
  <c r="AG25" i="64" s="1"/>
  <c r="AL32" i="41"/>
  <c r="S29" i="58" s="1"/>
  <c r="AF25" i="64" s="1"/>
  <c r="AE32" i="41"/>
  <c r="R29" i="58" s="1"/>
  <c r="AE25" i="64" s="1"/>
  <c r="W32" i="41"/>
  <c r="R38" i="59"/>
  <c r="AU31" i="41"/>
  <c r="V28" i="58" s="1"/>
  <c r="AM31" i="41"/>
  <c r="T28" i="58" s="1"/>
  <c r="AG24" i="64" s="1"/>
  <c r="AE31" i="41"/>
  <c r="R28" i="58" s="1"/>
  <c r="AE24" i="64" s="1"/>
  <c r="W31" i="41"/>
  <c r="R37" i="59"/>
  <c r="AU30" i="41"/>
  <c r="V27" i="58" s="1"/>
  <c r="AT30" i="41"/>
  <c r="U27" i="58" s="1"/>
  <c r="AM30" i="41"/>
  <c r="T27" i="58" s="1"/>
  <c r="AG23" i="64" s="1"/>
  <c r="AL30" i="41"/>
  <c r="S27" i="58" s="1"/>
  <c r="AF23" i="64" s="1"/>
  <c r="AE30" i="41"/>
  <c r="R27" i="58" s="1"/>
  <c r="AE23" i="64" s="1"/>
  <c r="AD30" i="41"/>
  <c r="Q27" i="58" s="1"/>
  <c r="AD23" i="64" s="1"/>
  <c r="W30" i="41"/>
  <c r="V30" i="41"/>
  <c r="O27" i="58" s="1"/>
  <c r="F71" i="60" s="1"/>
  <c r="K71" i="60" s="1"/>
  <c r="R36" i="59"/>
  <c r="AU29" i="41"/>
  <c r="V26" i="58" s="1"/>
  <c r="AM29" i="41"/>
  <c r="T26" i="58" s="1"/>
  <c r="AG22" i="64" s="1"/>
  <c r="AE29" i="41"/>
  <c r="R26" i="58" s="1"/>
  <c r="AE22" i="64" s="1"/>
  <c r="W29" i="41"/>
  <c r="P26" i="58" s="1"/>
  <c r="AC22" i="64" s="1"/>
  <c r="R35" i="59"/>
  <c r="AU28" i="41"/>
  <c r="V25" i="58" s="1"/>
  <c r="AM28" i="41"/>
  <c r="T25" i="58" s="1"/>
  <c r="AG21" i="64" s="1"/>
  <c r="AE28" i="41"/>
  <c r="R25" i="58" s="1"/>
  <c r="AE21" i="64" s="1"/>
  <c r="W28" i="41"/>
  <c r="R34" i="59"/>
  <c r="AU27" i="41"/>
  <c r="V24" i="58" s="1"/>
  <c r="AM27" i="41"/>
  <c r="T24" i="58" s="1"/>
  <c r="AG20" i="64" s="1"/>
  <c r="AE27" i="41"/>
  <c r="R24" i="58" s="1"/>
  <c r="AE20" i="64" s="1"/>
  <c r="W27" i="41"/>
  <c r="V27" i="41"/>
  <c r="O24" i="58" s="1"/>
  <c r="F68" i="60" s="1"/>
  <c r="K68" i="60" s="1"/>
  <c r="AU26" i="41"/>
  <c r="V23" i="58" s="1"/>
  <c r="AT26" i="41"/>
  <c r="U23" i="58" s="1"/>
  <c r="AM26" i="41"/>
  <c r="T23" i="58" s="1"/>
  <c r="AG18" i="64" s="1"/>
  <c r="AL26" i="41"/>
  <c r="S23" i="58" s="1"/>
  <c r="AF18" i="64" s="1"/>
  <c r="AE26" i="41"/>
  <c r="R23" i="58" s="1"/>
  <c r="AE18" i="64" s="1"/>
  <c r="AD26" i="41"/>
  <c r="Q23" i="58" s="1"/>
  <c r="AD18" i="64" s="1"/>
  <c r="W26" i="41"/>
  <c r="V26" i="41"/>
  <c r="O23" i="58" s="1"/>
  <c r="F67" i="60" s="1"/>
  <c r="K67" i="60" s="1"/>
  <c r="R32" i="59"/>
  <c r="AU25" i="41"/>
  <c r="V22" i="58" s="1"/>
  <c r="AT25" i="41"/>
  <c r="U22" i="58" s="1"/>
  <c r="AM25" i="41"/>
  <c r="T22" i="58" s="1"/>
  <c r="AG17" i="64" s="1"/>
  <c r="AL25" i="41"/>
  <c r="S22" i="58" s="1"/>
  <c r="AF17" i="64" s="1"/>
  <c r="AE25" i="41"/>
  <c r="R22" i="58" s="1"/>
  <c r="AE17" i="64" s="1"/>
  <c r="AD25" i="41"/>
  <c r="Q22" i="58" s="1"/>
  <c r="AD17" i="64" s="1"/>
  <c r="W25" i="41"/>
  <c r="P22" i="58" s="1"/>
  <c r="AC17" i="64" s="1"/>
  <c r="V25" i="41"/>
  <c r="O22" i="58" s="1"/>
  <c r="F66" i="60" s="1"/>
  <c r="K66" i="60" s="1"/>
  <c r="R31" i="59"/>
  <c r="AU24" i="41"/>
  <c r="V21" i="58" s="1"/>
  <c r="AT24" i="41"/>
  <c r="U21" i="58" s="1"/>
  <c r="AM24" i="41"/>
  <c r="T21" i="58" s="1"/>
  <c r="AG16" i="64" s="1"/>
  <c r="AL24" i="41"/>
  <c r="S21" i="58" s="1"/>
  <c r="AF16" i="64" s="1"/>
  <c r="AE24" i="41"/>
  <c r="R21" i="58" s="1"/>
  <c r="AE16" i="64" s="1"/>
  <c r="AD24" i="41"/>
  <c r="Q21" i="58" s="1"/>
  <c r="AD16" i="64" s="1"/>
  <c r="W24" i="41"/>
  <c r="V24" i="41"/>
  <c r="O21" i="58" s="1"/>
  <c r="F65" i="60" s="1"/>
  <c r="K65" i="60" s="1"/>
  <c r="R30" i="59"/>
  <c r="AU23" i="41"/>
  <c r="V20" i="58" s="1"/>
  <c r="AT23" i="41"/>
  <c r="U20" i="58" s="1"/>
  <c r="AM23" i="41"/>
  <c r="T20" i="58" s="1"/>
  <c r="AG15" i="64" s="1"/>
  <c r="AL23" i="41"/>
  <c r="S20" i="58" s="1"/>
  <c r="AF15" i="64" s="1"/>
  <c r="AE23" i="41"/>
  <c r="R20" i="58" s="1"/>
  <c r="AE15" i="64" s="1"/>
  <c r="AD23" i="41"/>
  <c r="Q20" i="58" s="1"/>
  <c r="AD15" i="64" s="1"/>
  <c r="W23" i="41"/>
  <c r="V23" i="41"/>
  <c r="O20" i="58" s="1"/>
  <c r="F64" i="60" s="1"/>
  <c r="K64" i="60" s="1"/>
  <c r="R29" i="59"/>
  <c r="R28" i="59"/>
  <c r="AU21" i="41"/>
  <c r="V18" i="58" s="1"/>
  <c r="AT21" i="41"/>
  <c r="U18" i="58" s="1"/>
  <c r="AM21" i="41"/>
  <c r="T18" i="58" s="1"/>
  <c r="AG14" i="64" s="1"/>
  <c r="AL21" i="41"/>
  <c r="S18" i="58" s="1"/>
  <c r="AF14" i="64" s="1"/>
  <c r="AE21" i="41"/>
  <c r="R18" i="58" s="1"/>
  <c r="AE14" i="64" s="1"/>
  <c r="AD21" i="41"/>
  <c r="Q18" i="58" s="1"/>
  <c r="AD14" i="64" s="1"/>
  <c r="W21" i="41"/>
  <c r="V21" i="41"/>
  <c r="O18" i="58" s="1"/>
  <c r="F62" i="60" s="1"/>
  <c r="K62" i="60" s="1"/>
  <c r="R27" i="59"/>
  <c r="AU20" i="41"/>
  <c r="V17" i="58" s="1"/>
  <c r="AM20" i="41"/>
  <c r="T17" i="58" s="1"/>
  <c r="AG13" i="64" s="1"/>
  <c r="AE20" i="41"/>
  <c r="R17" i="58" s="1"/>
  <c r="AE13" i="64" s="1"/>
  <c r="W20" i="41"/>
  <c r="R26" i="59"/>
  <c r="AU19" i="41"/>
  <c r="V16" i="58" s="1"/>
  <c r="AT19" i="41"/>
  <c r="U16" i="58" s="1"/>
  <c r="AM19" i="41"/>
  <c r="T16" i="58" s="1"/>
  <c r="AG12" i="64" s="1"/>
  <c r="AL19" i="41"/>
  <c r="S16" i="58" s="1"/>
  <c r="AF12" i="64" s="1"/>
  <c r="AE19" i="41"/>
  <c r="R16" i="58" s="1"/>
  <c r="AE12" i="64" s="1"/>
  <c r="AD19" i="41"/>
  <c r="Q16" i="58" s="1"/>
  <c r="AD12" i="64" s="1"/>
  <c r="W19" i="41"/>
  <c r="P16" i="58" s="1"/>
  <c r="AC12" i="64" s="1"/>
  <c r="V19" i="41"/>
  <c r="O16" i="58" s="1"/>
  <c r="F60" i="60" s="1"/>
  <c r="K60" i="60" s="1"/>
  <c r="R25" i="59"/>
  <c r="AU18" i="41"/>
  <c r="V15" i="58" s="1"/>
  <c r="AM18" i="41"/>
  <c r="T15" i="58" s="1"/>
  <c r="AG11" i="64" s="1"/>
  <c r="AE18" i="41"/>
  <c r="R15" i="58" s="1"/>
  <c r="AE11" i="64" s="1"/>
  <c r="W18" i="41"/>
  <c r="P15" i="58" s="1"/>
  <c r="AC11" i="64" s="1"/>
  <c r="R24" i="59"/>
  <c r="AU17" i="41"/>
  <c r="V14" i="58" s="1"/>
  <c r="AM17" i="41"/>
  <c r="T14" i="58" s="1"/>
  <c r="AG10" i="64" s="1"/>
  <c r="AE17" i="41"/>
  <c r="R14" i="58" s="1"/>
  <c r="AE10" i="64" s="1"/>
  <c r="W17" i="41"/>
  <c r="R23" i="59"/>
  <c r="AU16" i="41"/>
  <c r="V13" i="58" s="1"/>
  <c r="AM16" i="41"/>
  <c r="T13" i="58" s="1"/>
  <c r="AE16" i="41"/>
  <c r="R13" i="58" s="1"/>
  <c r="AE9" i="64" s="1"/>
  <c r="W16" i="41"/>
  <c r="R22" i="59"/>
  <c r="B16" i="41" a="1"/>
  <c r="B16" i="41" s="1"/>
  <c r="AH62" i="60" l="1"/>
  <c r="AB14" i="64"/>
  <c r="AG64" i="60"/>
  <c r="AH15" i="64"/>
  <c r="AH76" i="60"/>
  <c r="AB28" i="64"/>
  <c r="AH12" i="64"/>
  <c r="AG60" i="60"/>
  <c r="AG65" i="60"/>
  <c r="AH16" i="64"/>
  <c r="AH64" i="60"/>
  <c r="AB15" i="64"/>
  <c r="AG66" i="60"/>
  <c r="AH17" i="64"/>
  <c r="AH60" i="60"/>
  <c r="AB12" i="64"/>
  <c r="AH65" i="60"/>
  <c r="AB16" i="64"/>
  <c r="AG67" i="60"/>
  <c r="AH18" i="64"/>
  <c r="AH66" i="60"/>
  <c r="AB17" i="64"/>
  <c r="AG74" i="60"/>
  <c r="AH26" i="64"/>
  <c r="AH67" i="60"/>
  <c r="AB18" i="64"/>
  <c r="AB20" i="64"/>
  <c r="AH23" i="64"/>
  <c r="AG71" i="60"/>
  <c r="AG75" i="60"/>
  <c r="AH27" i="64"/>
  <c r="AG62" i="60"/>
  <c r="AH14" i="64"/>
  <c r="AH74" i="60"/>
  <c r="AB26" i="64"/>
  <c r="AG76" i="60"/>
  <c r="AH28" i="64"/>
  <c r="AH71" i="60"/>
  <c r="AB23" i="64"/>
  <c r="AH75" i="60"/>
  <c r="AB27" i="64"/>
  <c r="AI76" i="60"/>
  <c r="AI28" i="64"/>
  <c r="AI75" i="60"/>
  <c r="AI27" i="64"/>
  <c r="AI74" i="60"/>
  <c r="AI26" i="64"/>
  <c r="AI73" i="60"/>
  <c r="AI25" i="64"/>
  <c r="AI24" i="64"/>
  <c r="AI72" i="60"/>
  <c r="AI71" i="60"/>
  <c r="AI23" i="64"/>
  <c r="AJ70" i="60"/>
  <c r="AI70" i="60"/>
  <c r="AI22" i="64"/>
  <c r="BJ22" i="64" s="1"/>
  <c r="AI21" i="64"/>
  <c r="AI69" i="60"/>
  <c r="AI68" i="60"/>
  <c r="AI20" i="64"/>
  <c r="AI67" i="60"/>
  <c r="AI18" i="64"/>
  <c r="AI66" i="60"/>
  <c r="AJ66" i="60"/>
  <c r="AI17" i="64"/>
  <c r="BJ17" i="64" s="1"/>
  <c r="AI65" i="60"/>
  <c r="AI16" i="64"/>
  <c r="AI64" i="60"/>
  <c r="AI15" i="64"/>
  <c r="AI62" i="60"/>
  <c r="AI14" i="64"/>
  <c r="AI13" i="64"/>
  <c r="AI61" i="60"/>
  <c r="AJ60" i="60"/>
  <c r="AI60" i="60"/>
  <c r="AI12" i="64"/>
  <c r="BJ12" i="64" s="1"/>
  <c r="AI11" i="64"/>
  <c r="BJ11" i="64" s="1"/>
  <c r="AJ59" i="60"/>
  <c r="AI59" i="60"/>
  <c r="AI10" i="64"/>
  <c r="AI58" i="60"/>
  <c r="AI9" i="64"/>
  <c r="AI57" i="60"/>
  <c r="AL19" i="64"/>
  <c r="H11" i="69" s="1"/>
  <c r="AK19" i="64"/>
  <c r="G11" i="69" s="1"/>
  <c r="AG9" i="64"/>
  <c r="AT16" i="41"/>
  <c r="U13" i="58" s="1"/>
  <c r="AD29" i="41"/>
  <c r="Q26" i="58" s="1"/>
  <c r="AD22" i="64" s="1"/>
  <c r="AT32" i="41"/>
  <c r="U29" i="58" s="1"/>
  <c r="X22" i="58"/>
  <c r="X15" i="58"/>
  <c r="X26" i="58"/>
  <c r="AW16" i="41"/>
  <c r="P13" i="58"/>
  <c r="AC9" i="64" s="1"/>
  <c r="AW17" i="41"/>
  <c r="P14" i="58"/>
  <c r="AC10" i="64" s="1"/>
  <c r="X16" i="58"/>
  <c r="AW27" i="41"/>
  <c r="P24" i="58"/>
  <c r="AC20" i="64" s="1"/>
  <c r="AY28" i="41"/>
  <c r="BG28" i="41" s="1"/>
  <c r="P25" i="58"/>
  <c r="AC21" i="64" s="1"/>
  <c r="AW30" i="41"/>
  <c r="P27" i="58"/>
  <c r="AC23" i="64" s="1"/>
  <c r="AY26" i="41"/>
  <c r="P23" i="58"/>
  <c r="AC18" i="64" s="1"/>
  <c r="AW21" i="41"/>
  <c r="P18" i="58"/>
  <c r="AC14" i="64" s="1"/>
  <c r="AZ31" i="41"/>
  <c r="BH31" i="41" s="1"/>
  <c r="AG28" i="58" s="1"/>
  <c r="P28" i="58"/>
  <c r="AC24" i="64" s="1"/>
  <c r="AW32" i="41"/>
  <c r="P29" i="58"/>
  <c r="AC25" i="64" s="1"/>
  <c r="AW33" i="41"/>
  <c r="P30" i="58"/>
  <c r="AC26" i="64" s="1"/>
  <c r="AL16" i="41"/>
  <c r="S13" i="58" s="1"/>
  <c r="AF9" i="64" s="1"/>
  <c r="AW20" i="41"/>
  <c r="P17" i="58"/>
  <c r="AC13" i="64" s="1"/>
  <c r="AW34" i="41"/>
  <c r="P31" i="58"/>
  <c r="AC27" i="64" s="1"/>
  <c r="AH83" i="58"/>
  <c r="AW23" i="41"/>
  <c r="P20" i="58"/>
  <c r="AC15" i="64" s="1"/>
  <c r="AW35" i="41"/>
  <c r="P32" i="58"/>
  <c r="AC28" i="64" s="1"/>
  <c r="AW24" i="41"/>
  <c r="P21" i="58"/>
  <c r="AC16" i="64" s="1"/>
  <c r="AT17" i="41"/>
  <c r="U14" i="58" s="1"/>
  <c r="AL27" i="41"/>
  <c r="S24" i="58" s="1"/>
  <c r="AF20" i="64" s="1"/>
  <c r="V28" i="41"/>
  <c r="O25" i="58" s="1"/>
  <c r="F69" i="60" s="1"/>
  <c r="K69" i="60" s="1"/>
  <c r="AL28" i="41"/>
  <c r="S25" i="58" s="1"/>
  <c r="AF21" i="64" s="1"/>
  <c r="V29" i="41"/>
  <c r="O26" i="58" s="1"/>
  <c r="F70" i="60" s="1"/>
  <c r="K70" i="60" s="1"/>
  <c r="AD18" i="41"/>
  <c r="Q15" i="58" s="1"/>
  <c r="AD11" i="64" s="1"/>
  <c r="AL29" i="41"/>
  <c r="V31" i="41"/>
  <c r="O28" i="58" s="1"/>
  <c r="F72" i="60" s="1"/>
  <c r="K72" i="60" s="1"/>
  <c r="AD27" i="41"/>
  <c r="Q24" i="58" s="1"/>
  <c r="AD20" i="64" s="1"/>
  <c r="AT27" i="41"/>
  <c r="U24" i="58" s="1"/>
  <c r="AT20" i="41"/>
  <c r="U17" i="58" s="1"/>
  <c r="AV19" i="41"/>
  <c r="W16" i="58" s="1"/>
  <c r="AD28" i="41"/>
  <c r="Q25" i="58" s="1"/>
  <c r="AD21" i="64" s="1"/>
  <c r="AT31" i="41"/>
  <c r="U28" i="58" s="1"/>
  <c r="AD32" i="41"/>
  <c r="Q29" i="58" s="1"/>
  <c r="AD25" i="64" s="1"/>
  <c r="AV35" i="41"/>
  <c r="W32" i="58" s="1"/>
  <c r="AJ28" i="64" s="1"/>
  <c r="AX35" i="41"/>
  <c r="BF35" i="41" s="1"/>
  <c r="AY31" i="41"/>
  <c r="BG31" i="41" s="1"/>
  <c r="AZ25" i="41"/>
  <c r="BH25" i="41" s="1"/>
  <c r="AG22" i="58" s="1"/>
  <c r="AZ24" i="41"/>
  <c r="BH24" i="41" s="1"/>
  <c r="AG21" i="58" s="1"/>
  <c r="AZ21" i="41"/>
  <c r="AX17" i="41"/>
  <c r="AD17" i="41"/>
  <c r="Q14" i="58" s="1"/>
  <c r="AD10" i="64" s="1"/>
  <c r="AL20" i="41"/>
  <c r="S17" i="58" s="1"/>
  <c r="AF13" i="64" s="1"/>
  <c r="AL31" i="41"/>
  <c r="S28" i="58" s="1"/>
  <c r="AF24" i="64" s="1"/>
  <c r="V16" i="41"/>
  <c r="O13" i="58" s="1"/>
  <c r="F57" i="60" s="1"/>
  <c r="K57" i="60" s="1"/>
  <c r="V20" i="41"/>
  <c r="O17" i="58" s="1"/>
  <c r="F61" i="60" s="1"/>
  <c r="K61" i="60" s="1"/>
  <c r="AT29" i="41"/>
  <c r="U26" i="58" s="1"/>
  <c r="V32" i="41"/>
  <c r="AY35" i="41"/>
  <c r="BG35" i="41" s="1"/>
  <c r="AD16" i="41"/>
  <c r="Q13" i="58" s="1"/>
  <c r="AD9" i="64" s="1"/>
  <c r="AY17" i="41"/>
  <c r="AY21" i="41"/>
  <c r="AZ32" i="41"/>
  <c r="BH32" i="41" s="1"/>
  <c r="AG29" i="58" s="1"/>
  <c r="V17" i="41"/>
  <c r="O14" i="58" s="1"/>
  <c r="F58" i="60" s="1"/>
  <c r="K58" i="60" s="1"/>
  <c r="AD20" i="41"/>
  <c r="Q17" i="58" s="1"/>
  <c r="AD13" i="64" s="1"/>
  <c r="AV25" i="41"/>
  <c r="W22" i="58" s="1"/>
  <c r="AJ17" i="64" s="1"/>
  <c r="AZ28" i="41"/>
  <c r="BH28" i="41" s="1"/>
  <c r="AG25" i="58" s="1"/>
  <c r="AV33" i="41"/>
  <c r="W30" i="58" s="1"/>
  <c r="AJ26" i="64" s="1"/>
  <c r="AZ33" i="41"/>
  <c r="BH33" i="41" s="1"/>
  <c r="AG30" i="58" s="1"/>
  <c r="V18" i="41"/>
  <c r="O15" i="58" s="1"/>
  <c r="F59" i="60" s="1"/>
  <c r="K59" i="60" s="1"/>
  <c r="AV26" i="41"/>
  <c r="W23" i="58" s="1"/>
  <c r="AZ26" i="41"/>
  <c r="AT28" i="41"/>
  <c r="U25" i="58" s="1"/>
  <c r="AV30" i="41"/>
  <c r="W27" i="58" s="1"/>
  <c r="AD31" i="41"/>
  <c r="Q28" i="58" s="1"/>
  <c r="AD24" i="64" s="1"/>
  <c r="AV34" i="41"/>
  <c r="W31" i="58" s="1"/>
  <c r="AJ27" i="64" s="1"/>
  <c r="AX18" i="41"/>
  <c r="AW18" i="41"/>
  <c r="AZ18" i="41"/>
  <c r="AY19" i="41"/>
  <c r="AX19" i="41"/>
  <c r="AW19" i="41"/>
  <c r="AW29" i="41"/>
  <c r="AY29" i="41"/>
  <c r="BG29" i="41" s="1"/>
  <c r="AX29" i="41"/>
  <c r="BF29" i="41" s="1"/>
  <c r="AZ19" i="41"/>
  <c r="AX30" i="41"/>
  <c r="BF30" i="41" s="1"/>
  <c r="AZ30" i="41"/>
  <c r="BH30" i="41" s="1"/>
  <c r="AG27" i="58" s="1"/>
  <c r="AY30" i="41"/>
  <c r="AY27" i="41"/>
  <c r="BG27" i="41" s="1"/>
  <c r="AZ27" i="41"/>
  <c r="BH27" i="41" s="1"/>
  <c r="AG24" i="58" s="1"/>
  <c r="AX32" i="41"/>
  <c r="BF32" i="41" s="1"/>
  <c r="AY32" i="41"/>
  <c r="BG32" i="41" s="1"/>
  <c r="AT18" i="41"/>
  <c r="U15" i="58" s="1"/>
  <c r="AV21" i="41"/>
  <c r="W18" i="58" s="1"/>
  <c r="AJ14" i="64" s="1"/>
  <c r="AX21" i="41"/>
  <c r="AV23" i="41"/>
  <c r="W20" i="58" s="1"/>
  <c r="AJ15" i="64" s="1"/>
  <c r="AV24" i="41"/>
  <c r="AX24" i="41"/>
  <c r="BF24" i="41" s="1"/>
  <c r="AX27" i="41"/>
  <c r="BF27" i="41" s="1"/>
  <c r="AZ16" i="41"/>
  <c r="AY16" i="41"/>
  <c r="AX16" i="41"/>
  <c r="AL17" i="41"/>
  <c r="S14" i="58" s="1"/>
  <c r="AF10" i="64" s="1"/>
  <c r="AL18" i="41"/>
  <c r="S15" i="58" s="1"/>
  <c r="AF11" i="64" s="1"/>
  <c r="AY18" i="41"/>
  <c r="AZ20" i="41"/>
  <c r="AY20" i="41"/>
  <c r="AX20" i="41"/>
  <c r="AZ23" i="41"/>
  <c r="AY23" i="41"/>
  <c r="AX23" i="41"/>
  <c r="AY24" i="41"/>
  <c r="BG24" i="41" s="1"/>
  <c r="AX25" i="41"/>
  <c r="BF25" i="41" s="1"/>
  <c r="AY25" i="41"/>
  <c r="BG25" i="41" s="1"/>
  <c r="AZ29" i="41"/>
  <c r="BH29" i="41" s="1"/>
  <c r="AG26" i="58" s="1"/>
  <c r="AX34" i="41"/>
  <c r="BF34" i="41" s="1"/>
  <c r="AZ34" i="41"/>
  <c r="BH34" i="41" s="1"/>
  <c r="AG31" i="58" s="1"/>
  <c r="AY34" i="41"/>
  <c r="BG34" i="41" s="1"/>
  <c r="AW26" i="41"/>
  <c r="AZ17" i="41"/>
  <c r="AW25" i="41"/>
  <c r="AX26" i="41"/>
  <c r="AW28" i="41"/>
  <c r="AW31" i="41"/>
  <c r="AX33" i="41"/>
  <c r="BF33" i="41" s="1"/>
  <c r="AZ35" i="41"/>
  <c r="AX28" i="41"/>
  <c r="BF28" i="41" s="1"/>
  <c r="AX31" i="41"/>
  <c r="BF31" i="41" s="1"/>
  <c r="AY33" i="41"/>
  <c r="BG33" i="41" s="1"/>
  <c r="BI27" i="64" l="1"/>
  <c r="BI15" i="64"/>
  <c r="BI26" i="64"/>
  <c r="BI16" i="64"/>
  <c r="BI17" i="64"/>
  <c r="BK17" i="64" s="1"/>
  <c r="BD35" i="41"/>
  <c r="AD32" i="58" s="1"/>
  <c r="BH35" i="41"/>
  <c r="AG32" i="58" s="1"/>
  <c r="AH59" i="60"/>
  <c r="AB11" i="64"/>
  <c r="AH57" i="60"/>
  <c r="AB9" i="64"/>
  <c r="AH13" i="64"/>
  <c r="AG61" i="60"/>
  <c r="AH69" i="60"/>
  <c r="AB21" i="64"/>
  <c r="BJ9" i="64"/>
  <c r="BL9" i="64" s="1"/>
  <c r="BM9" i="64" s="1"/>
  <c r="BJ15" i="64"/>
  <c r="AJ69" i="60"/>
  <c r="AJ74" i="60"/>
  <c r="AH20" i="64"/>
  <c r="BI20" i="64" s="1"/>
  <c r="AG68" i="60"/>
  <c r="X13" i="58"/>
  <c r="BJ18" i="64"/>
  <c r="BL18" i="64" s="1"/>
  <c r="BM18" i="64" s="1"/>
  <c r="BJ21" i="64"/>
  <c r="BL21" i="64" s="1"/>
  <c r="BM21" i="64" s="1"/>
  <c r="AJ72" i="60"/>
  <c r="BJ27" i="64"/>
  <c r="BL27" i="64" s="1"/>
  <c r="BM27" i="64" s="1"/>
  <c r="AH10" i="64"/>
  <c r="AG58" i="60"/>
  <c r="AJ58" i="60"/>
  <c r="AJ64" i="60"/>
  <c r="AJ67" i="60"/>
  <c r="BJ24" i="64"/>
  <c r="BL24" i="64" s="1"/>
  <c r="BM24" i="64" s="1"/>
  <c r="AJ75" i="60"/>
  <c r="BI28" i="64"/>
  <c r="F13" i="69"/>
  <c r="AH72" i="60"/>
  <c r="AB24" i="64"/>
  <c r="AH25" i="64"/>
  <c r="AG73" i="60"/>
  <c r="BJ10" i="64"/>
  <c r="BL10" i="64" s="1"/>
  <c r="BM10" i="64" s="1"/>
  <c r="AJ61" i="60"/>
  <c r="BJ16" i="64"/>
  <c r="BL16" i="64" s="1"/>
  <c r="BM16" i="64" s="1"/>
  <c r="BJ25" i="64"/>
  <c r="BL25" i="64" s="1"/>
  <c r="BM25" i="64" s="1"/>
  <c r="AH68" i="60"/>
  <c r="BC30" i="41"/>
  <c r="BG30" i="41"/>
  <c r="BJ13" i="64"/>
  <c r="BL13" i="64" s="1"/>
  <c r="BM13" i="64" s="1"/>
  <c r="BJ20" i="64"/>
  <c r="BL20" i="64" s="1"/>
  <c r="BM20" i="64" s="1"/>
  <c r="AJ73" i="60"/>
  <c r="BJ28" i="64"/>
  <c r="BL28" i="64" s="1"/>
  <c r="BM28" i="64" s="1"/>
  <c r="BI18" i="64"/>
  <c r="BK18" i="64" s="1"/>
  <c r="AH21" i="64"/>
  <c r="AG69" i="60"/>
  <c r="AH24" i="64"/>
  <c r="AG72" i="60"/>
  <c r="BJ14" i="64"/>
  <c r="BL14" i="64" s="1"/>
  <c r="BM14" i="64" s="1"/>
  <c r="AJ65" i="60"/>
  <c r="AJ68" i="60"/>
  <c r="BJ23" i="64"/>
  <c r="BL23" i="64" s="1"/>
  <c r="BM23" i="64" s="1"/>
  <c r="AJ76" i="60"/>
  <c r="AH11" i="64"/>
  <c r="AG59" i="60"/>
  <c r="AH58" i="60"/>
  <c r="AB10" i="64"/>
  <c r="BI10" i="64" s="1"/>
  <c r="AH22" i="64"/>
  <c r="AG70" i="60"/>
  <c r="AB22" i="64"/>
  <c r="AJ62" i="60"/>
  <c r="BJ26" i="64"/>
  <c r="BL26" i="64" s="1"/>
  <c r="BM26" i="64" s="1"/>
  <c r="BN26" i="64" s="1"/>
  <c r="BI23" i="64"/>
  <c r="BI12" i="64"/>
  <c r="BK12" i="64" s="1"/>
  <c r="BI14" i="64"/>
  <c r="AJ18" i="64"/>
  <c r="Y23" i="58"/>
  <c r="AH61" i="60"/>
  <c r="AB13" i="64"/>
  <c r="AH9" i="64"/>
  <c r="AG57" i="60"/>
  <c r="AJ57" i="60"/>
  <c r="AJ71" i="60"/>
  <c r="BL22" i="64"/>
  <c r="BM22" i="64" s="1"/>
  <c r="BL17" i="64"/>
  <c r="BM17" i="64" s="1"/>
  <c r="BL12" i="64"/>
  <c r="BM12" i="64" s="1"/>
  <c r="BL11" i="64"/>
  <c r="BM11" i="64" s="1"/>
  <c r="AK22" i="64"/>
  <c r="AK17" i="64"/>
  <c r="Y22" i="58"/>
  <c r="AL17" i="64" s="1"/>
  <c r="Z22" i="58"/>
  <c r="AA22" i="58" s="1"/>
  <c r="AK12" i="64"/>
  <c r="AK11" i="64"/>
  <c r="AJ23" i="64"/>
  <c r="AJ12" i="64"/>
  <c r="Y16" i="58"/>
  <c r="AL12" i="64" s="1"/>
  <c r="Z15" i="58"/>
  <c r="AA15" i="58" s="1"/>
  <c r="BC34" i="41"/>
  <c r="BD34" i="41"/>
  <c r="AD31" i="58" s="1"/>
  <c r="BD30" i="41"/>
  <c r="AD27" i="58" s="1"/>
  <c r="BB30" i="41"/>
  <c r="BD26" i="41"/>
  <c r="AD23" i="58" s="1"/>
  <c r="BC25" i="41"/>
  <c r="BB25" i="41"/>
  <c r="BC26" i="41"/>
  <c r="BC24" i="41"/>
  <c r="BD33" i="41"/>
  <c r="AD30" i="58" s="1"/>
  <c r="BB33" i="41"/>
  <c r="BB34" i="41"/>
  <c r="AV16" i="41"/>
  <c r="W13" i="58" s="1"/>
  <c r="BD24" i="41"/>
  <c r="AD21" i="58" s="1"/>
  <c r="BC33" i="41"/>
  <c r="BB24" i="41"/>
  <c r="Z26" i="58"/>
  <c r="AA26" i="58" s="1"/>
  <c r="AE41" i="58"/>
  <c r="X32" i="58"/>
  <c r="AE43" i="58"/>
  <c r="AN102" i="60"/>
  <c r="AE79" i="58"/>
  <c r="X18" i="58"/>
  <c r="X23" i="58"/>
  <c r="X25" i="58"/>
  <c r="AE69" i="58"/>
  <c r="AE94" i="58"/>
  <c r="X31" i="58"/>
  <c r="AE75" i="58"/>
  <c r="X28" i="58"/>
  <c r="X21" i="58"/>
  <c r="AE93" i="58"/>
  <c r="X20" i="58"/>
  <c r="Z20" i="58" s="1"/>
  <c r="X30" i="58"/>
  <c r="X24" i="58"/>
  <c r="Z24" i="58" s="1"/>
  <c r="AE82" i="58"/>
  <c r="AE81" i="58"/>
  <c r="AE62" i="58"/>
  <c r="AE80" i="58"/>
  <c r="AE83" i="58"/>
  <c r="X17" i="58"/>
  <c r="AE76" i="58"/>
  <c r="X29" i="58"/>
  <c r="AE63" i="58"/>
  <c r="AE19" i="58"/>
  <c r="AE61" i="58"/>
  <c r="X27" i="58"/>
  <c r="AE70" i="58"/>
  <c r="AN52" i="60"/>
  <c r="X14" i="58"/>
  <c r="AK10" i="64" s="1"/>
  <c r="BE33" i="41"/>
  <c r="BA33" i="41"/>
  <c r="BD25" i="41"/>
  <c r="AD22" i="58" s="1"/>
  <c r="AA70" i="58"/>
  <c r="AH70" i="58"/>
  <c r="BE20" i="41"/>
  <c r="AA62" i="58"/>
  <c r="AH62" i="58"/>
  <c r="AA75" i="58"/>
  <c r="AH75" i="58"/>
  <c r="BG18" i="41"/>
  <c r="W21" i="58"/>
  <c r="AJ16" i="64" s="1"/>
  <c r="BF23" i="41"/>
  <c r="BB23" i="41"/>
  <c r="BG21" i="41"/>
  <c r="BC21" i="41"/>
  <c r="BE32" i="41"/>
  <c r="AA63" i="58"/>
  <c r="AH63" i="58"/>
  <c r="BE27" i="41"/>
  <c r="AA59" i="58"/>
  <c r="Z16" i="58"/>
  <c r="AA80" i="58"/>
  <c r="AH80" i="58"/>
  <c r="BF18" i="41"/>
  <c r="BG17" i="41"/>
  <c r="AV31" i="41"/>
  <c r="W28" i="58" s="1"/>
  <c r="BH23" i="41"/>
  <c r="AG20" i="58" s="1"/>
  <c r="BD23" i="41"/>
  <c r="AD20" i="58" s="1"/>
  <c r="BG16" i="41"/>
  <c r="BA19" i="41"/>
  <c r="BE19" i="41"/>
  <c r="BB35" i="41"/>
  <c r="AH43" i="58"/>
  <c r="AA43" i="58"/>
  <c r="AB42" i="58" s="1"/>
  <c r="AH61" i="58"/>
  <c r="AA61" i="58"/>
  <c r="AH19" i="58"/>
  <c r="AA19" i="58"/>
  <c r="AA41" i="58"/>
  <c r="AB40" i="58" s="1"/>
  <c r="AH41" i="58"/>
  <c r="BF16" i="41"/>
  <c r="BE29" i="41"/>
  <c r="BH16" i="41"/>
  <c r="AG13" i="58" s="1"/>
  <c r="AA94" i="58"/>
  <c r="AH94" i="58"/>
  <c r="BE24" i="41"/>
  <c r="BA24" i="41"/>
  <c r="BE35" i="41"/>
  <c r="BA35" i="41"/>
  <c r="BE17" i="41"/>
  <c r="BE26" i="41"/>
  <c r="BA26" i="41"/>
  <c r="AH76" i="58"/>
  <c r="AA76" i="58"/>
  <c r="BG23" i="41"/>
  <c r="BC23" i="41"/>
  <c r="AV27" i="41"/>
  <c r="W24" i="58" s="1"/>
  <c r="BG20" i="41"/>
  <c r="AV28" i="41"/>
  <c r="W25" i="58" s="1"/>
  <c r="AV20" i="41"/>
  <c r="W17" i="58" s="1"/>
  <c r="BC19" i="41"/>
  <c r="BG19" i="41"/>
  <c r="BC35" i="41"/>
  <c r="BF17" i="41"/>
  <c r="AV29" i="41"/>
  <c r="W26" i="58" s="1"/>
  <c r="S26" i="58"/>
  <c r="AF22" i="64" s="1"/>
  <c r="AH79" i="58"/>
  <c r="AA79" i="58"/>
  <c r="BA21" i="41"/>
  <c r="BE21" i="41"/>
  <c r="BE30" i="41"/>
  <c r="BA30" i="41"/>
  <c r="AA69" i="58"/>
  <c r="AH69" i="58"/>
  <c r="BE18" i="41"/>
  <c r="BE31" i="41"/>
  <c r="BB21" i="41"/>
  <c r="BF21" i="41"/>
  <c r="BE28" i="41"/>
  <c r="BB26" i="41"/>
  <c r="BF20" i="41"/>
  <c r="BB19" i="41"/>
  <c r="BF19" i="41"/>
  <c r="BE25" i="41"/>
  <c r="BA25" i="41"/>
  <c r="BH17" i="41"/>
  <c r="AG14" i="58" s="1"/>
  <c r="BH20" i="41"/>
  <c r="AG17" i="58" s="1"/>
  <c r="BD19" i="41"/>
  <c r="AD16" i="58" s="1"/>
  <c r="BH19" i="41"/>
  <c r="AG16" i="58" s="1"/>
  <c r="BH18" i="41"/>
  <c r="AG15" i="58" s="1"/>
  <c r="AV32" i="41"/>
  <c r="W29" i="58" s="1"/>
  <c r="O29" i="58"/>
  <c r="F73" i="60" s="1"/>
  <c r="K73" i="60" s="1"/>
  <c r="BD21" i="41"/>
  <c r="AD18" i="58" s="1"/>
  <c r="BH21" i="41"/>
  <c r="AG18" i="58" s="1"/>
  <c r="AH82" i="58"/>
  <c r="AA82" i="58"/>
  <c r="AA93" i="58"/>
  <c r="AH93" i="58"/>
  <c r="BE23" i="41"/>
  <c r="BA23" i="41"/>
  <c r="BE34" i="41"/>
  <c r="BA34" i="41"/>
  <c r="AH81" i="58"/>
  <c r="AA81" i="58"/>
  <c r="BE16" i="41"/>
  <c r="AV18" i="41"/>
  <c r="W15" i="58" s="1"/>
  <c r="BH26" i="41"/>
  <c r="AG23" i="58" s="1"/>
  <c r="BG26" i="41"/>
  <c r="AV17" i="41"/>
  <c r="W14" i="58" s="1"/>
  <c r="AJ10" i="64" s="1"/>
  <c r="BF26" i="41"/>
  <c r="BK15" i="64" l="1"/>
  <c r="BL15" i="64"/>
  <c r="BM15" i="64" s="1"/>
  <c r="BN9" i="64" s="1"/>
  <c r="I10" i="69" s="1"/>
  <c r="C16" i="62"/>
  <c r="BK28" i="64"/>
  <c r="BK20" i="64"/>
  <c r="BK23" i="64"/>
  <c r="BK27" i="64"/>
  <c r="AE22" i="58"/>
  <c r="BI13" i="64"/>
  <c r="BK13" i="64" s="1"/>
  <c r="BK10" i="64"/>
  <c r="BK26" i="64"/>
  <c r="BK16" i="64"/>
  <c r="BK14" i="64"/>
  <c r="AH22" i="58"/>
  <c r="AE23" i="58"/>
  <c r="AK9" i="64"/>
  <c r="Z13" i="58"/>
  <c r="AH13" i="58" s="1"/>
  <c r="AB93" i="58"/>
  <c r="BI21" i="64"/>
  <c r="BK21" i="64" s="1"/>
  <c r="D13" i="67"/>
  <c r="BI9" i="64"/>
  <c r="BK9" i="64" s="1"/>
  <c r="BI22" i="64"/>
  <c r="BK22" i="64" s="1"/>
  <c r="BI24" i="64"/>
  <c r="BK24" i="64" s="1"/>
  <c r="AL18" i="64"/>
  <c r="AH70" i="60"/>
  <c r="BI11" i="64"/>
  <c r="BK11" i="64" s="1"/>
  <c r="AH73" i="60"/>
  <c r="AB25" i="64"/>
  <c r="BI25" i="64" s="1"/>
  <c r="BK25" i="64" s="1"/>
  <c r="BN20" i="64"/>
  <c r="I12" i="69" s="1"/>
  <c r="AH15" i="58"/>
  <c r="BC16" i="41"/>
  <c r="AB61" i="58"/>
  <c r="C13" i="62"/>
  <c r="AN44" i="60"/>
  <c r="C12" i="62" s="1"/>
  <c r="AB69" i="58"/>
  <c r="AK28" i="64"/>
  <c r="Y32" i="58"/>
  <c r="AL28" i="64" s="1"/>
  <c r="Z32" i="58"/>
  <c r="AH32" i="58" s="1"/>
  <c r="AK27" i="64"/>
  <c r="Y31" i="58"/>
  <c r="AL27" i="64" s="1"/>
  <c r="Z31" i="58"/>
  <c r="AH31" i="58" s="1"/>
  <c r="AK26" i="64"/>
  <c r="Y30" i="58"/>
  <c r="AL26" i="64" s="1"/>
  <c r="AK25" i="64"/>
  <c r="AK24" i="64"/>
  <c r="AK23" i="64"/>
  <c r="Y27" i="58"/>
  <c r="AL23" i="64" s="1"/>
  <c r="AK21" i="64"/>
  <c r="AK20" i="64"/>
  <c r="AK18" i="64"/>
  <c r="Z23" i="58"/>
  <c r="AH23" i="58" s="1"/>
  <c r="AK16" i="64"/>
  <c r="Y21" i="58"/>
  <c r="AL16" i="64" s="1"/>
  <c r="AK15" i="64"/>
  <c r="Y20" i="58"/>
  <c r="AE20" i="58" s="1"/>
  <c r="AK14" i="64"/>
  <c r="Y18" i="58"/>
  <c r="AL14" i="64" s="1"/>
  <c r="AK13" i="64"/>
  <c r="AJ25" i="64"/>
  <c r="Y29" i="58"/>
  <c r="AL25" i="64" s="1"/>
  <c r="AJ20" i="64"/>
  <c r="Y24" i="58"/>
  <c r="AL20" i="64" s="1"/>
  <c r="AJ24" i="64"/>
  <c r="Y28" i="58"/>
  <c r="AL24" i="64" s="1"/>
  <c r="BB28" i="41"/>
  <c r="AJ21" i="64"/>
  <c r="Y25" i="58"/>
  <c r="AL21" i="64" s="1"/>
  <c r="AJ22" i="64"/>
  <c r="Y26" i="58"/>
  <c r="AL22" i="64" s="1"/>
  <c r="AJ13" i="64"/>
  <c r="Y17" i="58"/>
  <c r="AL13" i="64" s="1"/>
  <c r="BC20" i="41"/>
  <c r="AJ11" i="64"/>
  <c r="Y15" i="58"/>
  <c r="AL11" i="64" s="1"/>
  <c r="BD20" i="41"/>
  <c r="AD17" i="58" s="1"/>
  <c r="BB20" i="41"/>
  <c r="AJ9" i="64"/>
  <c r="Y13" i="58"/>
  <c r="Y14" i="58"/>
  <c r="Z18" i="58"/>
  <c r="BB31" i="41"/>
  <c r="BB27" i="41"/>
  <c r="BA31" i="41"/>
  <c r="Z28" i="58"/>
  <c r="AH28" i="58" s="1"/>
  <c r="AH26" i="58"/>
  <c r="Z30" i="58"/>
  <c r="AH30" i="58" s="1"/>
  <c r="BA28" i="41"/>
  <c r="BA16" i="41"/>
  <c r="BD16" i="41"/>
  <c r="AD13" i="58" s="1"/>
  <c r="BB32" i="41"/>
  <c r="Z25" i="58"/>
  <c r="AH25" i="58" s="1"/>
  <c r="BB16" i="41"/>
  <c r="AN122" i="60"/>
  <c r="Z29" i="58"/>
  <c r="AA29" i="58" s="1"/>
  <c r="Z21" i="58"/>
  <c r="AA21" i="58" s="1"/>
  <c r="Z14" i="58"/>
  <c r="AH14" i="58" s="1"/>
  <c r="AN115" i="60"/>
  <c r="AN158" i="60"/>
  <c r="C22" i="62" s="1"/>
  <c r="Z17" i="58"/>
  <c r="AH17" i="58" s="1"/>
  <c r="Z27" i="58"/>
  <c r="AA27" i="58" s="1"/>
  <c r="AE16" i="58"/>
  <c r="AN148" i="60"/>
  <c r="C21" i="62" s="1"/>
  <c r="BA18" i="41"/>
  <c r="BC32" i="41"/>
  <c r="BC17" i="41"/>
  <c r="BC18" i="41"/>
  <c r="BB17" i="41"/>
  <c r="AH16" i="58"/>
  <c r="AA16" i="58"/>
  <c r="BA27" i="41"/>
  <c r="BA20" i="41"/>
  <c r="BD32" i="41"/>
  <c r="AD29" i="58" s="1"/>
  <c r="BB18" i="41"/>
  <c r="BC29" i="41"/>
  <c r="BB29" i="41"/>
  <c r="BC27" i="41"/>
  <c r="AA24" i="58"/>
  <c r="AH24" i="58"/>
  <c r="BD31" i="41"/>
  <c r="AD28" i="58" s="1"/>
  <c r="BD27" i="41"/>
  <c r="AD24" i="58" s="1"/>
  <c r="BD28" i="41"/>
  <c r="AD25" i="58" s="1"/>
  <c r="BA32" i="41"/>
  <c r="BC28" i="41"/>
  <c r="BD18" i="41"/>
  <c r="AD15" i="58" s="1"/>
  <c r="BD17" i="41"/>
  <c r="AD14" i="58" s="1"/>
  <c r="AH20" i="58"/>
  <c r="AA20" i="58"/>
  <c r="BD29" i="41"/>
  <c r="AD26" i="58" s="1"/>
  <c r="BA17" i="41"/>
  <c r="BA29" i="41"/>
  <c r="BC31" i="41"/>
  <c r="C18" i="62" l="1"/>
  <c r="F52" i="74"/>
  <c r="F57" i="62"/>
  <c r="F32" i="62"/>
  <c r="AL9" i="64"/>
  <c r="AE30" i="58"/>
  <c r="D43" i="63"/>
  <c r="D11" i="67"/>
  <c r="M10" i="66" s="1"/>
  <c r="AE21" i="58"/>
  <c r="F43" i="63"/>
  <c r="D44" i="67"/>
  <c r="M12" i="66"/>
  <c r="AA18" i="58"/>
  <c r="AH18" i="58"/>
  <c r="I13" i="69"/>
  <c r="D12" i="67"/>
  <c r="BO9" i="64"/>
  <c r="C11" i="70" s="1"/>
  <c r="N10" i="66" s="1"/>
  <c r="AE31" i="58"/>
  <c r="AA31" i="58"/>
  <c r="H13" i="69"/>
  <c r="G13" i="69"/>
  <c r="AE29" i="58"/>
  <c r="AA28" i="58"/>
  <c r="AE26" i="58"/>
  <c r="E43" i="63"/>
  <c r="AA23" i="58"/>
  <c r="G10" i="69"/>
  <c r="G43" i="63"/>
  <c r="G12" i="69"/>
  <c r="F10" i="69"/>
  <c r="AA32" i="58"/>
  <c r="AE32" i="58"/>
  <c r="AE28" i="58"/>
  <c r="AL15" i="64"/>
  <c r="AE17" i="58"/>
  <c r="AE13" i="58"/>
  <c r="H12" i="69"/>
  <c r="F12" i="69"/>
  <c r="AE24" i="58"/>
  <c r="AE15" i="58"/>
  <c r="AL10" i="64"/>
  <c r="AH29" i="58"/>
  <c r="G14" i="63"/>
  <c r="F14" i="63"/>
  <c r="E14" i="63"/>
  <c r="D14" i="63"/>
  <c r="C17" i="62"/>
  <c r="AE18" i="58"/>
  <c r="AA13" i="58"/>
  <c r="AE25" i="58"/>
  <c r="BB36" i="41"/>
  <c r="AE14" i="58"/>
  <c r="AA30" i="58"/>
  <c r="AA25" i="58"/>
  <c r="AH21" i="58"/>
  <c r="AA17" i="58"/>
  <c r="AA14" i="58"/>
  <c r="BC36" i="41"/>
  <c r="AH27" i="58"/>
  <c r="BD36" i="41"/>
  <c r="AM77" i="60"/>
  <c r="AE27" i="58"/>
  <c r="AL77" i="60"/>
  <c r="D47" i="74" s="1"/>
  <c r="BA36" i="41"/>
  <c r="O39" i="38"/>
  <c r="O38" i="38"/>
  <c r="O35" i="38"/>
  <c r="O36" i="38"/>
  <c r="O37" i="38"/>
  <c r="O40" i="38"/>
  <c r="O34" i="38"/>
  <c r="O33" i="38"/>
  <c r="O32" i="38"/>
  <c r="O30" i="38"/>
  <c r="O31" i="38"/>
  <c r="O24" i="38"/>
  <c r="O25" i="38"/>
  <c r="O26" i="38"/>
  <c r="O27" i="38"/>
  <c r="O28" i="38"/>
  <c r="O29" i="38"/>
  <c r="O23" i="38"/>
  <c r="O21" i="38"/>
  <c r="O22" i="38"/>
  <c r="O20" i="38"/>
  <c r="O17" i="38"/>
  <c r="O18" i="38"/>
  <c r="O14" i="38"/>
  <c r="O15" i="38"/>
  <c r="O16" i="38"/>
  <c r="C18" i="74" l="1"/>
  <c r="F32" i="74"/>
  <c r="F34" i="74" s="1"/>
  <c r="F57" i="74"/>
  <c r="F62" i="74" s="1"/>
  <c r="C25" i="74" s="1"/>
  <c r="D50" i="74"/>
  <c r="D62" i="74" s="1"/>
  <c r="D31" i="74"/>
  <c r="D34" i="74" s="1"/>
  <c r="D31" i="62"/>
  <c r="D50" i="62"/>
  <c r="E31" i="62"/>
  <c r="E50" i="62"/>
  <c r="D42" i="67"/>
  <c r="AB24" i="58"/>
  <c r="D43" i="67"/>
  <c r="M11" i="66"/>
  <c r="E11" i="67"/>
  <c r="D66" i="67" s="1"/>
  <c r="J10" i="69"/>
  <c r="H10" i="69"/>
  <c r="H43" i="63"/>
  <c r="I43" i="63" s="1"/>
  <c r="H14" i="63"/>
  <c r="I14" i="63" s="1"/>
  <c r="AN77" i="60"/>
  <c r="AB13" i="58"/>
  <c r="O13" i="38"/>
  <c r="F31" i="62" l="1"/>
  <c r="F50" i="62"/>
  <c r="C14" i="62"/>
  <c r="O16" i="37"/>
  <c r="R5" i="59" s="1"/>
  <c r="I19" i="37"/>
  <c r="E8" i="59" s="1"/>
  <c r="D15" i="60" s="1"/>
  <c r="I17" i="37"/>
  <c r="E6" i="59" s="1"/>
  <c r="D13" i="60" s="1"/>
  <c r="I18" i="37"/>
  <c r="E7" i="59" s="1"/>
  <c r="D14" i="60" s="1"/>
  <c r="I16" i="37"/>
  <c r="E5" i="59" s="1"/>
  <c r="D12" i="60" s="1"/>
  <c r="H17" i="37"/>
  <c r="H18" i="37"/>
  <c r="H19" i="37"/>
  <c r="H16" i="37"/>
  <c r="E17" i="37"/>
  <c r="E18" i="37"/>
  <c r="E19" i="37"/>
  <c r="E16" i="37"/>
  <c r="D19" i="37"/>
  <c r="D17" i="37"/>
  <c r="D18" i="37"/>
  <c r="D16" i="37"/>
  <c r="O58" i="38"/>
  <c r="O57" i="38"/>
  <c r="O56" i="38"/>
  <c r="O55" i="38"/>
  <c r="O96" i="38" l="1"/>
  <c r="O98" i="38"/>
  <c r="O99" i="38"/>
  <c r="AU16" i="37" l="1"/>
  <c r="V55" i="58" s="1"/>
  <c r="AT16" i="37"/>
  <c r="U55" i="58" s="1"/>
  <c r="AM16" i="37"/>
  <c r="T55" i="58" s="1"/>
  <c r="AL16" i="37"/>
  <c r="S55" i="58" s="1"/>
  <c r="AE16" i="37"/>
  <c r="AD16" i="37"/>
  <c r="Q55" i="58" s="1"/>
  <c r="W16" i="37"/>
  <c r="P55" i="58" s="1"/>
  <c r="V16" i="37"/>
  <c r="O55" i="58" s="1"/>
  <c r="AD51" i="64" l="1"/>
  <c r="O12" i="60"/>
  <c r="Y12" i="60"/>
  <c r="P12" i="60"/>
  <c r="G12" i="60"/>
  <c r="F12" i="60"/>
  <c r="K12" i="60" s="1"/>
  <c r="AF51" i="64"/>
  <c r="X12" i="60"/>
  <c r="AC12" i="60" s="1"/>
  <c r="AC51" i="64"/>
  <c r="I12" i="60"/>
  <c r="J12" i="60" s="1"/>
  <c r="H12" i="60"/>
  <c r="AG51" i="64"/>
  <c r="Z12" i="60"/>
  <c r="AH12" i="60"/>
  <c r="AB51" i="64"/>
  <c r="AG12" i="60"/>
  <c r="AH51" i="64"/>
  <c r="AI51" i="64"/>
  <c r="AI12" i="60"/>
  <c r="AX16" i="37"/>
  <c r="BF16" i="37" s="1"/>
  <c r="R55" i="58"/>
  <c r="AY16" i="37"/>
  <c r="BG16" i="37" s="1"/>
  <c r="AW16" i="37"/>
  <c r="BE16" i="37" s="1"/>
  <c r="AZ16" i="37"/>
  <c r="BH16" i="37" s="1"/>
  <c r="AG55" i="58" s="1"/>
  <c r="AV16" i="37"/>
  <c r="W55" i="58" s="1"/>
  <c r="AJ51" i="64" s="1"/>
  <c r="F24" i="69" s="1"/>
  <c r="AE51" i="64" l="1"/>
  <c r="Q12" i="60"/>
  <c r="AA12" i="60"/>
  <c r="R12" i="60"/>
  <c r="T12" i="60"/>
  <c r="AJ12" i="60"/>
  <c r="BJ51" i="64"/>
  <c r="BL51" i="64" s="1"/>
  <c r="BI51" i="64"/>
  <c r="X55" i="58"/>
  <c r="AL12" i="60"/>
  <c r="D9" i="63" s="1"/>
  <c r="BA16" i="37"/>
  <c r="BB16" i="37"/>
  <c r="BB20" i="37" s="1"/>
  <c r="BD16" i="37"/>
  <c r="BC16" i="37"/>
  <c r="BK51" i="64" l="1"/>
  <c r="Z55" i="58"/>
  <c r="Z100" i="58" s="1"/>
  <c r="L12" i="60"/>
  <c r="AD12" i="60"/>
  <c r="U12" i="60"/>
  <c r="BD20" i="37"/>
  <c r="AD55" i="58"/>
  <c r="BC20" i="37"/>
  <c r="BM51" i="64"/>
  <c r="BN51" i="64" s="1"/>
  <c r="BL95" i="64"/>
  <c r="AM12" i="60"/>
  <c r="AK51" i="64"/>
  <c r="G24" i="69" s="1"/>
  <c r="Y55" i="58"/>
  <c r="AL16" i="60"/>
  <c r="E9" i="63"/>
  <c r="E25" i="63" s="1"/>
  <c r="E28" i="63" s="1"/>
  <c r="G9" i="63"/>
  <c r="G25" i="63" s="1"/>
  <c r="E30" i="63" s="1"/>
  <c r="F9" i="63"/>
  <c r="F25" i="63" s="1"/>
  <c r="E29" i="63" s="1"/>
  <c r="AA55" i="58"/>
  <c r="AB55" i="58" s="1"/>
  <c r="AB100" i="58" s="1"/>
  <c r="BA20" i="37"/>
  <c r="D30" i="62" l="1"/>
  <c r="D34" i="62" s="1"/>
  <c r="D46" i="62"/>
  <c r="D62" i="62" s="1"/>
  <c r="AH55" i="58"/>
  <c r="D38" i="63"/>
  <c r="F38" i="63"/>
  <c r="F54" i="63" s="1"/>
  <c r="E58" i="63" s="1"/>
  <c r="I24" i="69"/>
  <c r="I49" i="69" s="1"/>
  <c r="D22" i="67"/>
  <c r="M21" i="66" s="1"/>
  <c r="M30" i="66" s="1"/>
  <c r="BO44" i="64"/>
  <c r="BN95" i="64"/>
  <c r="AM16" i="60"/>
  <c r="E38" i="63"/>
  <c r="E54" i="63" s="1"/>
  <c r="E57" i="63" s="1"/>
  <c r="G38" i="63"/>
  <c r="G54" i="63" s="1"/>
  <c r="E59" i="63" s="1"/>
  <c r="AE55" i="58"/>
  <c r="AN16" i="60"/>
  <c r="AL51" i="64"/>
  <c r="Y100" i="58"/>
  <c r="H9" i="63"/>
  <c r="D25" i="63"/>
  <c r="E46" i="62" l="1"/>
  <c r="E62" i="62" s="1"/>
  <c r="E30" i="62"/>
  <c r="E34" i="62" s="1"/>
  <c r="F30" i="62"/>
  <c r="F34" i="62" s="1"/>
  <c r="F46" i="62"/>
  <c r="F62" i="62" s="1"/>
  <c r="C25" i="62" s="1"/>
  <c r="C14" i="70"/>
  <c r="J23" i="69"/>
  <c r="J49" i="69" s="1"/>
  <c r="E21" i="67"/>
  <c r="BO95" i="64"/>
  <c r="D53" i="67"/>
  <c r="D31" i="67"/>
  <c r="H38" i="63"/>
  <c r="I38" i="63" s="1"/>
  <c r="D54" i="63"/>
  <c r="C9" i="62"/>
  <c r="H24" i="69"/>
  <c r="E27" i="63"/>
  <c r="E60" i="63" s="1"/>
  <c r="H25" i="63"/>
  <c r="C80" i="63"/>
  <c r="C9" i="63"/>
  <c r="I9" i="63" s="1"/>
  <c r="C16" i="70" l="1"/>
  <c r="N20" i="66"/>
  <c r="N30" i="66" s="1"/>
  <c r="D69" i="67"/>
  <c r="E31" i="67"/>
  <c r="E56" i="63"/>
  <c r="H54" i="63"/>
  <c r="I54" i="63" s="1"/>
  <c r="C34" i="62"/>
  <c r="C25" i="63"/>
  <c r="I25" i="6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LISETH MORALES R.</author>
  </authors>
  <commentList>
    <comment ref="AQ11" authorId="0" shapeId="0" xr:uid="{88B6E081-0862-4EE5-AA75-7E07DADD0D5E}">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20" authorId="0" shapeId="0" xr:uid="{84327220-119C-496F-9B3B-EE84DBB5948A}">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29" authorId="0" shapeId="0" xr:uid="{5AF63803-58D7-4CD9-9957-69D2162D4012}">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41" authorId="0" shapeId="0" xr:uid="{BC22D225-74C4-4FB3-BBEE-8CEBFC970D37}">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48" authorId="0" shapeId="0" xr:uid="{502209FD-29DE-4D0A-9C0F-16CE5418B66F}">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56" authorId="0" shapeId="0" xr:uid="{920EE34E-59B3-438C-A6C7-5771FC3998DD}">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81" authorId="0" shapeId="0" xr:uid="{E801D481-8B4B-4292-9754-8D699806DEBC}">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93" authorId="0" shapeId="0" xr:uid="{0AF7C1C9-AFDF-4381-A6C7-52F698837883}">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106" authorId="0" shapeId="0" xr:uid="{C7CF4E9F-B174-4940-B137-A7D829BD296C}">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119" authorId="0" shapeId="0" xr:uid="{7DBAE323-5439-44A3-89A4-59014664E4F0}">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126" authorId="0" shapeId="0" xr:uid="{1CDA4155-DE45-4A54-A48F-B8454DAF5A3B}">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134" authorId="0" shapeId="0" xr:uid="{E3683FE7-9BEF-4063-9484-CCC6F89D6993}">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143" authorId="0" shapeId="0" xr:uid="{AF135C7E-9F5B-4FC7-ABA5-32C62C3CCF13}">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152" authorId="0" shapeId="0" xr:uid="{23D12E52-3D3D-43D2-A559-6CEFFD13A388}">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162" authorId="0" shapeId="0" xr:uid="{7538BAED-26B1-4102-99FD-39BA77A13EF9}">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170" authorId="0" shapeId="0" xr:uid="{3BF44ADE-B43C-4CA0-A30E-35C0B206CA80}">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LISETH MORALES R.</author>
  </authors>
  <commentList>
    <comment ref="J4" authorId="0" shapeId="0" xr:uid="{A8889CC1-30E4-45F0-97A0-43F1CBE8A753}">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<sst xmlns="http://schemas.openxmlformats.org/spreadsheetml/2006/main" count="4818" uniqueCount="1232">
  <si>
    <t>OBJETIVO ESTRATÉGICO</t>
  </si>
  <si>
    <t>Secretaría General</t>
  </si>
  <si>
    <t>Oficina de Control Interno</t>
  </si>
  <si>
    <t>Oficina Asesora Jurídica</t>
  </si>
  <si>
    <t>PLAN OPERATIVO ANUAL</t>
  </si>
  <si>
    <t>ENERO</t>
  </si>
  <si>
    <t>FEBRERO</t>
  </si>
  <si>
    <t>MARZO</t>
  </si>
  <si>
    <t>TOTAL TRIMESTRE</t>
  </si>
  <si>
    <t>MAYO</t>
  </si>
  <si>
    <t>JUNIO</t>
  </si>
  <si>
    <t>JULIO</t>
  </si>
  <si>
    <t>AGOSTO</t>
  </si>
  <si>
    <t>SEPTIEMBRE</t>
  </si>
  <si>
    <t>OCTUBRE</t>
  </si>
  <si>
    <t>NOVIEMBRE</t>
  </si>
  <si>
    <t>DICIEMBRE</t>
  </si>
  <si>
    <t>Programado</t>
  </si>
  <si>
    <t>Ejecutado</t>
  </si>
  <si>
    <t>PROMEDIO</t>
  </si>
  <si>
    <t>PRODUCTO</t>
  </si>
  <si>
    <t>PRIMER TRIMESTRE</t>
  </si>
  <si>
    <t>SEGUNDO TRIMESTRE</t>
  </si>
  <si>
    <t>TERCER TRIMESTRE</t>
  </si>
  <si>
    <t>CUARTO TRIMESTRE</t>
  </si>
  <si>
    <t>LÍNEA BASE</t>
  </si>
  <si>
    <t xml:space="preserve">FECHA DE ELABORACIÓN: </t>
  </si>
  <si>
    <t xml:space="preserve">ABRIL </t>
  </si>
  <si>
    <t>Versión:</t>
  </si>
  <si>
    <t>Página:</t>
  </si>
  <si>
    <t>Vigente desde:</t>
  </si>
  <si>
    <r>
      <t xml:space="preserve">Código: </t>
    </r>
    <r>
      <rPr>
        <sz val="12"/>
        <color theme="1"/>
        <rFont val="Arial"/>
        <family val="2"/>
      </rPr>
      <t>01-FR-03</t>
    </r>
  </si>
  <si>
    <t>CAMPO</t>
  </si>
  <si>
    <t>DESCRIPCIÓN</t>
  </si>
  <si>
    <t>OBJETIVO DEL PROCESO:</t>
  </si>
  <si>
    <t>PRODUCTO:</t>
  </si>
  <si>
    <t>ACCIONES OPERATIVAS</t>
  </si>
  <si>
    <t>FECHA DE ELABORACIÓN:</t>
  </si>
  <si>
    <t>Registre el nombre completo y la denominación del empleo del (la) responsable del Proceso.</t>
  </si>
  <si>
    <t>FÓRMULA DEL  INDICADOR</t>
  </si>
  <si>
    <t>RECURSOS</t>
  </si>
  <si>
    <t>PROCESO RESPONSABLE</t>
  </si>
  <si>
    <t>DEPENDENCIA(S) RESPONSABLE(S)</t>
  </si>
  <si>
    <t>TOTAL PROGRAMADO
CUATRIENIO</t>
  </si>
  <si>
    <r>
      <t xml:space="preserve">PLAN OPERATIVO ANUAL -POA-
</t>
    </r>
    <r>
      <rPr>
        <b/>
        <sz val="18"/>
        <rFont val="Arial"/>
        <family val="2"/>
      </rPr>
      <t>(Plan de Acción Institucional)</t>
    </r>
  </si>
  <si>
    <t>PROCESO RESPONSABLE:</t>
  </si>
  <si>
    <t>INSTRUCCIONES PARA EL DILIGENCIAMIENTO DEL PLAN OPERATIVO ANUAL</t>
  </si>
  <si>
    <t>SECCIÓN PLAN OPERATIVO ANUAL INSTITUCIONAL</t>
  </si>
  <si>
    <t>ALCANCE: Aplica a todos los procesos institucionales de la Personería de Bogotá, D. C.</t>
  </si>
  <si>
    <t xml:space="preserve">FECHA DE ACTUALIZACIÓN: </t>
  </si>
  <si>
    <t>RESPONSABLE(S) DE PROCESO:</t>
  </si>
  <si>
    <t xml:space="preserve">ARTICULACIÓN CON 
DIMENSIÓN MIPG </t>
  </si>
  <si>
    <t>META ESTRATÉGICA
CUATRIENIO</t>
  </si>
  <si>
    <t>META 
POA</t>
  </si>
  <si>
    <t>META POA 
CUATRIENIO</t>
  </si>
  <si>
    <t>PESO PORCENTUAL
META POA</t>
  </si>
  <si>
    <t>MAGNITUD PROGRAMADA
META POA 
CUATRIENIO</t>
  </si>
  <si>
    <t>INDICADOR
META POA</t>
  </si>
  <si>
    <t>MAGNITUD PROGRAMADA META
POA AÑO</t>
  </si>
  <si>
    <t>AÑO</t>
  </si>
  <si>
    <t>INDICADOR META POA</t>
  </si>
  <si>
    <t xml:space="preserve">PESO PORCENTUAL
</t>
  </si>
  <si>
    <t>TOTAL PROGRAMADO
AÑO</t>
  </si>
  <si>
    <t>SECCIÓN PLAN OPERATIVO ANUAL POR PROCESOS</t>
  </si>
  <si>
    <t>OBJETIVO ESTRATÉGICO PROCESO:</t>
  </si>
  <si>
    <t>Registre el objetivo estratégico definido en la plataforma estratégica de la Entidad y en el mismo orden definido en el Plan Estratégico Institucional.</t>
  </si>
  <si>
    <t>Registre la(s) meta(s) que permitirá(n) la consecución del objetivo estratégico correspondiente. Utilice una fila diferente por cada meta (Esta meta corresponde a las ya definidas en el Plan Estratégico Institucional).</t>
  </si>
  <si>
    <t>Registre el valor porcentual de aporte de la Meta POA al cumplimiento de la Meta Estratégica relacionada.</t>
  </si>
  <si>
    <t>DEPENDENCIA(S) RESPONSABLE(S):</t>
  </si>
  <si>
    <t>LÍNEA DE BASE:</t>
  </si>
  <si>
    <t>LÍNEA DE BASE</t>
  </si>
  <si>
    <t>Registre el valor que se tiene como nivel de referencia para adelantar la medición. Unicamente en el caso de no disponer de información histórica ingrese S.I. (sin información).</t>
  </si>
  <si>
    <t>Señale el nombre del (los) indicador(es), de acuerdo con las variables de medición de la meta POA programada.</t>
  </si>
  <si>
    <t>Registre el nombre del proceso institucional responsable del cumplimiento de la meta POA</t>
  </si>
  <si>
    <t>Registre el (los) nombre(s) de la(s) Dependencia(s) responsable(s) en la consecución de las metas establecidas a la que pertenencen el responsable de proceso y/o responsables operativos .</t>
  </si>
  <si>
    <t>PROGRAMACIÓN CUATRIENIO</t>
  </si>
  <si>
    <t>PROGRAMACIÓN CUATRIENIO:</t>
  </si>
  <si>
    <t>TOTAL PROGRAMADO CUATRIENIO:</t>
  </si>
  <si>
    <t>PROCESOS</t>
  </si>
  <si>
    <t>DIRECCIONAMIENTO ESTRATÉGICO</t>
  </si>
  <si>
    <t>GESTIÓN DEL CONOCIMIENTO E INNOVACIÓN</t>
  </si>
  <si>
    <t>DIRECCIONAMIENTO TIC</t>
  </si>
  <si>
    <t>FECHA DE ACTUALIZACIÓN:</t>
  </si>
  <si>
    <t>Cuando se trate de la programación, registre la fecha en que ésta se realiza y se formaliza. La fecha se debe escribir con la estructura dd-mm-aaaa, teniendo en cuenta que los días y los meses tienen dos dígitos incluido el cero</t>
  </si>
  <si>
    <t>Cuando se trate de la programación, registre la fecha en que ésta se aprueba y se formaliza. La fecha se debe escribir con la estructura dd-mm-aaaa, teniendo en cuenta que los días y los meses tienen dos dígitos incluido el cero</t>
  </si>
  <si>
    <t>Registre el objetivo del Proceso, el cual debe transcribir de manera exacta tomado de la Caracterización de Proceso que se encuentre vigente.</t>
  </si>
  <si>
    <t>COMUNICACIÓN ESTRATÉGICA</t>
  </si>
  <si>
    <t>SERVICIO AL USUARIO</t>
  </si>
  <si>
    <t>PROMOCIÓN Y DEFENSA DE DERECHOS</t>
  </si>
  <si>
    <t>PREVENCIÓN Y CONTROL A LA FUNCIÓN PÚBLICA</t>
  </si>
  <si>
    <t>POTESTAD DISCIPLINARIA</t>
  </si>
  <si>
    <t>GESTIÓN DEL TALENTO HUMANO</t>
  </si>
  <si>
    <t>GESTIÓN ADMINISTRATIVA</t>
  </si>
  <si>
    <t>GESTIÓN FINANCIERA</t>
  </si>
  <si>
    <t>GESTIÓN CONTRACTUAL</t>
  </si>
  <si>
    <t>GESTIÓN DOCUMENTAL</t>
  </si>
  <si>
    <t xml:space="preserve">GESTIÓN JURIDICA </t>
  </si>
  <si>
    <t>CONTROL DISCIPLINARIO INTERNO</t>
  </si>
  <si>
    <t>EVALUACIÓN Y SEGUIMIENTO</t>
  </si>
  <si>
    <t>Seleccione de la lista</t>
  </si>
  <si>
    <t>Seleccione de la lista desplegable el nombre del proceso institucional a cargo.</t>
  </si>
  <si>
    <t>AÑO:</t>
  </si>
  <si>
    <t>Seleccione de la lista desplegable el año que se detalla.</t>
  </si>
  <si>
    <t>Estos campos se completan de manera automática tomando la información registrada en la página 1 del formato (sección Plan Operativo Anual Institucional).</t>
  </si>
  <si>
    <t>FÓRMULA DEL INDICADOR</t>
  </si>
  <si>
    <t>Registre la formula del indicador, señalando las variables que entreguen información cuantitativa respecto del desempeño (gestión o resultados) en el cumplimiento de la meta POA programada.</t>
  </si>
  <si>
    <t>Registre las acciones relevantes y necesarias para dar cumplimiento a la meta POA definida.</t>
  </si>
  <si>
    <r>
      <t xml:space="preserve">Señale cuáles son los </t>
    </r>
    <r>
      <rPr>
        <b/>
        <sz val="12"/>
        <rFont val="Arial"/>
        <family val="2"/>
      </rPr>
      <t>productos finales</t>
    </r>
    <r>
      <rPr>
        <sz val="12"/>
        <rFont val="Arial"/>
        <family val="2"/>
      </rPr>
      <t xml:space="preserve"> (bienes y servicios que entrega) como resultado del cumplimiento de la meta POA definida. </t>
    </r>
  </si>
  <si>
    <t>Registre la Dimensión del MIPG que se articula con la meta POA.</t>
  </si>
  <si>
    <t>Señale los recursos reuqeridos para cumplir la meta POA.</t>
  </si>
  <si>
    <t>RECURSOS:</t>
  </si>
  <si>
    <t>ARTICULACIÓN CON 
DIMENSIÓN MIPG:</t>
  </si>
  <si>
    <t>PLANIFICACIÓN DETALLADA</t>
  </si>
  <si>
    <t>PLANIFICACIÓN DETALLADA:</t>
  </si>
  <si>
    <t>En esta sección encontrará los doce meses del año, agrupados por trimestre. A su vez, cada mes y cada trimestre se conforman por las celdas correspondientes a lo programado y a lo ejecutado. Cuando se trate de la programación, registre en la celda correspondiente a la columna PROGRAMADO, la magnitud de la meta correspondiente a cada período.
El reporte de EJECUTADO, será consolidado y registrado por la Dirección de Planeación en la celda correspondiente, conforme con los reportes entregados por los procesos responsables de manera periodica en el instrumento dispuesto de manera institucional para tal fin .</t>
  </si>
  <si>
    <t>TOTAL PROGRAMADO AÑO:</t>
  </si>
  <si>
    <t>En esta sección encontrará los campos para los años a programar en el cuatrienio. Registre en cada campo el año correspondiente, por ejemplo, AÑO 2021. Registre en la celda de cada año la magnitud correspondite de la meta. La sumatoria de la magnitud de los años debe ser igual a la magnitud programada de la meta POA para el cuatrienio.</t>
  </si>
  <si>
    <t>Espacio de cálculo del total programado en el cuatrienio que se genera de manera automática, con los datos que se registran por cada año.</t>
  </si>
  <si>
    <t>PLAN OPERATIVO ANUAL -POA- 
(Por Procesos)</t>
  </si>
  <si>
    <t xml:space="preserve">PRIMER TRIMESTRE </t>
  </si>
  <si>
    <t xml:space="preserve"> TERCER TRIMESRE</t>
  </si>
  <si>
    <t xml:space="preserve"> CUARTO TRIMESRE</t>
  </si>
  <si>
    <t xml:space="preserve">SEGUNDO TRIMESTRE </t>
  </si>
  <si>
    <t xml:space="preserve">TERCER TRIMESTRE </t>
  </si>
  <si>
    <t xml:space="preserve">CUARTO TRIMESTRE </t>
  </si>
  <si>
    <t>Espacio de cálculo automático, debe corresponder con la magnitud programada de la meta POA del año.</t>
  </si>
  <si>
    <t>Espacio de cálculo automático que consolida por trimestre el avance de la ejecución.</t>
  </si>
  <si>
    <t>Cuando se trate de la programación inicial, registre la fecha en que ésta se realiza y formaliza. La fecha se debe escribir con la estructura dd-mm-aaaa, teniendo en cuenta que los días y los meses tienen dos dígitos incluido el cero</t>
  </si>
  <si>
    <t>Registre la fecha en que la actualización ésta se aprueba y formaliza. La fecha se debe escribir con la estructura dd-mm-aaaa, teniendo en cuenta que los días y los meses tienen dos dígitos incluido el cero</t>
  </si>
  <si>
    <t>Registre la(s) meta(s) del nivel táctico, es decir aquella(s) que conllevan al desarrollo del objetivo estratégico y meta estratégica alineados y que es necesario implementar a nivel de procesos, para responder a los compromisos definidos en el Plan Estratégico Institucional y en el marco del modelo de operación por procesos de la Entidad permitir la medición del cumplimiento del objetivo del proceso y de su desempeño.</t>
  </si>
  <si>
    <t>1. Promover la defensa y protección de los derechos de las personas en el Distrito Capital con énfasis en los sujetos de especial protección constitucional, en particular de las personas mayores y mujeres y la población migrante a través de acciones que propendan por su garantía.</t>
  </si>
  <si>
    <t>1.1. Realizar 884.816 acciones que promuevan la defensa, garantía y restablecimiento de los derechos de las personas en el Distrito Capital.</t>
  </si>
  <si>
    <t>1.2. Realizar 232.288 acciones que propendan por la efectiva defensa y garantía de los derechos de los sujetos de especial protección constitucional, con énfasis en las personas mayores, mujeres y la población migrante en el Distrito Capital.</t>
  </si>
  <si>
    <t>1.3. Construir e Implementar 36 estrategias que permitan incrementar la oferta y cobertura de los servicios prestados por la Entidad.</t>
  </si>
  <si>
    <t>2. Realizar acciones de prevención y control a la Función Pública, en el marco del cumplimiento del Plan de Desarrollo, con énfasis en los Derechos e intereses colectivos.</t>
  </si>
  <si>
    <t>2.1. Realizar 22 acciones de prevención y control a la función pública en medio ambiente, agua, protección y bienestar animal y desarrollo urbano.</t>
  </si>
  <si>
    <t>2.2. Fortalecer la moralidad publica realizando  880 acciones de prevención y control a la función pública.</t>
  </si>
  <si>
    <t>2.3. Fortalecer 295 espacios de participación ciudadana en la Personería de Bogotá</t>
  </si>
  <si>
    <t>3. Vigilar la conducta oficial de los(as) servidores(as) públicos(as) del Distrito Capital, mediante acciones preventivas y correctivas, que permitan un adecuado cumplimiento de los principios de la Función Pública</t>
  </si>
  <si>
    <t xml:space="preserve">3.2. Identificar el 100% de los hechos constitutivos de faltas disciplinarias para ejercer el poder preferente en las Oficinas de Control Interno Disciplinario, en temas de interés e impacto para el Distrito Capital. </t>
  </si>
  <si>
    <t>3.3. Generar 8 escenarios que fortalezcan el conocimiento y las competencias del operador disciplinario, que apoya el cumplimiento de la labor misional, extendiendo el alcance a los jueces naturales en el Distrito Capital.</t>
  </si>
  <si>
    <t xml:space="preserve">4. Fortalecer la gestión institucional a través del uso y apropiación de tecnologías de la información y las comunicaciones, la aplicación de buenas prácticas, un Talento Humano y una infraestructura adecuados para la prestación del servicio. </t>
  </si>
  <si>
    <t>4.1. Implementar el 100% de las acciones que impulsen el crecimiento del Modelo de Madurez de Transformación Digital de la Entidad, aplicando los principios , lineamientos y normas que lo enmarcan.</t>
  </si>
  <si>
    <t>4.2. Consolidar el 90% del Modelo Integrado de Planeación y Gestión –MIPG- y sus sistemas de gestión articulados, como compromiso con la Calidad, la Excelencia, la Responsabilidad Ambiental y la Mejora en la prestación del Servicio.</t>
  </si>
  <si>
    <t xml:space="preserve">4.3. Realizar el 100% de las actividades relacionadas con la Gestión del Talento Humano, que permita su fortalecimiento y el desarrollo de sus conocimientos, su competencia y bienestar. </t>
  </si>
  <si>
    <t>4.4. Implementar el 100% de las acciones necesarias para la modernización de la gestión institucional a través de los procesos de apoyo, que permita una mejor prestación del servicio.</t>
  </si>
  <si>
    <t>4.5. Desarrollar el 100% de las acciones relacionadas con el fomento de la Cultura del Autocontrol, la Autorregulación y la Autogestión institucional.</t>
  </si>
  <si>
    <t>4.6. Desarrollar el 100% de las estrategias de comunicación organizacional y de medios que contribuyan al logro de los objetivos institucionales y al posicionamiento de la Entidad.</t>
  </si>
  <si>
    <t>4.7. Articular el 100% de las acciones de trabajo interinstitucional y cooperación nacional e internacional que permita aunar esfuerzos para el cumplimiento de la misión institucional.</t>
  </si>
  <si>
    <t xml:space="preserve">5. Incorporar una cultura del conocimiento y la innovación a través de actividades que permitan el desarrollo de ideas, lecciones aprendidas e investigaciones para mejorar los resultados de la gestión institucional. </t>
  </si>
  <si>
    <t>5.1 Generar el 100% de productos de nuevo conocimiento o transformar los existentes, alineados con proyectos resultados de la investigación, desarrollo e innovación (I+D+I) en la Entidad.</t>
  </si>
  <si>
    <t>5.2 Formular el 100% de herramientas y acciones que permitan categorizar, preservar y utilizar el conocimiento para la toma de decisiones y compartir fácilmente los datos y la información de la Entidad.</t>
  </si>
  <si>
    <t xml:space="preserve">5.3 Desarrollar el 100% de espacios y mecanismos para la difusión del conocimiento, mediante la creación de alianzas efectivas y apropiación de la memoria institucional a través del proceso de enseñanza-aprendizaje organizacional. </t>
  </si>
  <si>
    <t xml:space="preserve">Porcentaje de acciones implementadas para la sostenibilidad y mejora del SGC </t>
  </si>
  <si>
    <t>Porcentaje de actividades implementadas para la sostenibilidad  y mejora del MIPG</t>
  </si>
  <si>
    <t xml:space="preserve">Porcentaje de requisitos del  SGA implementados bajo los estándares de la norma ISO 14001 </t>
  </si>
  <si>
    <t>S.I.</t>
  </si>
  <si>
    <t>3 
(En el último año)</t>
  </si>
  <si>
    <t>Dirección de Planeación</t>
  </si>
  <si>
    <t>4.2.1 Formular e implementar el 100% de las acciones para la Sostenibilidad y mejora del Sistema de Gestión de la Calidad 
-SGC- (Meta Transversal)</t>
  </si>
  <si>
    <t>4.2.2 Implementar el 40% de las actividades requeridas para la sostenibilidad y mejora del MIPG, de acuerdo con la metodología establecida por la Función Pública. (Meta Transversal)</t>
  </si>
  <si>
    <t>4.2.3 Implementar el 100% de los requisitos del Sistema de Gestión Ambiental –SGA-, bajo los estándares de la norma ISO 14001</t>
  </si>
  <si>
    <t>4.2.4 Realizar 12 acciones de monitoreo y revisión  al Plan Anticorrupción y de Atención al Ciudadano -PAAC- de la vigencia.</t>
  </si>
  <si>
    <t>4.2.5 Incrementar al 90% la percepción de los usuarios que califican como excelente y bueno el servicio en la Personería de Bogotá</t>
  </si>
  <si>
    <t xml:space="preserve">4.2.6 Implementar 7 lineamientos en compromiso con la calidad para satisfacer las necesidades y expectativas de los (as) usuarios(as) y partes interesadas </t>
  </si>
  <si>
    <t>Número de requisitos implementados del SGA/ Número total de requisitos del SGA</t>
  </si>
  <si>
    <t>Acciones de monitoreo y revisión realizadas al PAAC</t>
  </si>
  <si>
    <t>Mejora continua del Sistema de Gestión de la Calidad</t>
  </si>
  <si>
    <t>Intervenciones realizadas en defensa de los derechos</t>
  </si>
  <si>
    <t>Personas orientadas en garantía de derechos</t>
  </si>
  <si>
    <t>Personas asistidas en garantía de derechos</t>
  </si>
  <si>
    <t>1.1.6 Generar 80 espacios de mejora, de transferencia de conocimientos y buenas prácticas que permitan brindar una atención idónea a las personas que acuden a la Personería de Bogotá, D. C</t>
  </si>
  <si>
    <t>Personas asistidas en Mecanismos Alternativos de Solución de Conflictos</t>
  </si>
  <si>
    <t>Peticiones o requerimientos ciudadanos atendidos en garantía de derechos</t>
  </si>
  <si>
    <t>Espacios de mejora y transferencia de conocimiento realizados</t>
  </si>
  <si>
    <t>1.1.7 Entregar en un termino menor a los cinco (5) días hábiles, mas del 95% de las solicitudes de elaboración de tutelas, desacatos e impugnaciones que realicen las personas en el Distrito Capital.</t>
  </si>
  <si>
    <t>&gt;=95%</t>
  </si>
  <si>
    <t>Estados de vulneración establecidos</t>
  </si>
  <si>
    <t>Personas sensibilizadas en el Distrito Capital</t>
  </si>
  <si>
    <t>Acciones en favor de las víctimas del conflicto armado interno adelantadas</t>
  </si>
  <si>
    <t>Acciones constitucionales elaboradas para prevenir vulneración de derechos</t>
  </si>
  <si>
    <t>Seguimientos realizados por el Ministerio Público a las medidas de protección impuestas por las Comisarias de Familia</t>
  </si>
  <si>
    <t>Espacios Interinstitucionales con participación</t>
  </si>
  <si>
    <t>Seguimientos a la Amenaza y Vulneración de los Derechos Realizados</t>
  </si>
  <si>
    <t>1.3.1 Realizar 20 actividades que permitan el acercamiento de la Entidad a la Comunidad.</t>
  </si>
  <si>
    <t>Actividades de acercamiento de la Entidad a la comunidad realizadas</t>
  </si>
  <si>
    <t>1.3.2 Incrementar la cobertura de los servicios que presta el proceso de Promoción y Defensa de Derechos, mediante la implementación de 11 acciones que propendan por el mejoramiento de los mismos.</t>
  </si>
  <si>
    <t>Acciones realizadas para incrementar la cobertura de los servicios</t>
  </si>
  <si>
    <t>1.3.3 Implementar 4 herramientas para la promoción y prevención a infracciones del Derecho Internacional Humanitario en el Distrito Capital</t>
  </si>
  <si>
    <t>Herramientas de promoción y prevención a infracciones del Derecho Internacional Humanitario implementadas</t>
  </si>
  <si>
    <t>2.1.1 Realizar 16 informes en los cuales se evalúen las políticas ambientales, el manejo de recursos hídricos, protección y bienestar animal y desarrollo urbano en el Distrito Capital.</t>
  </si>
  <si>
    <t>2.1.2 Realizar 6 informes de seguimiento a los resultados de las acciones de prevención y control a la función pública en los cuales se evaluaron las políticas ambientales, el manejo de recursos hídricos, protección y bienestar animal y desarrollo urbano, en el Distrito Capital</t>
  </si>
  <si>
    <t>Informes realizados en temas específicos.</t>
  </si>
  <si>
    <t>2.3.3 Realizar 100 espacios de diálogo con las personas para retroalimentar las actividades de participación ciudadana</t>
  </si>
  <si>
    <t>Espacios de dialogo realizados.</t>
  </si>
  <si>
    <t>Porcentaje de Acciones de Tutela, Desacatos e Impugnaciones Entregadas en un Termino Menor a Cinco (5) Días Hábiles</t>
  </si>
  <si>
    <t>Audiencias Publicas Realizadas con Asistencia del Ministerio Público</t>
  </si>
  <si>
    <t>Expedientes con impulso procesal para la gestión de multas</t>
  </si>
  <si>
    <t>Promoción y Defensa de Derechos</t>
  </si>
  <si>
    <t>Defender y promover los derechos de las personas mediante las intervenciones y gestiones necesarias para el restablecimiento y goce de los derechos y garantías fundamentales, así como la defensa del interés y patrimonio público.</t>
  </si>
  <si>
    <t>1. Realizar la intervención a petición de parte y de oficio pertinente por parte del Agente del Ministerio Público.
2. Realizar el registro de las intervenciones realizadas en el sistema de información misional, formatos o bases de datos establecidas en cada una de las dependencias.</t>
  </si>
  <si>
    <t>Gestión con Valores para Resultados</t>
  </si>
  <si>
    <t>* Recurso Humano
* Recursos Físicos
* Recursos Tecnológicos</t>
  </si>
  <si>
    <t>1. Recibir la petición o requerimiento ciudadano bajo cualquier canal.
2. Realizar la creación del SINPROC en el sistema de información misional.
3. Dar respuesta a la petición y registrarla en el sistema.
4. Finalizar la petición o requerimiento ciudadano en el sistema de información misional.</t>
  </si>
  <si>
    <t>1. Recibir la petición o requerimiento ciudadano bajo cualquier canal.
2. Realizar la creación del SINPROC en el sistema de información misional.
3. Realizar las gestiones o tramites necesarios para dar respuesta a la petición.
4. Registrar la respuesta en el SINPROC creado.
5. Finalizar la petición o requerimiento ciudadano en el sistema de información misional.</t>
  </si>
  <si>
    <t>1. Recibir las solicitudes de conciliación y unión marital de hecho.
2. Realizar registro de la solicitud en el aplicativo SICAAC.  
3. Atender las solicitudes de conciliación y unión marital de hecho según lineamientos institucionales.</t>
  </si>
  <si>
    <t>1. Elaborar material de difusión y solicitar su aprobación.
2. Revisar y aprobar el materia de difusión por parte de la P.D. para la Coordinación del MP y los DDHH.
3. Realizar la divulgación de la oferta institucional bajo el mecanismo planificado dejando evidencia según lineamientos de la P.D. para la Coordinación del MP y los DDHH.
4. Realizar la reunión de mejoramiento dejando evidencia según lineamientos de la P.D. para la Coordinación del MP y los DDHH.
5. Seguimiento a compromisos adquiridos en la reunión de mejoramiento por parte de la P.D. para la Coordinación del MP y los DDHH.</t>
  </si>
  <si>
    <t>20 Espacios de mejora o transferencia de conocimiento realizados</t>
  </si>
  <si>
    <t>1. Recibir la petición o requerimiento ciudadano bajo cualquier canal.
2. Realizar la creación del SINPROC en el sistema de información misional.
3. Realizar el documento de la acción constitucional para dar respuesta a la petición.
4. Registrar la respuesta en el SINPROC creado.
5. Finalizar la petición o requerimiento ciudadano en el sistema de información misional, en un termino menor o igual a cinco (5) días hábiles.</t>
  </si>
  <si>
    <t>Mas del 95% de las Acciones de Tutela, Desacatos e Impugnaciones entregadas en un termino menor a cinco (5) días hábiles</t>
  </si>
  <si>
    <t>1. Verificar de manera mensual las audiencias programadas en los temas definidos en la meta.
2, Agendar la asistencia a las mismas
3. Notificarse de las audiencia y de todas las actuaciones que sean puestas en conocimiento del MP.
4, Realizar las intervenciones que considere pertinentes.
5. Realizar los traslados disciplinarios de observar hechos que así lo ameriten</t>
  </si>
  <si>
    <t>1. Obtener un listado de la Alcaldía e inspecciones del estado actúa de todas las actuaciones administrativas y policivas.
2,Determinar que actuaciones presentan inactividad
, Determine cuantas querellas tienen decisión de fondo sin materializar el mismo.
4, Realizar los impulsos procesales correspondientes y realizar seguimiento a los mismos.
5. De evidenciar se cumplieron los términos de caducidad o de perdida de fuerza ejecutoria, solicitar a la administración que se decreten las mismas, con los soportes y evidencias correspondientes.
5, De observarse caducidades o perdidas de fuerza ejecutoria decretadas por la administración, deberán ser trasladadas al eje disciplinario (con copia de la resolución donde fueron adoptadas las decisiones de fondo)..</t>
  </si>
  <si>
    <t>1. Levante un inventario de las actuaciones administrativas o policivas con decisión de multa.
2, Realice los impulsos correspondientes para el cobro persuasivo.
3, De aquellas querellas revisadas, cuando la entidad ya haya realizado el cobro persuasivo, solicitar el traslado al cobro coactivo o a la instancia correspondiente.
4, Realizar seguimiento de los impulsos realizados</t>
  </si>
  <si>
    <t>1. Obtenga información de las vulneraciones de derechos que registran las entidades en cada localidad y en los espacios donde se participa.
2, Verifique cuantas peticiones de manera directa recibido la Personería Local en temas de vulneraciones de derechos.
3, Consolide la información y establezca una estadística de cuales grupos de población presentaron mayor vulneración de derechos.
4, Determine que niveles de intervención se requieren a nivel de cada localidad, para lograr que las entidades responsables de su protección, actúan de una manera oportuna o generen acciones preventivas sobre los hechos evidenciado</t>
  </si>
  <si>
    <t>1. Elaborar material de difusión y solicitar su aprobación.
2. Revisar y aprobar el materia de difusión por parte de la P.D. para la Coordinación del MP y los DDHH.
3. Realizar la sensibilización bajo el mecanismo planificado, dejando evidencia según lineamientos de la P.D. para la Coordinación del MP y los DDHH.</t>
  </si>
  <si>
    <t>1. Recibir la petición o requerimiento ciudadano bajo cualquier canal.
2. Realizar la creación del SINPROC en el sistema de información misional.
3. Realizar las acciones necesarias para dar respuesta a la petición.
4. Registrar la respuesta en el SINPROC creado.
5. Finalizar la petición o requerimiento ciudadano en el sistema de información misional.</t>
  </si>
  <si>
    <t>1. Recibir la petición o requerimiento ciudadano bajo cualquier canal.
2. Realizar la creación del SINPROC en el sistema de información misional.
3. Realizar el documento de la acción constitucional para dar respuesta a la petición.
4. Registrar la respuesta en el SINPROC creado.
5. Finalizar la petición o requerimiento ciudadano en el sistema de información misional.</t>
  </si>
  <si>
    <t>1. Recibir la citación al espacio de participación interinstitucional.
2. Asistir al espacio de participación interinstitucional realizando las intervenciones necesarias.
3. Elaborar el informe ejecutivo sobre su participación en el comité, mesa o consejo interinstitucional.
4. Realizar la creación del SINPROC en el sistema de información misional.
5. Registrar el informe en el SINPROC creado y finalizarlo.</t>
  </si>
  <si>
    <t>1. Identificar las amenazas o posibles vulneraciones a los derechos que se estén presentando en el Distrito
2. Realizar el seguimiento a la amenaza o derecho vulnerado según lineamientos institucionales
3. Presentar los informes, actas o reportes que demuestren el seguimiento y los hallazgos identificados.</t>
  </si>
  <si>
    <t>1. Diseñar la estrategia o actividad que permitirá acercar los servicios de la Entidad a la comunidad.
2. Planificar la logística necesaria para el adecuado desarrollo de la actividad.
3. Ejecutar la actividad para acercar los servicios de la Entidad a la comunidad.</t>
  </si>
  <si>
    <t>1. Diseñar la estrategia o actividad que permitirá ampliar la cobertura de los servicios que presta la Entidad.
2. Ejecutar la estrategia o actividad que permitirá ampliar la cobertura de los servicios que presta la Entidad.</t>
  </si>
  <si>
    <t>3 Actividades realizadas o puntos de atención abiertos para aumentar la cobertura de los servicios</t>
  </si>
  <si>
    <t>1. Identificar las infracciones al DIH.
2. Diseñar la herramienta de promoción y prevención a las infracciones identificadas al DIH.
3. Implementar la herramienta de promoción y prevención a las infracciones del DIH.</t>
  </si>
  <si>
    <t>1 Herramienta implementada de promoción y prevención a infracciones del DIH</t>
  </si>
  <si>
    <t>∑ Número de Intervenciones a Petición de Parte Realizadas en Defensa de los Derechos + Númerode Intervenciones de Oficio Realizadas en Defensa de los Derechos</t>
  </si>
  <si>
    <t>∑ Número de Personas Orientadas (Incluye las Orientaciones de Traslados por No Competencia)</t>
  </si>
  <si>
    <t>∑ Número de Personas Asistidas</t>
  </si>
  <si>
    <t>∑ Número de Solicitudes de Conciliación Atendidas + Número de Uniones Maritales de Hecho Atendidas</t>
  </si>
  <si>
    <t>∑ Número de Espacios de Mejora y Transferencia de Conocimiento</t>
  </si>
  <si>
    <t>∑ Número de Tutelas, Desacatos e Impugnaciones entregadas en los primeros cinco (5) días hábiles
-------------------------------------------------------------------- * 100
∑ Número de Tutelas, Desacatos e Impugnaciones solicitadas</t>
  </si>
  <si>
    <t>∑ Número de Audiencias Publicas Realizadas con Asistencia del Ministerio Público</t>
  </si>
  <si>
    <t>∑ Número de Personas Sensibilizadas en el Distrito Capital</t>
  </si>
  <si>
    <t>∑ Número de Acciones en Favor de las Víctimas del Conflicto Armado Interno Realizadas</t>
  </si>
  <si>
    <t>∑ Número de Acciones Constitucionales Elaboradas</t>
  </si>
  <si>
    <t>∑ Número de Seguimientos a la Amenaza y Vulneración de los Derechos Realizados</t>
  </si>
  <si>
    <t>∑ Número de Actividades Realizadas para Acercar la Entidad a la Comunidad</t>
  </si>
  <si>
    <t>∑ Número de Peticiones o Requerimientos Ciudadanos Atendidos en Garantía de Derechos</t>
  </si>
  <si>
    <t>Intervenciones realizadas oportunamente para evitar la caducidad y perdida de fuerza ejecutoria (Impulsos procesales)</t>
  </si>
  <si>
    <t>∑ Número de intervenciones realizadas para Evitar la Caducidad y Perdida de Fuerza Ejecutoria (Impulsos procesales)</t>
  </si>
  <si>
    <t>∑ Número de Espacios Interinstitucional con Participación</t>
  </si>
  <si>
    <t>∑ Número de Seguimientos Realizados por el Ministerio Público a las Medidas de Protección impuestas por las Comisarias de Familia</t>
  </si>
  <si>
    <t>∑ Número de acciones realizadas para incrementar la Cobertura</t>
  </si>
  <si>
    <t>∑ Número de Herramientas de Promoción y Prevención a Infracciones del Derecho Internacional Humanitario Implementadas</t>
  </si>
  <si>
    <t>3.000 Intervenciones realizadas para evitar caducidad y pérdida de fuerza ejecutoria (impulsos procesales)</t>
  </si>
  <si>
    <t xml:space="preserve">∑ Número de Estados de vulneración realizados
</t>
  </si>
  <si>
    <t>Informes elaborados del estado de los Derechos Humanos por Localidad
(Esta meta inicia ejecución en 2022)</t>
  </si>
  <si>
    <t>Informes de seguimientos realizados en temas específicos.</t>
  </si>
  <si>
    <t>Audiencias públicas y/o mesas de trabajo realizadas.</t>
  </si>
  <si>
    <t>Acompañamientos a los ciudadanos realizados.</t>
  </si>
  <si>
    <t>Prevención y Control a la Función Pública</t>
  </si>
  <si>
    <t xml:space="preserve">Personería Delegada para la Coordinación de Prevención y Control a la Función Pública y sus Personerías Delegadas.
Personería Delegada para la Coordinación de Gestión de las Personerías Locales y sus Personerías Locales. </t>
  </si>
  <si>
    <t>Personería Delegada para la Coordinación de Prevención y Control a la Función Pública y sus Personerías Delegadas.</t>
  </si>
  <si>
    <t xml:space="preserve">Personería Delegada para la Coordinación de Gestión de las Personerías Locales y sus Personerías Locales. </t>
  </si>
  <si>
    <t>Personería Delegada para la Coordinación de Gestión de las Personerías Locales y sus Personerías Locales. 
Personería Delegada para la Coordinación de Prevención y Control a la Función Pública y sus Personerías Delegadas.</t>
  </si>
  <si>
    <t>Comunicar y divulgar información a nivel interno y externo a través de la generación de directrices y estrategias que permitan dar a conocer la gestión de la entidad a todas las partes interesadas</t>
  </si>
  <si>
    <t>TOTAL
PROGRAMADO
AÑO</t>
  </si>
  <si>
    <t xml:space="preserve">PRIMER
TRIMESTRE </t>
  </si>
  <si>
    <t>SEGUNDO
TRIMESTRE</t>
  </si>
  <si>
    <t xml:space="preserve"> TERCER
TRIMESTRE</t>
  </si>
  <si>
    <t xml:space="preserve"> CUARTO
TRIMESRE</t>
  </si>
  <si>
    <t>PRIMER
TRIMESTRE</t>
  </si>
  <si>
    <t>TERCER
TRIMESTRE</t>
  </si>
  <si>
    <t>CUARTO
TRIMESTRE</t>
  </si>
  <si>
    <t>1. Definir tema especifico a evaluar.     
2. Seleccionar que se va a evaluar.
3. Elaborar plan de gestión.
4. Ejecutar plan de gestión.
5. Elaborar informe.
6. Elaborar informe ejecutivo para el despacho, de ser necesario.</t>
  </si>
  <si>
    <t xml:space="preserve">Gestión con Valores para resultados </t>
  </si>
  <si>
    <t>Humanos, físicos y tecnológicos</t>
  </si>
  <si>
    <t>1. Determinar cuales informes realizados en temas específicos, requieren seguimiento.
2. Realizar seguimiento a las observaciones documentadas en el informe.
3. Elaborar informe de seguimiento.</t>
  </si>
  <si>
    <t>1. Definir tema a evaluar.     
2. Seleccionar que se va a evaluar.
3. Elaborar plan de gestión.
4. Ejecutar plan de gestión.
5. Elaborar informe.
6. Elaborar informe ejecutivo para el despacho, de ser necesario.</t>
  </si>
  <si>
    <t>1. Determinar cuales informes realizados requieren seguimiento.
2. Realizar seguimiento a las observaciones documentadas en el informe.
3. Elaborar informe de seguimiento.</t>
  </si>
  <si>
    <t>Número de audiencias públicas y/o mesas de trabajo realizadas en el periodo.</t>
  </si>
  <si>
    <t>1. Evaluar la solicitud de la mesa o audiencia a realizar.
2. Determinar quienes van a participar de la misma.
3. Realizar convocatoria, fijando fecha y lugar de la reunión (si es virtual agendar la reunión), teniendo en cuenta agenda del despacho, para las audiencias, o del delegado y/o personero local en caso de las mesas.
4. Establecer previamente a la actividad, la agenda.
5. Verificar la asistencia de las entidades. responsables, así como la de los ciudadanos.
6. Realizar seguimiento a compromisos adquiridos por las entidades.
8. Realizar convocatorias que sean necesarias para lograr el objetivo propuesto.
9. Elaborar informe ejecutivo del resultado final de la audiencia o mesa.</t>
  </si>
  <si>
    <t>Número de acompañamientos a los ciudadanos realizados en el periodo.</t>
  </si>
  <si>
    <t>1. Determinar el espacio de participación ciudadana donde se va a intervenir.
2. Definir el acompañamiento que se va a realizar (diferente a las establecidas en el espacio).o el que solicita el ciudadano.
3. Realizar las actividades necesarias para apoyar al ciudadano.
4. Generar informe ejecutivo sobre el logro del acompañamiento.</t>
  </si>
  <si>
    <t>1. Defina los temas que se utilizaran en los espacios de dialogo y determine el objetivo del mismo.
2. convoque a los ciudadanos a los cuales esta dirigido el tema.
3. Realice la actividad de dialogo.
4. valore el impacto del mismo
5. Elabore un informe ejecutivo sobre el espacio generado.</t>
  </si>
  <si>
    <t>1 Informe de seguimiento a los resultados de  acciones de prevención y control a la función publica en los cuales se evaluaron políticas ambientales, manejo de recursos hídricos, protección y bienestar animal y desarrollo urbano, en el Distrito Capital.</t>
  </si>
  <si>
    <t>Acciones de Prevención y Control a la Función Pública realizadas, con informe.</t>
  </si>
  <si>
    <t>Seguimientos realizados sobre acciones previas, con informe</t>
  </si>
  <si>
    <t>Prevenir y controlar la función pública, mediante actuaciones para vigilar hechos o conductas que vulneren los derechos de las personas, el ordenamiento jurídico o menoscaben el patrimonio público.</t>
  </si>
  <si>
    <t>3.4. Implementar al 100% tres soluciones informáticas propias para la ejecución y gestión de la Potestad Disciplinaria.</t>
  </si>
  <si>
    <t>3.1. Descongestionar 4500 procesos disciplinarios con criterios de calidad, efectividad y garantía del debido proceso.</t>
  </si>
  <si>
    <t>3.1.2 Evaluar y dar impulso procesal al 100% las noticias disciplinarias (quejas) puestas en conocimiento de la Entidad.</t>
  </si>
  <si>
    <t>3.2.2 Asumir por competencia preferente el 100% de los procesos cuyos temas sean considerados de interés e impacto el Distrito Capital.</t>
  </si>
  <si>
    <t>3.3.1 Generar 8 escenarios de intercambio de conocimiento con los(as) servidores(as) públicos(as) para fortalecer el conocimiento en la sustanciación de procesos disciplinarios en el Distrito Capital.</t>
  </si>
  <si>
    <t>3.4.1 Implementar un sistema de comunicación efectiva y eficiente con las Oficinas de Control Interno del Distrito Capital.</t>
  </si>
  <si>
    <t xml:space="preserve">3.4.3 Diseñar e implementar una relatoría de las decisiones de fondo adoptadas en ejercicio de la potestad disciplinaria  </t>
  </si>
  <si>
    <t>Procesos priorizados identificados y decididos de fondo</t>
  </si>
  <si>
    <t>Noticias disciplinarias  evaluadas y con impulso procesal</t>
  </si>
  <si>
    <t>Procesos de interés e impacto asumidos por competencia</t>
  </si>
  <si>
    <t>Escenarios de intercambio de conocimiento generados</t>
  </si>
  <si>
    <t xml:space="preserve">Sistema de información misional implementado </t>
  </si>
  <si>
    <t>Relatoría diseñada e implementada</t>
  </si>
  <si>
    <t>Potestad Disciplinaria</t>
  </si>
  <si>
    <t>Personería Delegada para la Coordinación de Potestad Disciplinaria</t>
  </si>
  <si>
    <t>3.2.1 Realizar una visita de seguimiento a las 51 Oficinas de Control Interno Disciplinario del Distrito e identificar hechos constitutivos de faltas relevantes en temas de interés e impacto en cada anualidad.</t>
  </si>
  <si>
    <t xml:space="preserve">Decisiones de fondo </t>
  </si>
  <si>
    <t>Quejas comisionadas a cada una de las Delegadas del Eje Disciplinario 
Verificar el termino de la evaluación de la queja disciplinaria  una vez comisionada al abogado (10 días)</t>
  </si>
  <si>
    <t>Quejas Evaluadas</t>
  </si>
  <si>
    <t>Número de visitas de seguimiento a OCID realizadas</t>
  </si>
  <si>
    <t xml:space="preserve">Visitas efectuadas </t>
  </si>
  <si>
    <t xml:space="preserve">Número de escenarios de sensibilización generados </t>
  </si>
  <si>
    <t>Jornadas capacitación efectuadas</t>
  </si>
  <si>
    <t xml:space="preserve">Sistema Implementado </t>
  </si>
  <si>
    <t>Relatoría implementada</t>
  </si>
  <si>
    <t>Visitas de seguimiento a Oficinas de Control Interno Disciplinario realizadas</t>
  </si>
  <si>
    <t xml:space="preserve">Sistema de Comunicación con las Oficinas de Control Interno Disciplinario implementado </t>
  </si>
  <si>
    <t>Número de procesos priorizados con decisiones de fondo proferidas</t>
  </si>
  <si>
    <t>Porcentaje de avance en la implementación del Sistema de Comunicación</t>
  </si>
  <si>
    <t>Porcentaje de avance en la implementación de Sistema de Información</t>
  </si>
  <si>
    <t>Porcentaje de avance en la implementación de la relatoría</t>
  </si>
  <si>
    <t>Emitir auto por el cual se asume poder preferente
Comisionar y priorizar en las Delegadas para definir de manera expedita</t>
  </si>
  <si>
    <t>Programar los temas y logística para efectuar convocatoria</t>
  </si>
  <si>
    <t>Diagnosticar y diseñar el sistema propio de información misional por etapas</t>
  </si>
  <si>
    <t>Humanos, Físicos, Tecnológicos, financieros</t>
  </si>
  <si>
    <t>Número de noticias disciplinarias evaluadas y con impulso procesal/ Número de noticias disciplinaria comisionadas a las Delegadas</t>
  </si>
  <si>
    <t>Numero de expedientes asumidos por poder preferente</t>
  </si>
  <si>
    <t xml:space="preserve"> TERCER TRIMESTRE</t>
  </si>
  <si>
    <t xml:space="preserve"> CUARTO TRIMESTRE</t>
  </si>
  <si>
    <t>Identificación de expedientes con riesgo de prescripción 
Identificación de proceso vencidos en su etapa procesal</t>
  </si>
  <si>
    <t>Actualizar la lista de los jefes y correos de las OCID 
definir temas de impacto
solicitar copia de Bases de datos e identificar los expedientes que van a ser revisados 
Emitir auto por el cual se asume poder preferente</t>
  </si>
  <si>
    <t>Definir el canas y diseñar la herramienta de manera efectiva
Prácticar las pruebas necesarias y ajustar</t>
  </si>
  <si>
    <t xml:space="preserve">Definición de parámetros del diseño de la relatoría
Revisión normatividad aplicable
Diseño de la relatoría
</t>
  </si>
  <si>
    <t>Vigilar, sensibilizar y promover el cumplimiento de los deberes y el correcto actuar de los servidores públicos en el Distrito Capital, a través de acciones para contrarrestar la omisión o extralimitación de funciones de conformidad con la normatividad vigente.</t>
  </si>
  <si>
    <t>Gestión con valores para resultados
Información y Comunicación
Gestión del Conocimiento y la Innovación</t>
  </si>
  <si>
    <t>4.1.6 Implementar en un 100% las actividades programadas en el plan de uso y apropiación de las TIC, para una óptima gestión institucional</t>
  </si>
  <si>
    <t>4.1.7 Optimizar la infraestructura tecnológica cumpliendo el 100% de las actividades de la hoja de ruta proyectada para garantizar la prestación continua de los servicios en la Entidad</t>
  </si>
  <si>
    <t>S.I</t>
  </si>
  <si>
    <t>Direccionamiento TIC</t>
  </si>
  <si>
    <t>Dirección de Tecnologías de la  Información y las Comunicaciones</t>
  </si>
  <si>
    <t xml:space="preserve">Porcentaje de actividades ejecutadas  en la estrategia de servicios ciudadanos digitales </t>
  </si>
  <si>
    <t>Cantidad de requerimientos prioritarios desarrollados para los sistemas información</t>
  </si>
  <si>
    <t>Porcentaje de actividades ejecutadas del plan de uso y apropiación</t>
  </si>
  <si>
    <t>Porcentaje de actividades ejecutadas de acuerdo al plan de Seguridad de información</t>
  </si>
  <si>
    <t>4.1.2 Ejecutar en un 100 % las actividades programadas en el plan de Seguridad de la Información, garantizando la disponibilidad, confiabilidad e integridad de los activos de información</t>
  </si>
  <si>
    <t>Porcentaje de proyectos implementados / Porcentaje de proyectos programados</t>
  </si>
  <si>
    <t>Fase de analisis y planeación</t>
  </si>
  <si>
    <t xml:space="preserve">Modelo de Arquitectura Empresarial (EA) adoptado </t>
  </si>
  <si>
    <t>Gestión con valores  para   resultados</t>
  </si>
  <si>
    <t>Financieros y humano especializado</t>
  </si>
  <si>
    <t>Porcentaje de actividades ejecutadas / Porcentaje de actividades programadas</t>
  </si>
  <si>
    <t>Fase de analisis y medición</t>
  </si>
  <si>
    <t xml:space="preserve">Lineamientos  de Seguridad  y privacidad de la Información adoptados  </t>
  </si>
  <si>
    <t>Técnicos, financieros y humano especializado</t>
  </si>
  <si>
    <t>Fase de analisis e identificación de necesidades</t>
  </si>
  <si>
    <t>Estrategia de servicios ciudadanos digitales implementada</t>
  </si>
  <si>
    <t>Porcentaje de lineamientos adoptados / Porcentaje de lineamietnos proyectados</t>
  </si>
  <si>
    <t xml:space="preserve">Mejor gestión y aprovechamiento de Datos  </t>
  </si>
  <si>
    <t>Fase de analisis e identificación de requerimientos</t>
  </si>
  <si>
    <t>Desarrollos implementados a los Sistemas de información misionales y de apoyo  de la entidad</t>
  </si>
  <si>
    <t>Porcentaje de actividades ejecutadas / porcentje de actividades programadas</t>
  </si>
  <si>
    <t>Fase de medición  y análisis</t>
  </si>
  <si>
    <t>Majora en la medición del  aprovechamiento y uso de las tecnologías de información</t>
  </si>
  <si>
    <t>Técnicos y humano especializado</t>
  </si>
  <si>
    <t>Porcentaje de actividades ejecutadas de la hoja de ruta de optimización tecnológica</t>
  </si>
  <si>
    <t>Porcentaje de actividades ejecutadas / porcentaje de actividades programadas</t>
  </si>
  <si>
    <t>Fase de planeación e identificación de necesidades</t>
  </si>
  <si>
    <t>Infraestructura tecnológica optimizada que garantice la prestacion de los servicios</t>
  </si>
  <si>
    <t>4.1.5 Desarrollar el 100% de los requerimientos prioritarios a Sistemas de Información y de apoyo que garanticen el óptimo desempeño de la gestión de los procesos en la Entidad</t>
  </si>
  <si>
    <t>Establecer lineamientos, políticas y directrices en materia de gestión de la información, mediante la administración de la infraestructura tecnológica, sistemas de información, servicios tecnológicos y la implementación de soluciones innovadoras que permitan el gobierno digital, la interoperabilidad, la integridad, la confidencialidad y la disponibilidad de la información.</t>
  </si>
  <si>
    <t>Cantidad de requerimientos desarrollados / Cantidad de requerimientos prioritarios programados</t>
  </si>
  <si>
    <t>EDGAR MARTÍN CUBIDES
DIRECTOR DE TECNOLOGÍAS DE LA INFORMACIÓN  Y LAS COMUNICACIONES</t>
  </si>
  <si>
    <t>Direccionamiento Estratégico</t>
  </si>
  <si>
    <t>Servicio al Usuario</t>
  </si>
  <si>
    <t>Avance en la implementación del MIPG en por lo menos el 23%</t>
  </si>
  <si>
    <t>Direccionamiento estratégico y Planeación
Evaluación de Resultados</t>
  </si>
  <si>
    <t>Tecnológicos
Talento Humano</t>
  </si>
  <si>
    <t>Tecnológicos
Financieros
Talento Humano</t>
  </si>
  <si>
    <t>1. Coordinar la formulación del PAAC
2. Consolidación y publicación del PAAC
3. Monitoreo del avance de las actividades del PAAC</t>
  </si>
  <si>
    <t>PAAC consolidado, publicado y ejecutado</t>
  </si>
  <si>
    <t>Establecer las políticas, lineamientos, directrices, planes, programas, proyectos y recursos que orienten la gestión de la Entidad para el cumplimiento de la misión institucional de forma transparente y participativa.</t>
  </si>
  <si>
    <t>Porcentaje de Percepción de los usuarios en calificación excelente y bueno incrementado</t>
  </si>
  <si>
    <t>Lineamientos implementados</t>
  </si>
  <si>
    <t>(Número total de encuestas con calificación excelente y bueno/Número total de encuestras registradas)*100</t>
  </si>
  <si>
    <t>1. Aplicación mensual de las encuestas de satisfacción de los usuarios(as)
2. Análisis semestral de la medición de la percepción de la satisfacción de los usuarios(as).
3. Desarrollar las acciones de mejora producto de los aspectos a mejorar descritos por los usuarios(as).</t>
  </si>
  <si>
    <t>Análisis resultado de la medición de la encuesta de satisfacción</t>
  </si>
  <si>
    <t>3. Gestión de Valores para Resultados.
4. Evaluación de Resultados.
5. Información y Comunicación.</t>
  </si>
  <si>
    <t>Humanos y Tecnológicos</t>
  </si>
  <si>
    <t>Número de lineamientos implementados en el periodo</t>
  </si>
  <si>
    <t xml:space="preserve">
 1. Actualizar la caracterización de usuario cada año
2. Generar la metodología de  percepción de partes interesadas (año 1)
3. Elaborar la Matriz Trasversal de Portafolio de Servicios de la Entidad (año 2)
4.Actualizar la Guía de Trámites y Servicios(año 2)
</t>
  </si>
  <si>
    <t>3. Gestión de Valores para Resultados.
5. Información y Comunicación.</t>
  </si>
  <si>
    <t>Acuerdos interinstitucionales gestionados</t>
  </si>
  <si>
    <t>Definir los lineamientos necesarios para satisfacer las necesidades y expectativas de los (as) usuarios(as) y partes interesadas, en el marco de las disposiciones legales vigentes, mediante los diferentes canales de atención con los que cuenta la Entidad.</t>
  </si>
  <si>
    <t>Número de acuerdos interinstitucionales gestionados en el periodo</t>
  </si>
  <si>
    <t xml:space="preserve">Gestionar acuerdos interinstitucionales </t>
  </si>
  <si>
    <t>Acuerdos interisntitucionales gestionados</t>
  </si>
  <si>
    <t>CARLOS ENRIQUE SILGADO BETANCOURT/ SECRETARIO GENERAL</t>
  </si>
  <si>
    <t>4.7.1 Gestionar 3 acuerdos interinstitucionales o de cooperación nacional y/o internacional para garantizar el enfoque social, en el marco de un estado pluralista, para el fortalecimiento de la prestación del servicio al usuario</t>
  </si>
  <si>
    <t>Porcentaje de novedades y situaciones administrativas gestionadas</t>
  </si>
  <si>
    <t>Gestión del Talento Humano</t>
  </si>
  <si>
    <t xml:space="preserve">
Dirección de Talento Humano
</t>
  </si>
  <si>
    <t xml:space="preserve">Novedades incluidas en la nómina  oportunamente  </t>
  </si>
  <si>
    <t>Dependencia Líder: 
Dirección de Talento Humano
Dependencia Operativa:
Subdirección de Gestión del Talento Humano</t>
  </si>
  <si>
    <t>Porcentaje de Usuarios internos satisfechos con las solicitudes de los servicios atendidas de la SGTH (Certificaciones laborales, bonos pensionales y autorizaciones de retiro de cesantías)</t>
  </si>
  <si>
    <t>Plan Institucional de Capacitación formulado y ejecutado</t>
  </si>
  <si>
    <t>Dependencia Líder: 
Dirección de Talento Humano
Dependencia Operativa:
Subdirección de Desarrollo del Talento Humano</t>
  </si>
  <si>
    <t>Plan Institucional de Bienestar formulado y ejecutado</t>
  </si>
  <si>
    <t>Plan Institucional de Incentivos formulado y ejecutado</t>
  </si>
  <si>
    <t>Plan Anual de Trabajo del Sistema de Gestión de Seguridad y Salud en el Trabajo SG-SST diseñado y ejecutado</t>
  </si>
  <si>
    <t>Capacitaciones realizadas sobre los Sistemas de Gestión y Evaluación del Desempeño Laboral de la Personería de Bogotá, D.C.</t>
  </si>
  <si>
    <t>Dirección de Talento Humano</t>
  </si>
  <si>
    <t xml:space="preserve">4.3.1 Gestionar el 100% de las novedades y situaciones administrativas de los servidores públicos de la Entidad.
</t>
  </si>
  <si>
    <t xml:space="preserve">4.3.4 Formular e implementar el 100% del Plan Institucional de Capacitación de la vigencia.
</t>
  </si>
  <si>
    <t>4.3.5 Formular e implementar el 100% del Plan Institucional de Bienestar de la vigencia .</t>
  </si>
  <si>
    <t>4.3.6 Formular e implementar el 100% del Plan Institucional de Incentivos de la vigencia.</t>
  </si>
  <si>
    <t>4.3.7 Diseñar e implementar el 100 % del Plan Anual de Trabajo del Sistema de Gestión de Seguridad y Salud en el Trabajo SG-SST de la vigencia.</t>
  </si>
  <si>
    <r>
      <t xml:space="preserve">Código: </t>
    </r>
    <r>
      <rPr>
        <sz val="12"/>
        <rFont val="Arial"/>
        <family val="2"/>
      </rPr>
      <t>01-FR-03</t>
    </r>
  </si>
  <si>
    <t>N° de novedades y situaciones administrativas gestionadas /  N° requerimientos de novedades y situaciones administrativas presentados * 100</t>
  </si>
  <si>
    <t>1. Proveer los empleos vacantes de la planta de cargos de la Entidad, mediante nombramiento, encargo o comisión, de acuerdo a lo establecido en la normativa vigente.
2. Efectuar la reubicación de los funcionarios, de acuerdo a sus competencias y las necesidades de la Entidad, para facilitar el cumplimiento de los objetivos institucionales. 
3. Realizar los trámites necesarios para el retiro de los funcionarios de la planta de personal de la Personería de Bogotá D.C., de acuerdo a las diferentes causales establecidas en la normativa vigente.
4. Recibir y tramitar las solicitudes de permiso remunerado, permisos por calamidad doméstica, académico compensado, de docencia y de hora de lactancia; solicitudes de licencia no remunerada, licencia remunerada para participar en eventos deportivos, licencia por luto y licencia por paternidad; solicitudes de disfrute, interrupción, aplazamiento, desistimiento o modificación de fecha de disfrute de las vacaciones;  que presenten los (las) funcionarios(as) de la Personería de Bogotá D.C.
5. Tramitar oportunamente las solicitudes de comisión de los (las) funcionarios(as) de carrera administrativa que aspiran a ocupar un empleo de libre nombramiento en otras entidades, o de comisión de estudio, de acuerdo con la normativa vigente.
6. Estudiar, elaborar, suscribir y comunicar/notificar actos administrativos, de competencia de la Dirección así como las respuestas a los requerimientos, de conformidad con las normas vigentes y los procedimientos establecidos, relacionados con las novedades y situaciones administrativas¹.
7. Tramitar oportunamente las solicitudes de los servidores de la entidad o requerimientos externos relacionados con novedades y situaciones administrativas de la planta de personal de la Entidad</t>
  </si>
  <si>
    <t>Cumplimiento de las obligaciones legales de la Entidad y de la Dirección de Talento Humano. 
Coadyuvancia en la consecución de los objetivos institucionales, a través de la provisión óptima y oportuna del talento humano para tal fin.
Respuesta oportuna a las solicitudes de los servidores de la Entidad o requerimientos externos en la materia.</t>
  </si>
  <si>
    <t>Talento Humano</t>
  </si>
  <si>
    <t>Técnicos, financieros, tecnologicos y humanos</t>
  </si>
  <si>
    <t xml:space="preserve"> N° de Novedades incluidas en la Nomina oportunamente / N° de novedades radicadas en los plazos establecidos</t>
  </si>
  <si>
    <t>1. Recibir por parte de la Dirección de Talento Humano, las Resoluciones de novedades autorizadas para el mes en liquidación; y por parte de los (las) funcionarios(as) y/o entidades externas, las modificaciones o autorizaciones que afecten la liquidación de la nómina; según las fechas previstas en el cronograma de nómina.
2. Realizar oportunamente el ingreso de las diferentes novedades que pueden afectar la liquidación de la nómina mensual, en el aplicativo de nómina PERNO.
3. Dar trámite oportuno a los descuentos salariales por conceptos de embargos de alimentos, que son originados por orden judicial y afectan el salario, así como de las libranzas de las diferentes Entidades Financieras, Cooperativas, Fondos, Sindicatos, Seguros y Medicina Prepagada, a petición de los (las) funcionarios(as) de la Entidad y que pueden afectar la liquidación de la nómina.
4. Liquidar la nómina del mes en el sistema de nómina PERNO, e imprimir, revisar y aprobar la pre-nómina. 
5. Elaborar los informes mensuales, RA (Relación de Autorización) del aplicativo PERNO y los archivos planos, para ser enviados a la Subdirección  de Gestión Financiera, para hacer el cargue de la nómina en el sistema de la Secretaría de Hacienda, para su respectivo pago.
6. Verificar y aprobar el pago de la nómina del mes liquidado, por medio de la firma del (la) Director(a) de Talento Humano, como ordenador(a) del gasto.
7. Elaborar el PAC bimestral  relacionado con los gastos de personal de la Personería de Bogotá, D.C. para atender las obligaciones oportunamente a los funcionarios (as) y exfuncionarios (as). Una vez al año, elaborar la proyección anual del presupuesto para la siguiente vigencia.</t>
  </si>
  <si>
    <t xml:space="preserve">Pago de la nómina de manera oportuna - fechas emitidas por Secretaria de Hacienda -  y cumpliendo las obligaciones legales de la Entidad y de la Subdirección de Gestión del Talento Humano, en materia salarial, prestacional, de aportes sociales y parafiscales y demás pagos o aportes a terceros que afecten la nómina.
</t>
  </si>
  <si>
    <t>Financieros, tecnologicos y humanos</t>
  </si>
  <si>
    <t>N° de usuarios satisfechos con las solicitudes de servicios atendidas por la SGTH (Certificaciones laborales, bonos pensionales y autorizaciones de retiro de cesantías. / N° de usuarios encuestados *100</t>
  </si>
  <si>
    <t xml:space="preserve">1. Recibir a traves del correo electrónico, sistema de gestión documental de la entidad (SIRIUS) e intranet las solicitudes de emisión de certificaciones laborales, certificaciones de bonos pensionales, y autorización de retiro de cesantias  por parte de los (las) funcionarios(as) y/o exfuncionarios(as).  
2. Dar trámite a las solicitudes dentro de los términos establecidos en en artículo 14 de la Ley 1755 de 2015 y el articulo 5 del  Decreto 491 de 2020 durante la vigencia de la emergencia sanitaria por Coronavirus COVID 19.                                                            3. Comunicar por los medios autorizados por los usuarios, las certificaciones  laborales, bonos pensionales o autorización de retiro de cesantías emitidas por parte de la Subdirección de Gestión del Talento Humano.                                                                    
4. Remitir enlace de encuesta de satisfacción de los servicios recibidos.
</t>
  </si>
  <si>
    <t xml:space="preserve">Certificaciones laborales, bonos pensionales y autorizaciones de retiro de cesantías. </t>
  </si>
  <si>
    <t>1. Elaborar el diagnóstico de necesidades institucionales de capacitación, para fortalecer las competencias de los(as) servidores(as) de la Entidad. (10%)
2. Elaborar y divulgar el Plan Institucional de Capacitación PIC de la vigencia. (10%)
3. Implementar el Plan Institucional de Capacitación PIC de la vigencia. (70%)
4. Hacer seguimiento y evaluación al Plan Institucional de Capacitación PIC de la vigencia. (10%)</t>
  </si>
  <si>
    <t>Talento humano cualificado y competente para cumplir los objetivos estratégicos de la Entidad.
Mejoramiento continuo en el fortalecimiento de competencias de los servidores de la Entidad.
Cumplimiento de las obligaciones legales de la Entidad y de la Dirección de Talento Humano, en materia de capacitación.</t>
  </si>
  <si>
    <t>Técnicos
Humanos
Financieros</t>
  </si>
  <si>
    <t>1. Elaborar el diagnóstico de necesidades institucionales para Identificar los criterios prioritarios a tener en cuenta con el fin de mejorar la calidad de vida laboral de los servidores de la Entidad. (10%)
2. Elaborar y divulgar el Plan Institucional de Bienestar de la vigencia. (10%)
3. Implementar el Plan Institucional de Bienestar e Incentivos de la vigencia. (70%)
4. Hacer seguimiento y evaluación al Plan Institucional de Bienestar e Incentivos de la vigencia. (10%)</t>
  </si>
  <si>
    <t>Talento humano motivado y comprometido para cumplir los objetivos estratégicos de la Entidad.
Mejoramiento continuo en la calidad de vida laboral de los servidores de la Entidad.
Cumplimiento de las obligaciones legales de la Entidad y de la Dirección de Talento Humano, en materia de estímulos.</t>
  </si>
  <si>
    <t xml:space="preserve">
1. Identificar los criterios para el otorgamiento de incentivos  a los servidores de la Entidad, en la vigencia . (10%)
2. Elaborar aprobar y divulgar el Plan Institucional de Incentivos de la vigencia. (10%)
3. Implementar el Plan Institucional de Incentivos de la vigencia. (70%)
4. Hacer seguimiento y evaluación al Plan Institucional de Incentivos de la vigencia. (10%)</t>
  </si>
  <si>
    <t>1. Actualizar las herramientas del SG-SST: Matriz de Identificación de Peligros, Matriz de Requisitos Legales y ejecutar permanentemente las acciones que de ellas se deriven. (10%)
2. Diseñar, elaborar y divulgar el Plan de Gestión del Sistema de Gestión de Seguridad y Salud en el Trabajo de la vigencia. (10%)
3. Ejecutar e implementar el Plan de Gestión del Sistema de Gestión de Seguridad y Salud en el Trabajo de la vigencia. (70%)
4. Hacer seguimiento y evaluación al Plan de Gestión del Sistema de Gestión de Seguridad y Salud en el Trabajo de la vigencia (10%)</t>
  </si>
  <si>
    <t>Evaluación, control y socialización de los riesgos que puedan afectar la seguridad y salud de los servidores de la Entidad.
Mejoramiento continuo en las condiciones de seguridad y salud en el trabajo de los servidores de la Entidad.
Cumplimiento de las obligaciones legales de la Entidad y de la Dirección de Talento Humano, en materia de SST</t>
  </si>
  <si>
    <t xml:space="preserve">1. Divulgar las disposiciones legales y reglamentarias relacionadas con los sistemas de gestión y Evaluación del Desempeño Laboral.
2. Efectuar capacitaciones en materia de sistemas de gestión y Evaluación del Desempeño Laboral.   
3.  Realizar informe anual con base en los resultados de los sistemas de gestión y Evaluación del Desempeño Laboral, para establecer los planes de: Estímulos, Capacitación y Bienestar por parte de la alta dirección. 
</t>
  </si>
  <si>
    <t>Listas de asistencia de capacitaciones
Informe de Resultados de la Evaluación de Desempeño</t>
  </si>
  <si>
    <t>Técnicos
Humanos
Tecnológicos</t>
  </si>
  <si>
    <t>Proveer el Talento Humano requerido por los procesos institucionales mediante la gestión del ingreso, permanencia,  desarrollo integral y retiro de los(as) funcionarios(as), para el cumplimiento de la misión, objetivos y funciones de la Personería de Bogotá, D.C.</t>
  </si>
  <si>
    <t>Grado de avance en la formulación y ejecución del Plan Institucional de Capacitación</t>
  </si>
  <si>
    <t>Grado de avance en la formulación y ejecución del Plan Institucional de Bienestar</t>
  </si>
  <si>
    <t>Grado de avance en la formulación y ejecución del Plan Institucional de Incentivos</t>
  </si>
  <si>
    <t>Grado de avance en la formulación y ejecución del Plan Anual de Trabajo del SG-SST</t>
  </si>
  <si>
    <t>Número de capacitacionese realizadas sobre los Sistemas de Gestión y Evaluación del Desempeño Laboral de la Personería de Bogotá, D.C.</t>
  </si>
  <si>
    <t>1. Talento Humano
3. Gestión con valores para Resultados</t>
  </si>
  <si>
    <t>1. Talento Humano</t>
  </si>
  <si>
    <t>Porcentaje de servicios atendidos</t>
  </si>
  <si>
    <t>Porcentaje de actividades del PESV ejecutadas</t>
  </si>
  <si>
    <t>Gestión Administrativa</t>
  </si>
  <si>
    <t>Subdirección de Gestión Documental y Recursos Físicos
Dirección Administrativa y Financiera</t>
  </si>
  <si>
    <t>Gestionar la prestación de los servicios operativos y la administración de los bienes e infraestructura a todos los procesos de la Personería de Bogotá D.C, para el desarrollo de la misión y los objetivos institucionales.</t>
  </si>
  <si>
    <t>No. Servicios realizados /Total de servicios solicitados *100</t>
  </si>
  <si>
    <t>1. Atender los servicios de mantenimiento de bienes e instalaciones en los tiempos de respuesta establecidos.
2. Atender los servicios de almacén en los tiempos de respuesta establecidos.
3. Atender los servicios de transporte de manera satisfactoria.
4. Prestar los servicios de aseo y cafetería de manera satisfactoria.
Ejecutar el cronograma de actividades del Plan Estratégico de Seguridad Vial.
Cumplir las actividades relacionadas con la ejecución de los contratos de bienes y servicios de los proyectos de inversión y gastos de funcionamiento del proceso.</t>
  </si>
  <si>
    <t>Talento Humano
Gestión con Valor para Resultados
Evaluacion de Resultados</t>
  </si>
  <si>
    <t>N° de actividades ejecutadas en el periodo/N° de actividades programadas en el PESV para la vigencia*100</t>
  </si>
  <si>
    <t>1. Formualar el  cronograma de ejecucion del PESV
2. Ejecutar el PESV
3. Elaborar informe de avance</t>
  </si>
  <si>
    <t xml:space="preserve">Ejecución del Plan Estratégico de Seguridad Vial </t>
  </si>
  <si>
    <t>Talento Humano
Gestión con Valor para Resultados
Informacion y comunicación</t>
  </si>
  <si>
    <t>1. Cronograma de actividades del Plan Estrategico de Seguridad Vial</t>
  </si>
  <si>
    <t>WILLIAM ALIRIO FUENTES CABALLERO / SUBDIRECTOR DE GESTIÓN DOCUMENTAL Y RECURSOS FÍSICOS</t>
  </si>
  <si>
    <t>Servicios atendidos mantenimiento, almacén, transporte. Aseo y cafetería</t>
  </si>
  <si>
    <t>1. Contratos de ferreteria.
2. Contratos de Papelería.
3. Contratos de servicio de aseo y cafetería.
4. Plataforma para el registro de solicitudes.</t>
  </si>
  <si>
    <t xml:space="preserve">Porcentaje del Plan Anual de Adquisiciones ejecutado </t>
  </si>
  <si>
    <t>Gestión Contractual</t>
  </si>
  <si>
    <t>Subdirección de Gestión Contractual
Dirección Administrativa y Financiera</t>
  </si>
  <si>
    <t>Gestionar la adquisición de bienes y servicios programados en el plan anual de adquisiciones de la entidad con el prpósito de cumplir los objetivos establecidos en los planes, programas y proyectos institucionales de acuerdo con la normatividad vigente</t>
  </si>
  <si>
    <t>No. de adquisiciones realizadas /Total de adquisiciones planeadas *100</t>
  </si>
  <si>
    <t>1. Elaborar el PAA de acuerdo con las necesidades de la entidad
2. Gestionar su aprobación ante las instancias respectivas (junta de compras)
3. Realizar los procesos de contratación programados en el PAA
4. Actualizar el PAA cuando sea necesario
5. Realizar seguimiento a su ejecución</t>
  </si>
  <si>
    <t>Plan Anual de Adquisiciones ejecutado</t>
  </si>
  <si>
    <t>Direccionamiento estratégico y planeación
Gestión con valores para resultados
Evaluación de resultados</t>
  </si>
  <si>
    <t xml:space="preserve">1. Anteproyecto de presupuesto. 
2. Presupuesto de gastos generales 
3. Necesidades de contratación 
4. Estudios de mercado
5. Informes de ejecución del PAA </t>
  </si>
  <si>
    <t>Porcentaje del presupuesto aprobado y ejecutado.</t>
  </si>
  <si>
    <t>Porcentaje de los compromisos de pago programados y ejecutados.</t>
  </si>
  <si>
    <t>Porcentaje de estados financieros de la Entidad elaborados y presentados.</t>
  </si>
  <si>
    <t>Subdirección de Gestión Financiera
Dirección Administrativa y Financiera</t>
  </si>
  <si>
    <t>Gestión Financiera</t>
  </si>
  <si>
    <t>4.4.1 Atender el 100% de los servicios de mantenimiento, almacén, transporte. Aseo y cafetería</t>
  </si>
  <si>
    <t>4.4.3 Ejecutar el 95% del presupuesto aprobado para la Entidad</t>
  </si>
  <si>
    <t>4.4.4 Programar y ejecutar el 95% de los compromisos de pago adquiridos por la Entidad</t>
  </si>
  <si>
    <t>4.4.5 Elaborar y presentar el 100% de los estados financieros de la Entidad</t>
  </si>
  <si>
    <t>4.4.6 Ejecutar el 95% del Plan Anual de Adquisiciones respecto de gastos generales</t>
  </si>
  <si>
    <t>Coordinar, administrar y controlar las operaciones presupuestales, de tesorería y contables de la Personería de Bogotá, D. C., mediante la aplicación de la normatividad legal vigente, para asegurar la calidad, confiabilidad, razonabilidad y oportunidad de la información financiera y presupuestal de la Entidad.</t>
  </si>
  <si>
    <t>Valor de ejecución de presupuesto / Valor del presupuesto aprobado</t>
  </si>
  <si>
    <t>1. Elaborar el anteproyecto de presupuesto de la Entidad conforme las directrices y normas.
2. Gestionar su aprobación ante las instancias respectivas (Concejo de Bogotá)
3. Realizar los Certificados de disponiblidad y de registros presupuestales
4. Realizar las modificaciones presupuestales cuando sean necesarias
5. Realizar seguimiento a su ejecución</t>
  </si>
  <si>
    <t xml:space="preserve">
Presupuesto aprobado, publicado y ejecutado</t>
  </si>
  <si>
    <t>1. Plan Anual de Adquisiciones
2. Ejecución de presupuestos anteriores
3. Recurso Humano 
Tecnologicos</t>
  </si>
  <si>
    <t>Valor de pagos realizados / Valor del presupuesto ejecutado</t>
  </si>
  <si>
    <t>1. Elaborar el Programa anual mensualizado de caja PAC
2. Reprogramar el PAC bimestralmente
3. Elaborar y ordenar los pagos
4. Realizar seguimiento al programa anual mensualizado de caja PAC</t>
  </si>
  <si>
    <t>PAC anual ejecutado</t>
  </si>
  <si>
    <t>1. Presupuesto aprobado
2. Bienes y servicios contratados
3. Recurso Humano 
Tecnologicos</t>
  </si>
  <si>
    <t>Estados Financieros presentados</t>
  </si>
  <si>
    <t>1. Realizar los registros contables de todas las operaciones financieras de la Entidad
2. Revisión y conciliación del balance de prueba
3. Presentacíon de Estados financieros definitivos a instancia respectiva
4. Revisión y evalación de los Estados financieros</t>
  </si>
  <si>
    <t>Estados Financieros auditados</t>
  </si>
  <si>
    <t>1. Presupuesto ejecutado
2. PAC ejecutado
3. Recurso Humano 
Tecnologicos</t>
  </si>
  <si>
    <t>JOSE HUGO TORRES HERNANDEZ / Subdirector de Gestión Financiera</t>
  </si>
  <si>
    <t>Gestión con valores para resultados
Información y Comunicación
Evaluación de resultados</t>
  </si>
  <si>
    <t>Información y Comunicación
Gestión con valores para resultados
Evaluación de resultados</t>
  </si>
  <si>
    <t>Direccionamiento estratégico y planeación
Información y Comunicación
Gestión con valores para resultados
Evaluación de resultados</t>
  </si>
  <si>
    <t>Porcentaje de Comunicaciones oficiales con reparto realizado dentro de los 3 días hábiles desde su radicación</t>
  </si>
  <si>
    <t>Gestión Documental</t>
  </si>
  <si>
    <t>Subdirección de Gestión Documental y Recursos Físicos - Grupo de Correspondencia</t>
  </si>
  <si>
    <t>Subdirección de Gestión Documental y Recursos Físicos - Archivo central</t>
  </si>
  <si>
    <t xml:space="preserve">Subdirección de Gestión Documental y Recursos Físicos </t>
  </si>
  <si>
    <t>Gestión Documental
Direccionamiento TIC</t>
  </si>
  <si>
    <t>Subdirección de Gestión Documental y Recursos Físicos
Dirección de Tecnologías de la Información y Comunicaciones</t>
  </si>
  <si>
    <t>4.4.7 Realizar el 95% del reparto, dentro de un término no superior a tres (3) días hábiles, de las comunicaciones oficiales institucionales recibidas por el Grupo de Correspondencia.</t>
  </si>
  <si>
    <t>4.4.8 Incorporar el 80% al archivo central de las transferencias documentales provenientes de las dependencias, en razón a que cumplen los requisitos exigidos para ello.</t>
  </si>
  <si>
    <t>4.4.9 Realizar 100 actividades de diseño, actualización o ajuste de los instrumentos archivísticos establecidos por norma.</t>
  </si>
  <si>
    <t>4.4.10 Realizar 100 actividades de implementación de los instrumentos archivísticos establecidos por norma, y de las herramientas de apoyo a la gestión documental.</t>
  </si>
  <si>
    <t>INFORMACIÓN Y COMUNICACIÓN</t>
  </si>
  <si>
    <t>Recurso humano  
Recurso tecnológico
Servicio de mensajería
Vehículo institucional</t>
  </si>
  <si>
    <t>Realizar revisión de documentos a transferir por las dependencias para verificar que cumplen los requisitos establecidos. 
Programar la recepción de la transferencia documental
Recibir y revisar la documentación en el archivo central.
Oficializar la incorporación de la documentación en el archivo central.</t>
  </si>
  <si>
    <t>Registros de revisiones a las dependencias de los requisitos para recibir las transferencias documentales proyectadas
Documentación transferida por las dependencias, incorporada al archivo central
Evidencia de la aceptación de la transferencia documental por el archivo central.</t>
  </si>
  <si>
    <t>Recurso Humano
Vehículo institucional
Estantería para conservación de archivos</t>
  </si>
  <si>
    <r>
      <t xml:space="preserve">Cantidad de actividades de </t>
    </r>
    <r>
      <rPr>
        <u/>
        <sz val="12"/>
        <rFont val="Arial"/>
        <family val="2"/>
      </rPr>
      <t xml:space="preserve">diseño, actualización o ajuste </t>
    </r>
    <r>
      <rPr>
        <sz val="12"/>
        <rFont val="Arial"/>
        <family val="2"/>
      </rPr>
      <t>de los instrumentos archivisticos establecidos por norma.</t>
    </r>
  </si>
  <si>
    <t>Ejecutar los planes y cronogramas de trabajo relacionados con diseño y/o actualización y ajuste de instrumentos archivísticos establecidos por norma.
Gestionar la validación y aprobación de los instrumentos archivísticos diseñados y/o actualizados o ajustados.
Publicar los instrumentos archivísticos aprobados que lo requieran.</t>
  </si>
  <si>
    <t>Planes y/o cronogramas de diseño, actualización o ajuste de instrumentos archivísticos
Evidencias de la validación y aprobación de instrumentos archivísticos
Evidencia de la publicación de instrumentos archivísticos que lo requieren.</t>
  </si>
  <si>
    <t>Recurso humano</t>
  </si>
  <si>
    <r>
      <t>Cantidad de actividades de</t>
    </r>
    <r>
      <rPr>
        <u/>
        <sz val="12"/>
        <rFont val="Arial"/>
        <family val="2"/>
      </rPr>
      <t xml:space="preserve"> implementación</t>
    </r>
    <r>
      <rPr>
        <sz val="12"/>
        <rFont val="Arial"/>
        <family val="2"/>
      </rPr>
      <t xml:space="preserve"> de los instrumentos archivisticos establecidos por norma.</t>
    </r>
  </si>
  <si>
    <t xml:space="preserve">
Ejecutar los planes y cronogramas de trabajo relacionados con implementación de instrumentos archivísticos establecidos por norma y de herramientas de apoyo a la gestión documental.
Revisar la adecuada aplicación por las dependencias o los responsables de los instrumentos archivisticos implementados. 
Prestar orientación y asistencia a las dependencias o responsables de implementar los instrumentos archivísticos que lo requieran o de ejecutar actividades en herramientas tecnológicas de apoyo a la gestión documental.
</t>
  </si>
  <si>
    <t xml:space="preserve">Planes y/o cronogramas de implementación de instrumentos archivísticos y de herramientas de apoyo a la gestión documental.
Evidencias de la revisión sobre la adecuada aplicación de los instrumentos archivísticos implementados.
Evidencias de acciones de orientación y asistencia a las dependencias sobre implementación de instrumentos archivisticos y herramientas tecnológicas de apoyo a la gestión documental. </t>
  </si>
  <si>
    <t>INFORMACIÓN Y COMUNICACIÓN
EVALUACIÓN DE RESULTADOS</t>
  </si>
  <si>
    <t>Recurso humano
Aplicativo de gestión documental</t>
  </si>
  <si>
    <t>WILLIAM ALIRIO FUENTES CABALLERO - SUBDIRECTOR DE GESTIÓN DOCUMENTAL Y RECURSOS FÍSICOS</t>
  </si>
  <si>
    <t>Administrar y salvaguardar la documentación de la Personería de Bogotá D.C, en todas las etapas de su ciclo de vida, mediante la aplicación de lineamientos e instrumentos archivísticos definidos por la normatividad vigente, para constituir la memoria institucional y facilitar el acceso a la información para los fines de la Entidad y los de sus usuarios.</t>
  </si>
  <si>
    <t>Porcentaje de documentación incorporada en el archivo central durante la vigencia.</t>
  </si>
  <si>
    <t xml:space="preserve">Metros lineales incorporados al archivo central/ Metros lineales recibidos para incorporar al archivo central que cumplen los requisitos </t>
  </si>
  <si>
    <t>Porcentaje de procesos judiciales en los que se vincule o demande a la Entidad, objeto de representación oportuna</t>
  </si>
  <si>
    <t xml:space="preserve"> Gestión Jurídica</t>
  </si>
  <si>
    <t xml:space="preserve">Porcentaje de acciones de tutela en las cuales se defienda judicialmente a la Entidad oportunamente </t>
  </si>
  <si>
    <t>Porcentaje de conceptos de competencia de la dependencia emitidos oportunamente</t>
  </si>
  <si>
    <t>4.4.11  Representar a la Entidad en el 100% de los procesos judiciales en los cuales la sea vinculada o demandada.</t>
  </si>
  <si>
    <t xml:space="preserve">4.4.12 Defender judicialmente a la Entidad en el 100% de las acciones de tutela en las cuales sea vinculada o accionada </t>
  </si>
  <si>
    <t>4.4.13 Emitir oportunamente el 100% de los conceptos jurídicos solicitados por el Despacho del Personero de Bogotá o sus delegados.</t>
  </si>
  <si>
    <t>4.4.14 Registrar el 100% de los reportes de las sanciones disciplinarias de los servidores públicos distritales.</t>
  </si>
  <si>
    <t>Porcentaje de antecedentes disciplinarios expedidos</t>
  </si>
  <si>
    <t>Porcentaje de reportes de la base de datos de sanciones disciplinarias registrados</t>
  </si>
  <si>
    <t>(Número de procesos judiciales en los que se representa oportunamente, de acuerdo con los términos fijados por los despachos judiciales / Número total de procesos judiciales en los que se vincula la Entidad )  (x 100)</t>
  </si>
  <si>
    <t>1) Recibir las solicitudes de conciliación y demandas
2) Hacer el reparto correspondiente entre los abogados 
3) Elaborar las fichas de conciliación
4) Asistir a las audiencias de conciliación                         5) Intervenir en el trámite de los procesos</t>
  </si>
  <si>
    <t>Defensa judicial idónea y oportuna</t>
  </si>
  <si>
    <t>3. Gestión con valores para resultados (de la ventanilla hacia adentro)</t>
  </si>
  <si>
    <t>Humano y tecnológico</t>
  </si>
  <si>
    <t xml:space="preserve">(Número de acciones de tutela en las que se interviene oportunamente, de acuerdo con los términos fijados por los despachos judiciales / Numero total de acciones de tutela  en las que se acciona o vincula a la Entidad ) (x 100) </t>
  </si>
  <si>
    <t>1) Recibir las acciones de tutela
2) Hacer el reparto correspondiente entre los abogados 
3)  Revisar los informes base de respuesta, emitidos por la dependencias competentes.
4) Registrar las acciones de tutela en la base de datos creada para tal fin
5)  hacer seguimiento al trámite judicial,  revisar los fallos de 1ª y 2ª instancia, registrarlos en la base de datos</t>
  </si>
  <si>
    <t>Número de conceptos emitidos oportunamente / Número de solicitudes de conceptos jurídicos recibidas de competencia de la dependencia (x100)</t>
  </si>
  <si>
    <t xml:space="preserve">1) Recibir las solicitudes de concepto jurídico
2) Analizar las normas pertinentes
3) Analizar doctrina y jurisprudencia vigente                                                                    
4) Emitir el concepto                                                               
</t>
  </si>
  <si>
    <t>Conceptos jurídicos idóneos y oportunos</t>
  </si>
  <si>
    <t>Base de datos con la información actualizada de manera permanente</t>
  </si>
  <si>
    <t>Reducir el riesgo de ocurrencia del daño antijurídico en la Entidad, mediante la representación judicial, la emisión de conceptos sobre los asuntos que sean consultados por el (la) Personero (a) de Bogotá, la asesoría a las dependencias de la entidad y la permanente actualización normativa, para salvaguardar la responsabilidad y los recursos de la entidad.</t>
  </si>
  <si>
    <t>William Javier Murcia Acevedo/Jefe Oficina Aseora Jurídica</t>
  </si>
  <si>
    <t>Número de reportes actualizados / Número de solicitudes de actualización de reportes recibidos (x100)</t>
  </si>
  <si>
    <t xml:space="preserve">1) Recibir las solicitudes de registro de sanciones,  corrección y/o modificación
2) Revisar las solicitudes y documentación anexa
3) Registrar las sanciones en el sistema de antecedentes disciplinarios                                              4) Comunicar a la entidad que genera el reporte                                                                                 </t>
  </si>
  <si>
    <t xml:space="preserve">1) Recibir solicitud
2) Expedir los certificados de antecedentes disciplinarios   </t>
  </si>
  <si>
    <t>Certificados de antecedentes disciplinarios expedidos</t>
  </si>
  <si>
    <t>3. Gestión con valores para resultados (de la ventanilla hacia fuera)</t>
  </si>
  <si>
    <t>Medidas de preservación del orden interno emitidas</t>
  </si>
  <si>
    <t>Oficina Control Interno Disciplinario</t>
  </si>
  <si>
    <t>Jornadas de sensibilización realizadas</t>
  </si>
  <si>
    <t>Procesos disciplinarios con decisión de fondo proferida</t>
  </si>
  <si>
    <t xml:space="preserve">4.5.1 Emitir 96 solicitudes de aplicación de medidas de preservación del orden interno, con el fin de prevenir la materialización de conductas con alcance disciplinario. </t>
  </si>
  <si>
    <t>4.5.3 Decidir de fondo 400 procesos disciplinarios que se encuentren en términos o con periodos vencidos, dando prelación a aquellos con mayor antigüedad o aquellos próximos a prescribir o caducar.</t>
  </si>
  <si>
    <t>Número de medidas de preservación del orden interno emitidas</t>
  </si>
  <si>
    <t>24 Medidas de prevención del orden interno emitidas</t>
  </si>
  <si>
    <t>Número de jornadas de sensibilización realizadas</t>
  </si>
  <si>
    <t>Número de procesos disciplinarios con decisión de fondo proferidos</t>
  </si>
  <si>
    <t>100 Procesos disciplinarios con decisión de fondo proferida</t>
  </si>
  <si>
    <t>Proteger la función pública al interior de la Personería de Bogotá, D. C., de posibles conductas disciplinarias realizadas por sus servidores(as) públicos(as) adelantando las actuaciones con observancia del debido proceso.</t>
  </si>
  <si>
    <t>JORGE ULISES GARTNER CORREDOR  / JEFE OFICINA CONTROL INTERNO DISCIPLINARIO</t>
  </si>
  <si>
    <t>115 (en el último año)</t>
  </si>
  <si>
    <t>1. Recibir la queja.
2. Analizar el contenido de la queja.
3. Emitir la medida de preservación del orden interno si cumple con lo establecido en el Artículo 51 de la Ley 734 de 2002, o  la norma que lo modifique.</t>
  </si>
  <si>
    <t>1. Con base en el estudio de faltas recurrentes elaborada por la Oficina en el 2020, seleccionar las conductas que ameriten la sensibilización. 
2. Preparar el material para la jornada.
3. Establecer la fecha y hora para el efecto.
4. Coordinar con la Oficina Asesora de Prensa la divulgación de la jornada dirigida a los funcionarios de la Personería de Bogotá D.C.
5. Realizar la jornada de sensibilización.</t>
  </si>
  <si>
    <t>1.  Instruir el proceso disciplinario por parte del abogado.
2. Evaluar el proceso junto con los elementos de prueba aportados legalmente
3. Proyectar la decisión de fondo para la revisión del Jefe de Oficina
4. Revisar el proyecto y realizar las observaciones del caso.
5. Proferir la decisión de fondo correspondiente</t>
  </si>
  <si>
    <t>TALENTO HUMANO - Política de Integridad</t>
  </si>
  <si>
    <t xml:space="preserve">1. Talento humano
2. Recursos tecnológicos </t>
  </si>
  <si>
    <t>Control Disciplinario Interno</t>
  </si>
  <si>
    <t>Programa anual de auditorías ejecutado.</t>
  </si>
  <si>
    <t>Evaluación y Seguimiento</t>
  </si>
  <si>
    <t>4.5.4 Ejecutar  4 programas anuales de auditorias, aprobados por el Comité Institucional de Coordinación del Sistema de Control Interno.</t>
  </si>
  <si>
    <t>Realizar seguimiento y evaluación a la gestión de los procesos y sistemas de gestión de la Personería de Bogotá D.C., a través de los roles establecidos para la Oficina de Control Interno en la normatividad vigente, con el propósito de determinar la eficacia, eficiencia y efectividad, en el cumplimiento de los objetivos institucionales y contribuir al mejoramiento continuo de los procesos de la entidad.</t>
  </si>
  <si>
    <t>Elaborar el programa anual de auditorias 
Presentar el programa anual de auditorías al Comité Institucional de Coordinación del Sistema de Control Interno para su aprobación.
Ejecutar el programa anual de auditorías.</t>
  </si>
  <si>
    <t>Programa Anual de Auditorías Aprobado y ejecutado</t>
  </si>
  <si>
    <t>Septima Dimensión  Control Interno</t>
  </si>
  <si>
    <t>Infraestructura, Humanos y Tecnologicos.</t>
  </si>
  <si>
    <t>Número de estratégias de sensibilización acerca de la cultura del control desarrolladas</t>
  </si>
  <si>
    <t>Estratégia realizada acerca de la cultura del control</t>
  </si>
  <si>
    <t>Número de jornadas de Sensibilización realizadas</t>
  </si>
  <si>
    <t>Directivos y referentes de gestión sensibilizados
Listado asistencia a la capacitación realizada</t>
  </si>
  <si>
    <t>SANDRA MILENA CACERES GONZALEZ/ JEFE OFICINA DE CONTROL INTERNO ( E )</t>
  </si>
  <si>
    <t>Reunión con el equipo de trabajo para establecer  la estratégia de sensibilización a desarrollarse.
Elaborar el acta de decisiones que se tomen para dicha reunión.
Llevar a cabo a la estratégia de sensibilización definida.
Al finalizar aplicar la encuesta de percepción de la estratégia.</t>
  </si>
  <si>
    <t>Priorizar los temas acerca de la sensibilización.
Preparar y presentar la sensibilización.
Listado de asistencia y evaluación.</t>
  </si>
  <si>
    <t>Productos de comunicación externa desarrollados</t>
  </si>
  <si>
    <t>Comunicación Estratégica</t>
  </si>
  <si>
    <t>Oficina Asesora de Comunicaciones</t>
  </si>
  <si>
    <t>Productos  de comunicación interna
desarrollados</t>
  </si>
  <si>
    <t>4.6.1  Desarrollar el 100% de los productos para comunicación y divulgación externa que promuevan y difundan la gestión institucional</t>
  </si>
  <si>
    <t>4.6.2 Desarrollar el 100% de los productos para comunicación y divulgación interna que contribuyan a la consecución de objetivos institucionales</t>
  </si>
  <si>
    <t>Número de productos de comunicación externa realizados/ Número de productos de comunicación externa  programados* 100</t>
  </si>
  <si>
    <t>Productos de comunicación externa</t>
  </si>
  <si>
    <r>
      <rPr>
        <b/>
        <sz val="12"/>
        <rFont val="Arial"/>
        <family val="2"/>
      </rPr>
      <t>Dimensión 3.</t>
    </r>
    <r>
      <rPr>
        <sz val="12"/>
        <rFont val="Arial"/>
        <family val="2"/>
      </rPr>
      <t xml:space="preserve"> Gestión con Valores para resultados.                    </t>
    </r>
    <r>
      <rPr>
        <b/>
        <sz val="12"/>
        <rFont val="Arial"/>
        <family val="2"/>
      </rPr>
      <t>Dimensión 5.</t>
    </r>
    <r>
      <rPr>
        <sz val="12"/>
        <rFont val="Arial"/>
        <family val="2"/>
      </rPr>
      <t xml:space="preserve"> Información y Comunicación      </t>
    </r>
  </si>
  <si>
    <t>Recurso técnico y Humano.</t>
  </si>
  <si>
    <t>Número de productos de comunicación interna realizados/ Número de productos de comunicación interna  programados* 100</t>
  </si>
  <si>
    <t>Productos de comunicación interna</t>
  </si>
  <si>
    <t>1. Recibir solicitudes y asignarlas
2. Desarrollar boletines de prensa, piezas gráficas, productos audiovisuales</t>
  </si>
  <si>
    <t>1. Recibir solicitudes y asignarlas
2. Desarrollar notas internas, piezas gráficas, productos audiovisuales.</t>
  </si>
  <si>
    <t>Proyectos de Investigación, Desarrollo e Innovación (I+D+I) elaborados</t>
  </si>
  <si>
    <t xml:space="preserve">Gestión del Conocimiento e Innovación </t>
  </si>
  <si>
    <t xml:space="preserve">Dirección de Gestión del Conocimiento e Innovación </t>
  </si>
  <si>
    <t>Informes de investigación e innovación construidos</t>
  </si>
  <si>
    <t xml:space="preserve">5.1.1 Elaborar cuatro (4) proyectos de investigación, desarrollo e innovación I+D+I para la Entidad </t>
  </si>
  <si>
    <t xml:space="preserve">5.2.1 Construir ocho (8) informes de investigación e innovación que reflejen la analítica institucional </t>
  </si>
  <si>
    <t>Actividades de apropiación social del conocimiento desarrolladas</t>
  </si>
  <si>
    <t>Desarrollar conocimiento e innovación, mediante la gestión de la información e iniciativas, que aseguren su transferencia y transformación</t>
  </si>
  <si>
    <t>1. Fase de Formulación. 
2. Fase de Evaluación.
3. Fase de Desarrollo.
4. Fase de Análisis. 
5. Fase de Evaluación</t>
  </si>
  <si>
    <t xml:space="preserve">1 proyecto de investigación </t>
  </si>
  <si>
    <t>6. Gestión del conocimiento y de la Innovación
3. Gestion con valor para resultados</t>
  </si>
  <si>
    <t>Humanos
Tecnológicos
Estructurales</t>
  </si>
  <si>
    <t>Número de Informes de Investigación e Innovación construidos</t>
  </si>
  <si>
    <t>1. Etapa de Contexto
2. Etapa de Metodología
3. Etapa Conclusiones y recomendaciones</t>
  </si>
  <si>
    <t xml:space="preserve">2 Informes de investigación </t>
  </si>
  <si>
    <t xml:space="preserve"> Número de Actividades de apropiación social del conocimiento realizadas</t>
  </si>
  <si>
    <t xml:space="preserve">1. Etapa de Planeación
2. Etapa de Organizar
3. Etapa de Realización </t>
  </si>
  <si>
    <t>3 eventos científicos (Congresos, Seminarios, Simposios, Foro, Talleres y Encuentros)</t>
  </si>
  <si>
    <t>JAIME ALFONSO CUBIDES CÁRDENAS - DIRECTOR 009-002</t>
  </si>
  <si>
    <t>Dirección de Conciliación y M.A.S.C.</t>
  </si>
  <si>
    <t>NOTA: Si este documento se encuentra impreso se considera Copia no Controlada. La versión vigente esta publicada en la intranet de la Personería de Bogotá D.C.</t>
  </si>
  <si>
    <t>PLAN OPERATIVO ANUAL 
2021</t>
  </si>
  <si>
    <r>
      <t xml:space="preserve">Código: </t>
    </r>
    <r>
      <rPr>
        <sz val="10"/>
        <rFont val="Arial"/>
        <family val="2"/>
      </rPr>
      <t>01-PL-09</t>
    </r>
  </si>
  <si>
    <r>
      <t xml:space="preserve">Página: 
</t>
    </r>
    <r>
      <rPr>
        <sz val="10"/>
        <rFont val="Arial"/>
        <family val="2"/>
      </rPr>
      <t>1 de 2</t>
    </r>
  </si>
  <si>
    <r>
      <t xml:space="preserve">Vigencia desde: 
</t>
    </r>
    <r>
      <rPr>
        <sz val="10"/>
        <rFont val="Arial"/>
        <family val="2"/>
      </rPr>
      <t>30-01-2021</t>
    </r>
  </si>
  <si>
    <t>CONTROL DE CAMBIOS</t>
  </si>
  <si>
    <t>VERSIÓN</t>
  </si>
  <si>
    <t>FECHA</t>
  </si>
  <si>
    <t>DESCRIPCIÓN DE LA MODIFICACIÓN</t>
  </si>
  <si>
    <t>Versión inicial del documento.</t>
  </si>
  <si>
    <t>Responsables de Procesos
Referentes de Gestión
Procesos Institucionales</t>
  </si>
  <si>
    <t>Elaboró</t>
  </si>
  <si>
    <t>Revisó</t>
  </si>
  <si>
    <t>Aprobó</t>
  </si>
  <si>
    <t>Germán Uriel Rojas
Director de Planeación ( E )</t>
  </si>
  <si>
    <t>Comité Institucional de Gestión y Desempeño</t>
  </si>
  <si>
    <r>
      <t xml:space="preserve">Página: 
</t>
    </r>
    <r>
      <rPr>
        <sz val="10"/>
        <rFont val="Arial"/>
        <family val="2"/>
      </rPr>
      <t>2 de 2</t>
    </r>
  </si>
  <si>
    <r>
      <t xml:space="preserve">Versión: </t>
    </r>
    <r>
      <rPr>
        <sz val="10"/>
        <rFont val="Arial"/>
        <family val="2"/>
      </rPr>
      <t>1</t>
    </r>
  </si>
  <si>
    <r>
      <t xml:space="preserve">1. OBJETIVO
</t>
    </r>
    <r>
      <rPr>
        <sz val="12"/>
        <color theme="1"/>
        <rFont val="Arial"/>
        <family val="2"/>
      </rPr>
      <t xml:space="preserve">Establecer las metas del nivel táctico que conllevan al desarrollo del objetivo y meta estratégicos de manera articulada y que es necesario implementar a nivel de procesos, para responder a los compromisos definidos en el Plan  Estratégico Institucional y al cumplimiento del objetivo del (de los) proceso(s).
</t>
    </r>
    <r>
      <rPr>
        <b/>
        <sz val="12"/>
        <color theme="1"/>
        <rFont val="Arial"/>
        <family val="2"/>
      </rPr>
      <t>2. ALCANCE</t>
    </r>
    <r>
      <rPr>
        <sz val="12"/>
        <color theme="1"/>
        <rFont val="Arial"/>
        <family val="2"/>
      </rPr>
      <t xml:space="preserve">
Comprende el despliegue y definición de metas del nivel táctico, indicadores, acciones operativas, responsables, recursos y la programación de la vigencia que permite que se ejecuten alineadas a los Objetivos Estratégicos, las metas estratégicas definidas definidos en el Plan Estratégico Institucional, los requisitos de calidad de la Entidad y en el marco del modelo de operación por procesos establecido.</t>
    </r>
    <r>
      <rPr>
        <b/>
        <sz val="12"/>
        <color theme="1"/>
        <rFont val="Arial"/>
        <family val="2"/>
      </rPr>
      <t xml:space="preserve">
3. RESPONSABLES
</t>
    </r>
    <r>
      <rPr>
        <sz val="12"/>
        <color theme="1"/>
        <rFont val="Arial"/>
        <family val="2"/>
      </rPr>
      <t xml:space="preserve">Personero(a) de Bogotá, D. C.
Comité Institucional de Gestión y Desempeño
Responsables de Procesos institucionales
Equipos de trabajo de los proceso institucionales
</t>
    </r>
    <r>
      <rPr>
        <b/>
        <sz val="12"/>
        <color theme="1"/>
        <rFont val="Arial"/>
        <family val="2"/>
      </rPr>
      <t xml:space="preserve">4. ANEXOS
</t>
    </r>
    <r>
      <rPr>
        <sz val="12"/>
        <color theme="1"/>
        <rFont val="Arial"/>
        <family val="2"/>
      </rPr>
      <t>Hacen parte integral del Plan Operativo Anual de la vigencia la programación institucional consolidada y por los procesos institucionales la que se encuentra consignada en el formato 01-FR-03 Plan Operativo Anual, vigente.</t>
    </r>
  </si>
  <si>
    <t>Porcentaje de proyectos implementados de acuerdo al plan de tecnologías de la Información</t>
  </si>
  <si>
    <t>Porcentaje de lineamientos adoptados  en la estrategia de gestión de datos</t>
  </si>
  <si>
    <t>4.4.2 Ejecutar el 97% de las actividades del Plan Estratégico de Seguridad Vial (PESV)</t>
  </si>
  <si>
    <t>4.5.5 Desarrollar 4 estrategias de sensibilización acerca de la cultura del control.</t>
  </si>
  <si>
    <t>Estrategia de Sensibilización acerca de la Cultura del Control realizada</t>
  </si>
  <si>
    <t>4.5.6 Realizar 4 jornadas de sensibilización a Directivos y Referentes de proceso sobre la Séptima Dimensión.</t>
  </si>
  <si>
    <t>Sensibilización a Directivos y Referentes de Gestión sobre la Séptima Dimensión del MIPG realizada</t>
  </si>
  <si>
    <r>
      <t xml:space="preserve">Cantidad de actividades realizadas por año para el </t>
    </r>
    <r>
      <rPr>
        <u/>
        <sz val="12"/>
        <rFont val="Arial"/>
        <family val="2"/>
      </rPr>
      <t xml:space="preserve">diseño, actualización o ajuste </t>
    </r>
    <r>
      <rPr>
        <sz val="12"/>
        <rFont val="Arial"/>
        <family val="2"/>
      </rPr>
      <t>de los instrumentos archivísticos establecidos por norma</t>
    </r>
  </si>
  <si>
    <r>
      <t xml:space="preserve">Cantidad de actividades realizadas por año para </t>
    </r>
    <r>
      <rPr>
        <u/>
        <sz val="12"/>
        <rFont val="Arial"/>
        <family val="2"/>
      </rPr>
      <t>implementación</t>
    </r>
    <r>
      <rPr>
        <sz val="12"/>
        <rFont val="Arial"/>
        <family val="2"/>
      </rPr>
      <t xml:space="preserve"> de los instrumentos archivísticos establecidos por norma, y de herramientas de apoyo a la gestión documental.</t>
    </r>
  </si>
  <si>
    <t>P.D. para Asuntos Penales I, Penales II, Derechos Humanos y Policivos y Civiles
P.D. para los Sectores Planeación y Movilidad y la P.D. para los Sectores Educación y Cultura, Recreación y Deporte</t>
  </si>
  <si>
    <t>P.D. para la Coordinación del MP y DDHH y sus dependencias adscritas
P.D. para la Coordinación de la Gestión de Personerías Locales y sus Personerías Locales adscritas
P.D. para la Coordinación de la Prevención y Control a la Función Pública y sus dependencias adscritas</t>
  </si>
  <si>
    <t>P.D. para Asuntos Policivos y Civiles, Derechos Humanos, Familia, Orientación y Asistencia, Consumidor, Asuntos Jurisdiccionales y Dirección de Conciliación y M.A.S.C.
P.D. para la Coordinación de la Gestión de Personerías Locales y sus Personerías Locales adscritas
P.D. para la Coordinación de la Prevención y Control a la Función Pública y sus dependencias adscritas</t>
  </si>
  <si>
    <t>P.D. para la Coordinación del MP y DDHH y sus dependencias adscritas.</t>
  </si>
  <si>
    <t>P.D. para Asuntos Jurisdiccionales, Víctimas y Penal II.
P.D. para la Coordinación de la Gestión de Personerías Locales y sus Personerías Locales adscritas</t>
  </si>
  <si>
    <t>P.D. para la Coordinación de la Gestión de Personerías Locales y sus Personerías Locales adscritas</t>
  </si>
  <si>
    <t>P.D. para la Coordinación del MP y DDHH y sus dependencias adscritas
P.D. para la Coordinación de la Gestión de Personerías Locales y sus Personerías Locales adscritas</t>
  </si>
  <si>
    <t>P.D. para la Protección de las Víctimas del Conflicto Armado Interno
P.D. para la Coordinación de la Gestión de Personerías Locales y sus Personerías Locales adscritas</t>
  </si>
  <si>
    <t>P.D. para Asuntos Jurisdiccionales, Víctimas, Penal II y Consumidor.
P.D. para la Coordinación de la Gestión de Personerías Locales y sus Personerías Locales adscritas</t>
  </si>
  <si>
    <t>P.D. para la Familia y Sujetos de Especial Protección Constitucional</t>
  </si>
  <si>
    <t>P.D. para la Coordinación del MP y DDHH, P.D. para Asuntos Penales I, Penales II, Derechos Humanos, Familia, Víctimas, Asuntos Jurisdiccionales y Consumidor.
 P.D. para la Coordinación de la Gestión de Personerías Locales y sus Personerías Locales adscritas</t>
  </si>
  <si>
    <t>P.D. para la Coordinación del MP y DDHH, P.D. para Asuntos Policivos y Civiles, Penales I, Penales II, Derechos Humanos, Familia, Víctimas, Consumidor y Asuntos Jurisdiccionales.
 P.D. para la Coordinación de la Gestión de Personerías Locales y sus Personerías Locales adscritas</t>
  </si>
  <si>
    <t>P.D. para la Coordinación del MP y DDHH y sus dependencias adscritas
 P.D. para la Coordinación de la Gestión de Personerías Locales y sus Personerías Locales adscritas</t>
  </si>
  <si>
    <t>Dirección de Planeación
Aportan: Dependencias lideradas por  Responsables de procesos y operativos de todos los procesos institucionales</t>
  </si>
  <si>
    <t>1 de 18</t>
  </si>
  <si>
    <t>2 de 18</t>
  </si>
  <si>
    <t>4.1.1 Implementar el 100 % de los proyectos de hoja de ruta del Plan Estratégico de Tecnología de la Información de tal forma que se optimicen los procesos de la Entidad</t>
  </si>
  <si>
    <t>4.1.4 Implementar en un 100% los lineamientos que adopte la Entidad para mejorar la gestión de datos que facilite la toma de decisiones</t>
  </si>
  <si>
    <t>4.1.3 Realizar el 100% de las actividades definidas en la estrategia de servicios ciudadanos digitales, que permitan acceder a los tramites y servicios de la Entidad a través de canales digitales rápidos, fiables y seguros</t>
  </si>
  <si>
    <t xml:space="preserve">3.4.2 Diseñar e implementar un sistema de información misional que generé el expediente electrónico  </t>
  </si>
  <si>
    <t>1. Revisar el autodiagnóstico 2020 y verificar los avances en la ejecución con los responsables
2. Actualizar el Plan de acción para la implementación y sostenimiento del MIPG en la vigencia 2021, de acuerdo a las actividades pendientes por ejecutar a diciembre 2020
3. Ejecutar el Plan de Acción 2021 (las actividades del Plan se ejecutarán de manera mensual de acuerdo a programación que permitirá cumplir el 22% programado para la vigencia 2021)
4. Realizar seguimiento a las actividades ejecutadas por los referentes de manera mensual
5. Generar un informe de avance de la implementación de las actividades del MIPG</t>
  </si>
  <si>
    <t>Número de antecedentes disciplinarios expedidos / Número de antecedentes disciplinarios solicitados (x100)</t>
  </si>
  <si>
    <t>Grado del avance del Programa Anual de Auditoría</t>
  </si>
  <si>
    <t>Número de solicitudes a petición asumidas por poder preferente/ Número total de peticiones solicitadas por poder preferente</t>
  </si>
  <si>
    <t>Número de informes realizados en temas específicos programados en el periodo.</t>
  </si>
  <si>
    <t>Número informes de seguimientos realizados en temas específicos en el periodo.</t>
  </si>
  <si>
    <t>Número de informes de Acción de Prevención y Control a la Función Publica realizados en el periodo.</t>
  </si>
  <si>
    <t>Número de informes de seguimientos realizados en el periodo.</t>
  </si>
  <si>
    <t>Número de espacios de dialogo realizados en el periodo.</t>
  </si>
  <si>
    <t>Número de proyectos de investigación, desarrollo e innovación elaborados</t>
  </si>
  <si>
    <t>ALBA CLEMENCIA ROJAS ARIAS / DIRECTOR OPERATIVO CÓDIGO 009 GRADO 02</t>
  </si>
  <si>
    <t>∑ Número de expedientes con Impulso Procesal para la Gestión de las Multas</t>
  </si>
  <si>
    <t xml:space="preserve"> Grado de avance en la implementación de acciones para la sostenibilidad y mejora del SGC</t>
  </si>
  <si>
    <t>Grado de avance en la implementación de acciones para la sostenibilidad y mejora del MIPG</t>
  </si>
  <si>
    <t>Número de acciones de monitoreo realizadas al PAAC</t>
  </si>
  <si>
    <t>Silvia Juliana Arciniegas Morales 
Personera Delegada para la Coordinación de Potestad Disciplinaria</t>
  </si>
  <si>
    <t>DIANA ROCIO OVIEDO CALDERÓN - SUBDIRECORA DE GESTIÓN CONTRACTUAL</t>
  </si>
  <si>
    <t>No comunicaciones entregadas a las dependencias internas dentro de los 3 días hábiles de su recepción / Numero de comunicaciones recibidas en el Grupo de Correspondencia</t>
  </si>
  <si>
    <t>Comunicaciones oficiales recibidas por el Grupo de Correspondencia distribuidas a los destinatarios internos (dependencias)
Registros de la distribución de las comunicaciones recibidas por el Grupo de Correspondencia.</t>
  </si>
  <si>
    <t xml:space="preserve"> </t>
  </si>
  <si>
    <t>MAGNITUD PROGRAMADA META
POA CUATRIENIO</t>
  </si>
  <si>
    <t>EJECUCIÓN ACUMULADA AÑO</t>
  </si>
  <si>
    <t>CUMPLIMIENTO ACUMULADO META POA AÑO</t>
  </si>
  <si>
    <t xml:space="preserve"> CUMPLIMIENTO ACUMULADO META POA EN CUATRIENIO</t>
  </si>
  <si>
    <t>PERSONERÍA DE 
BOGOTA, D. C.</t>
  </si>
  <si>
    <t>3 de 3</t>
  </si>
  <si>
    <t>META ESTRATÉGICA CUATRIENIO:</t>
  </si>
  <si>
    <t>META POA CUATRIENIO:</t>
  </si>
  <si>
    <t>PESO PORCENTUAL META POA:</t>
  </si>
  <si>
    <t>MAGNITUD PROGRAMADA META POA 
CUATRIENIO:</t>
  </si>
  <si>
    <t>Indique el valor (cantidad) que se espera alcance la meta en el cuatrienio y que se refleje en el indicador asociado. Debe ser consecuente con el valor (cantidad) expresada en la redacción de la meta POA.</t>
  </si>
  <si>
    <t>INDICADOR META POA:</t>
  </si>
  <si>
    <r>
      <t xml:space="preserve">Indique el valor (cantidad) que se espera alcance la meta en el cuatrienio y que se refleje en el indicador asociado. Debe corresponder con el valor (cantidad) expresado en la redacción de la meta POA y en el campo denominado </t>
    </r>
    <r>
      <rPr>
        <sz val="10"/>
        <rFont val="Arial"/>
        <family val="2"/>
      </rPr>
      <t>MAGNITUD PROGRAMADA META POA CUATRIENIO</t>
    </r>
    <r>
      <rPr>
        <sz val="12"/>
        <rFont val="Arial"/>
        <family val="2"/>
      </rPr>
      <t xml:space="preserve"> de la página 1 del formato.</t>
    </r>
  </si>
  <si>
    <t>MAGNITUD PROGRAMADA META POA AÑO:</t>
  </si>
  <si>
    <t>Registre el valor (cantidad) que se espera alcance la meta en el año seleccionado. Debe corresponder con el valor (cantidad) registrado en la página 1 para la meta en el correspondiente año, debe ser tomado de la sección Programacion Cuatrienio para el año requerido.</t>
  </si>
  <si>
    <t>OBJETIVO ESTRATÉGICO 
META ESTRATÉGICA CUATRIENIO
META POA CUATRIENIO
PESO PORCENTUAL
LÍNEA DE BASE
INDICADOR META POA
DEPENDENCIA(S) RESPONSABLE(S)</t>
  </si>
  <si>
    <t>EJECUCIÓN ACUMULADA AÑO:</t>
  </si>
  <si>
    <t>Espacio de cálculo automático que compara total programado por cada meta en el año vs. el total de la ejecución acumulada en el año; es presentada de manera acumulada por trimestre.</t>
  </si>
  <si>
    <t>CUMPLIMIENTO ACUMULADO META POA EN CUATRIENIO</t>
  </si>
  <si>
    <t>Espacio de cálculo automático que presenta el grado de cumplimiento de la meta POA en el cuatrienio tomando como insumo la ejecución acumulada de la meta y la programación en el cuatrienio; es presentada de manera acumulada por trimestre.</t>
  </si>
  <si>
    <t>PERSONERÍA DE BOGOTA, D. C.</t>
  </si>
  <si>
    <t>HÉCTOR HERNÁN GONZÁLEZ NARANJO / DIRECTOR DE PLANEACIÓN</t>
  </si>
  <si>
    <t>PROGRAMADO</t>
  </si>
  <si>
    <t>EJECUTADO</t>
  </si>
  <si>
    <t>CUMPLIMIENTO ACUMULADO EN EL CUATRIENIO</t>
  </si>
  <si>
    <t>TOTAL EJECUTADO AÑO</t>
  </si>
  <si>
    <t>CONTRIBUCIÓN A META ESTRATEGICA EN EL CUATRIENIO</t>
  </si>
  <si>
    <t>CUATRIENIO</t>
  </si>
  <si>
    <t>GRADO DE CUMPLIMIENTO META ESTRATÉGICA</t>
  </si>
  <si>
    <t>META 
POA CUATRIENIO</t>
  </si>
  <si>
    <t>TOTAL PROGAMADO 
AÑO</t>
  </si>
  <si>
    <r>
      <t xml:space="preserve">INFORME DE SEGUIMIENTO 
PLAN OPERATIVO ANUAL -POA-
</t>
    </r>
    <r>
      <rPr>
        <b/>
        <sz val="18"/>
        <rFont val="Arial"/>
        <family val="2"/>
      </rPr>
      <t>(Plan de Acción Institucional)</t>
    </r>
  </si>
  <si>
    <t xml:space="preserve">PERIODO: </t>
  </si>
  <si>
    <t>CONSOLIDADO DE INDICADORES SGC</t>
  </si>
  <si>
    <t>RANGOS DE CUMPLIMIENTO</t>
  </si>
  <si>
    <t>No</t>
  </si>
  <si>
    <t>PROCESO</t>
  </si>
  <si>
    <t>IDENTIFICACIÓN DEL INDICADOR</t>
  </si>
  <si>
    <t>NOMBRE DEL INDICADOR</t>
  </si>
  <si>
    <t>TIPO DE INDICADOR</t>
  </si>
  <si>
    <t>SATISFACTORIO
 (El valor equivale a %)</t>
  </si>
  <si>
    <t>ACEPTABLE
 (El valor equivale a %)</t>
  </si>
  <si>
    <t>INSATISFACTORIO 
(El valor equivale a %)</t>
  </si>
  <si>
    <t>01 Direccionamiento Estratégico</t>
  </si>
  <si>
    <t>Mayor o igual A:</t>
  </si>
  <si>
    <t>02 Gestión del Conocimiento e Innovación</t>
  </si>
  <si>
    <t>03 Direccionamiento TIC</t>
  </si>
  <si>
    <t>04 Comunicación Estratégica</t>
  </si>
  <si>
    <t>05 Promoción y Defensa de Derechos</t>
  </si>
  <si>
    <t>Mayor A:</t>
  </si>
  <si>
    <t>06 Prevención y Control a la Función Pública</t>
  </si>
  <si>
    <t>07 Potestad Disciplinaria</t>
  </si>
  <si>
    <t>08 Gestión del Talento Humano</t>
  </si>
  <si>
    <t>09 Gestión Administrativa</t>
  </si>
  <si>
    <t>10 Gestión Financiera</t>
  </si>
  <si>
    <t>11 Gestión Contractual</t>
  </si>
  <si>
    <t>12 Gestión Documental</t>
  </si>
  <si>
    <t>13 Gestión Jurídica</t>
  </si>
  <si>
    <t>14 Servicio al Usuario</t>
  </si>
  <si>
    <t>15 Control Disciplinario Interno</t>
  </si>
  <si>
    <t>16 Evaluación y Seguimiento</t>
  </si>
  <si>
    <t>Igual A:</t>
  </si>
  <si>
    <t>01-RI-01</t>
  </si>
  <si>
    <t>02-RI-02</t>
  </si>
  <si>
    <t>03-RI-03</t>
  </si>
  <si>
    <t>01-RI-02</t>
  </si>
  <si>
    <t>01-RI-03</t>
  </si>
  <si>
    <t>01-RI-04</t>
  </si>
  <si>
    <t>FORMULA DEL INDICADOR</t>
  </si>
  <si>
    <t>Proceso</t>
  </si>
  <si>
    <t>Tipología de proceso</t>
  </si>
  <si>
    <t>Instrumento de planeación</t>
  </si>
  <si>
    <t>Tipología de indicador</t>
  </si>
  <si>
    <t>Vigencia</t>
  </si>
  <si>
    <t>Tendencia del Indicador</t>
  </si>
  <si>
    <t>rangos</t>
  </si>
  <si>
    <t>Estratégico</t>
  </si>
  <si>
    <t>Plan Operativo Anual POA por procesos (SGC)</t>
  </si>
  <si>
    <t>Eficacia</t>
  </si>
  <si>
    <t>Anual</t>
  </si>
  <si>
    <t>Creciente</t>
  </si>
  <si>
    <t>Plan Estratégico Institucional PEI</t>
  </si>
  <si>
    <t>Eficiencia</t>
  </si>
  <si>
    <t>Cuatrienal</t>
  </si>
  <si>
    <t>Decreciente</t>
  </si>
  <si>
    <t>Productos, Metas y Resultados PMR</t>
  </si>
  <si>
    <t>Efectividad</t>
  </si>
  <si>
    <t>Permanente</t>
  </si>
  <si>
    <t>Proyecto de inversión</t>
  </si>
  <si>
    <t>Menor o igual A:</t>
  </si>
  <si>
    <t>Misional</t>
  </si>
  <si>
    <t>Sistema de Gestión de Seguridad y Salud en el Trabajo</t>
  </si>
  <si>
    <t>Menor A:</t>
  </si>
  <si>
    <t>Sistema de Gestión de Seguridad de la Información</t>
  </si>
  <si>
    <t>Sistema de Gestión Ambiental</t>
  </si>
  <si>
    <t>De apoyo</t>
  </si>
  <si>
    <t>Modelo Integrado de Planeación y Gestión</t>
  </si>
  <si>
    <t>De evaluación, seguimiento y control</t>
  </si>
  <si>
    <t>No Aplica</t>
  </si>
  <si>
    <t>N.A.</t>
  </si>
  <si>
    <t>02-RI-01</t>
  </si>
  <si>
    <t>03-RI-01</t>
  </si>
  <si>
    <t>04-RI-01</t>
  </si>
  <si>
    <t>02-RI-03</t>
  </si>
  <si>
    <t>03-RI-02</t>
  </si>
  <si>
    <t>03-RI-04</t>
  </si>
  <si>
    <t>03-RI-05</t>
  </si>
  <si>
    <t>03-RI-06</t>
  </si>
  <si>
    <t>03-RI-07</t>
  </si>
  <si>
    <t>05-RI-01</t>
  </si>
  <si>
    <t>04-RI-02</t>
  </si>
  <si>
    <t>05-RI-02</t>
  </si>
  <si>
    <t>05-RI-03</t>
  </si>
  <si>
    <t>05-RI-04</t>
  </si>
  <si>
    <t>05-RI-05</t>
  </si>
  <si>
    <t>05-RI-06</t>
  </si>
  <si>
    <t>05-RI-07</t>
  </si>
  <si>
    <t>05-RI-08</t>
  </si>
  <si>
    <t>05-RI-09</t>
  </si>
  <si>
    <t>05-RI-10</t>
  </si>
  <si>
    <t>05-RI-11</t>
  </si>
  <si>
    <t>05-RI-12</t>
  </si>
  <si>
    <t>05-RI-13</t>
  </si>
  <si>
    <t>05-RI-14</t>
  </si>
  <si>
    <t>05-RI-15</t>
  </si>
  <si>
    <t>05-RI-16</t>
  </si>
  <si>
    <t>05-RI-17</t>
  </si>
  <si>
    <t>05-RI-18</t>
  </si>
  <si>
    <t>05-RI-19</t>
  </si>
  <si>
    <t>05-RI-20</t>
  </si>
  <si>
    <t>RESPONSABLES</t>
  </si>
  <si>
    <t>MAGNITUD META CUATRIENIO</t>
  </si>
  <si>
    <t>MAGNITUD META AÑO</t>
  </si>
  <si>
    <t>06-RI-01</t>
  </si>
  <si>
    <t>07-RI-01</t>
  </si>
  <si>
    <t>08-RI-01</t>
  </si>
  <si>
    <t>06-RI-02</t>
  </si>
  <si>
    <t>06-RI-03</t>
  </si>
  <si>
    <t>06-RI-04</t>
  </si>
  <si>
    <t>06-RI-05</t>
  </si>
  <si>
    <t>06-RI-06</t>
  </si>
  <si>
    <t>06-RI-07</t>
  </si>
  <si>
    <t>07-RI-02</t>
  </si>
  <si>
    <t>07-RI-03</t>
  </si>
  <si>
    <t>07-RI-04</t>
  </si>
  <si>
    <t>07-RI-05</t>
  </si>
  <si>
    <t>07-RI-06</t>
  </si>
  <si>
    <t>07-RI-07</t>
  </si>
  <si>
    <t>07-RI-08</t>
  </si>
  <si>
    <t>11-RI-01</t>
  </si>
  <si>
    <t>12-RI-01</t>
  </si>
  <si>
    <t>08-RI-02</t>
  </si>
  <si>
    <t>08-RI-03</t>
  </si>
  <si>
    <t>08-RI-04</t>
  </si>
  <si>
    <t>08-RI-05</t>
  </si>
  <si>
    <t>08-RI-06</t>
  </si>
  <si>
    <t>08-RI-07</t>
  </si>
  <si>
    <t>08-RI-08</t>
  </si>
  <si>
    <t>09-R1-01</t>
  </si>
  <si>
    <t>10-R1-01</t>
  </si>
  <si>
    <t>09-R1-02</t>
  </si>
  <si>
    <t>10-R1-02</t>
  </si>
  <si>
    <t>10-R1-03</t>
  </si>
  <si>
    <t>13-RI-01</t>
  </si>
  <si>
    <t>14-RI-01</t>
  </si>
  <si>
    <t>12-RI-02</t>
  </si>
  <si>
    <t>12-RI-03</t>
  </si>
  <si>
    <t>12-RI-04</t>
  </si>
  <si>
    <t>15-RI-01</t>
  </si>
  <si>
    <t>16-RI-01</t>
  </si>
  <si>
    <t>13-RI-02</t>
  </si>
  <si>
    <t>13-RI-03</t>
  </si>
  <si>
    <t>13-RI-04</t>
  </si>
  <si>
    <t>13-RI-05</t>
  </si>
  <si>
    <t>14-RI-02</t>
  </si>
  <si>
    <t>14-RI-03</t>
  </si>
  <si>
    <t>15-RI-02</t>
  </si>
  <si>
    <t>15-RI-03</t>
  </si>
  <si>
    <t>16-RI-02</t>
  </si>
  <si>
    <t>16-RI-03</t>
  </si>
  <si>
    <t>INFORME CONSOLIDADO INDICADORES</t>
  </si>
  <si>
    <t>No. de indicadores</t>
  </si>
  <si>
    <t>Porcentaje de cumplimiento</t>
  </si>
  <si>
    <t>06 Prevención y Control de la Función Pública</t>
  </si>
  <si>
    <t>Promedio procesos de evaluación, seguimiento y control</t>
  </si>
  <si>
    <t>Proceso 01 Direccionamiento Estratégico</t>
  </si>
  <si>
    <t>Nombre del indicador</t>
  </si>
  <si>
    <t xml:space="preserve">Magnitud programada </t>
  </si>
  <si>
    <t>Ejecución Acumulada Año</t>
  </si>
  <si>
    <t>SATISFACTORIO 
(El valor equivale a %)</t>
  </si>
  <si>
    <t>ACEPTABLE (El valor equivale a %)</t>
  </si>
  <si>
    <t>PROMEDIO PROCESO</t>
  </si>
  <si>
    <r>
      <t>Proceso 02 Gestión del Conocim</t>
    </r>
    <r>
      <rPr>
        <sz val="12"/>
        <color theme="1"/>
        <rFont val="Arial"/>
        <family val="2"/>
      </rPr>
      <t>iento e Innovación</t>
    </r>
  </si>
  <si>
    <t>Proceso 03 Direccionamiento TIC</t>
  </si>
  <si>
    <t>Proceso 04 Comunicación Estratégica</t>
  </si>
  <si>
    <t>Proceso 14 Servicio al Usuario</t>
  </si>
  <si>
    <t>Proceso 05 Promoción y Defensa de Derechos</t>
  </si>
  <si>
    <t>Proceso 06 Prevención y Control de la Función Pública</t>
  </si>
  <si>
    <t>Proceso 07 Potestad Disciplinaria</t>
  </si>
  <si>
    <t>Proceso 08 Gestión del Talento Humano</t>
  </si>
  <si>
    <t>Proceso 09 Gestión Administrativa</t>
  </si>
  <si>
    <t>Proceso 10 Gestión Financiera</t>
  </si>
  <si>
    <t>Proceso 11 Gestión Contractual</t>
  </si>
  <si>
    <t>Proceso 12 Gestión Documental</t>
  </si>
  <si>
    <t>Proceso 13 Gestión Jurídica</t>
  </si>
  <si>
    <t>Proceso 15 Control Disciplinario Interno</t>
  </si>
  <si>
    <t>Proceso 16 Evaluación y Seguimiento</t>
  </si>
  <si>
    <t>Identifificación del Indicador</t>
  </si>
  <si>
    <t>Observaciones / Recomendaciones</t>
  </si>
  <si>
    <t>PERSONERIA DE BOGOTA, D. C.</t>
  </si>
  <si>
    <t>PROMEDIO POA PROCESOS-SGC ENTIDAD</t>
  </si>
  <si>
    <t>No de Indicadores</t>
  </si>
  <si>
    <t>Tipo de Indicador</t>
  </si>
  <si>
    <t>TOTAL INDICADORES POA PROCESOS -SGC</t>
  </si>
  <si>
    <t>RESULTADO DEL SEGUIMIENTO Y MEDICIÓN</t>
  </si>
  <si>
    <t>Total de Indicadores</t>
  </si>
  <si>
    <t>No de Indicadores con Meta Cumplida según programación</t>
  </si>
  <si>
    <t xml:space="preserve">No de Indicadores con ejecución superior a la programada </t>
  </si>
  <si>
    <t>INFORME DE DESEMPEÑO PROMEDIO POR PROCESOS 
SGC</t>
  </si>
  <si>
    <t>TOTAL INDICADORES</t>
  </si>
  <si>
    <t>Porcentaje Promedio de cumplimiento</t>
  </si>
  <si>
    <t>Procesos estratégicos</t>
  </si>
  <si>
    <t>Procesos misionales</t>
  </si>
  <si>
    <t>Procesos de apoyo</t>
  </si>
  <si>
    <t xml:space="preserve">No de Indicadores con ejecución menor a la programada </t>
  </si>
  <si>
    <t>Satisfactorio</t>
  </si>
  <si>
    <t>Aceptable</t>
  </si>
  <si>
    <t>Insatisfactorio</t>
  </si>
  <si>
    <t>4.4.15 Elaborar el 95% de los contratos en cada una de las modalidades de selección en los tiempos óptimos</t>
  </si>
  <si>
    <t xml:space="preserve">Porcentaje de contratos en la modalidad de contratacion directa elaborados en los tiempos óptimos </t>
  </si>
  <si>
    <t xml:space="preserve">Porcentaje de contratos en la modalidad de selección abreviada de menor cuantía elaborados en los tiempos óptimos </t>
  </si>
  <si>
    <t xml:space="preserve">Porcentaje de contratos en la modalidad de selección abreviada de subasta inversa, licitación pública y concurso de méritos elaborados en los tiempos óptimos </t>
  </si>
  <si>
    <t>(Numero de procesos de contratación directa del periodo, realizados dentro del tiempo estipulado (5 días) / Número de procesos de contratación directa realizados en el periodo) *100</t>
  </si>
  <si>
    <t xml:space="preserve">1. Memorando de tramitación de solicitud del proceso
2. Lista de chequeo </t>
  </si>
  <si>
    <t xml:space="preserve">Contratos </t>
  </si>
  <si>
    <t xml:space="preserve">Solicitud del proceso contractual y listas de chequeo de contratos </t>
  </si>
  <si>
    <t>Subdirección de Gestión Contractual</t>
  </si>
  <si>
    <t>(Numero de procesos modalidad de selección abreviada subasta inversa, licitación pública y concurso de méritos del periodo, realizados dentro del tiempo estipulado (55 días) / Número de procesos modalidad de selección abreviada subasta inversa, licitación pública y concurso de méritos realizados en el periodo) *100</t>
  </si>
  <si>
    <t>(Numero de procesos modalidad de selección abreviada de menor cuantía del periodo, realizados dentro del tiempo estipulado (45 días) /
Número de procesos modalidad de selección abreviada de menor cuantía realizados en el periodo)*100</t>
  </si>
  <si>
    <t>11-RI-02</t>
  </si>
  <si>
    <t>11-RI-03</t>
  </si>
  <si>
    <t>11-RI-04</t>
  </si>
  <si>
    <t>Nota: Si este documento se encuentra impreso se considera Copia no Controlada. La versión vigente está publicada en el repositorio oficial de la Personería de Bogotá, D. C.</t>
  </si>
  <si>
    <t>No de indicadores sin programar en el periodo</t>
  </si>
  <si>
    <t xml:space="preserve">Anual </t>
  </si>
  <si>
    <t xml:space="preserve">Procesos Estratégicos </t>
  </si>
  <si>
    <t xml:space="preserve">Procesos Misionales </t>
  </si>
  <si>
    <t xml:space="preserve">Procesos Apoyo </t>
  </si>
  <si>
    <t>Procesos de Evaluación, Seguimiento y Control</t>
  </si>
  <si>
    <t>Total General</t>
  </si>
  <si>
    <t>Tipo de Proceso</t>
  </si>
  <si>
    <t>Porcentaje Promedio de Cumplimiento 
por tipo de Proceso</t>
  </si>
  <si>
    <t>Acumulado al corte</t>
  </si>
  <si>
    <t>CUMPLIMIENTO ACUMULADO
POA AÑO
POR INDICADOR</t>
  </si>
  <si>
    <t>MAGNITUD CUATRIENIO</t>
  </si>
  <si>
    <t>PESO PORCENTUAL
META ESTRATÉGICA</t>
  </si>
  <si>
    <t>INDICADOR
META ESTRATÉGICA</t>
  </si>
  <si>
    <t>FORMULA INDICADOR</t>
  </si>
  <si>
    <t>CUMPLIMIENTO ACUMULADO AÑO</t>
  </si>
  <si>
    <t>GRADO DE CUMPLIMIENTO POR META ESTRATÉGICA</t>
  </si>
  <si>
    <t>Acciones realizadas que propendan por la efectiva defensa y garantía de los derechos de los sujetos de especial protección constitucional</t>
  </si>
  <si>
    <t>∑ Número de acciones realizadas que propendan por la efectiva defensa y garantía de los derechos de los sujetos de especial protección constitucional</t>
  </si>
  <si>
    <t>Estrategias construidas e implementadas</t>
  </si>
  <si>
    <t>∑ Número de estrategias construidas e implementadas</t>
  </si>
  <si>
    <t>Acciones realizadas de prevención y control a la función pública en temas priorizados</t>
  </si>
  <si>
    <t>∑ Número de acciones realizadas de prevención y control a la función pública en temas priorizados</t>
  </si>
  <si>
    <t>Acciones realizadas de prevención y control a la función pública para fortalecer la moralidad pública</t>
  </si>
  <si>
    <t>∑ Número de acciones realizadas de prevención y control a la función pública para fortalecer la moralidad pública</t>
  </si>
  <si>
    <t>Espacios de participación ciudadana fortalecidos</t>
  </si>
  <si>
    <t>∑ Número de espacios de participación ciudadana fortalecidos</t>
  </si>
  <si>
    <t xml:space="preserve">Procesos disciplinarios descongestionados </t>
  </si>
  <si>
    <t>∑ Número de procesos disciplinarios descongestionados</t>
  </si>
  <si>
    <t>∑ Número de noticias disciplinarias evaluadas y con impulso procesal/ Número de noticias disciplinaria comisionadas a las Delegadas</t>
  </si>
  <si>
    <t>∑ Número de visitas de seguimiento a OCID realizadas</t>
  </si>
  <si>
    <t>Escenarios generados que fortalezcan el conocimiento</t>
  </si>
  <si>
    <t>∑ Número de escenarios generados</t>
  </si>
  <si>
    <t>Grado de avance de implementación de las soluciones</t>
  </si>
  <si>
    <t>Acciones implementadas que impulsan el crecimiento del modelo de la Entidad</t>
  </si>
  <si>
    <t>Promedio de grado de avance de implementación de las acciones</t>
  </si>
  <si>
    <t>Estrategias desarrolladas para la comunicación en la Entidad</t>
  </si>
  <si>
    <t>Promedio de grado de cumplimiento de estrategias desarrolladas para la comunicación en la Entidad</t>
  </si>
  <si>
    <t>Acciones articuladas de trabajo interinstitucional y de cooperación</t>
  </si>
  <si>
    <t>Grado de avance de acciones articuladas de trabajo interinstitucional y de cooperación</t>
  </si>
  <si>
    <t>Grado de cumplimiento de los Proyectos de Investigación, Desarrollo e Innovación (I+D+I) elaborados</t>
  </si>
  <si>
    <t xml:space="preserve">Herramientas y acciones formuladas </t>
  </si>
  <si>
    <t>Grado de cumplimiento en la formulación de Informes de investigación e innovación construidos</t>
  </si>
  <si>
    <t>Espacios y mecanismos desarrollados para la difusión de conocimiento</t>
  </si>
  <si>
    <t>Grado de cumplimiento de las actividades de apropiación social del conocimiento desarrolladas</t>
  </si>
  <si>
    <r>
      <t xml:space="preserve">INFORME DE SEGUIMIENTO 
PLAN ESTRATÉGICO INSTITUCIONAL - PEI-
</t>
    </r>
    <r>
      <rPr>
        <b/>
        <sz val="18"/>
        <rFont val="Arial"/>
        <family val="2"/>
      </rPr>
      <t>2021-2024</t>
    </r>
  </si>
  <si>
    <t>MATRIZ PLAN ESTRATÉGICO INSTITUCIONAL</t>
  </si>
  <si>
    <t>PERIODO: 2021-2024</t>
  </si>
  <si>
    <t xml:space="preserve">META ESTRATÉGICA </t>
  </si>
  <si>
    <t>PESO PORCENTUAL</t>
  </si>
  <si>
    <t>INDICADOR</t>
  </si>
  <si>
    <t>PROCESO(S) RESPONSABLE(S)</t>
  </si>
  <si>
    <t>PLANIFICACIÓN CUATRIENIO</t>
  </si>
  <si>
    <t>CUMPLIMIENTO ACUMULADO 
META ESTRATÉGICA</t>
  </si>
  <si>
    <t>TOTAL CUATRIENIO</t>
  </si>
  <si>
    <t>Cumplimiento Acumulado 
Objetivos Estratégicos</t>
  </si>
  <si>
    <t>ACUMULADO HASTA LA FECHA DE CORTE</t>
  </si>
  <si>
    <t>% Cumplimiento al corte</t>
  </si>
  <si>
    <r>
      <t xml:space="preserve">DIRECCIONAMIENTO ESTRATÉGICO
SERVICIO AL USUARIO
</t>
    </r>
    <r>
      <rPr>
        <sz val="10"/>
        <color theme="1"/>
        <rFont val="Arial"/>
        <family val="2"/>
      </rPr>
      <t>APORTAN: TODOS LOS PROCESOS</t>
    </r>
  </si>
  <si>
    <t>GESTIÓN ADMINISTRATIVA
GESTIÓN FINANCIERA
GESTIÓN CONTRACTUAL
GESTIÓN DOCUMENTAL
GESTIÓN JURÍDICA</t>
  </si>
  <si>
    <t>CONTROL DISCIPLINARIO INTERNO
EVALUACIÓN Y SEGUIMIENTO</t>
  </si>
  <si>
    <t>Código:</t>
  </si>
  <si>
    <t>01-FR-04</t>
  </si>
  <si>
    <t>Página:
1 de 2</t>
  </si>
  <si>
    <t>LINÉA DE BASE</t>
  </si>
  <si>
    <t>Acciones realizadas que promueven la defensa, garantía y restablecimiento de los derechos</t>
  </si>
  <si>
    <t xml:space="preserve">Productos generados
</t>
  </si>
  <si>
    <t>∑ (Número de acciones realizadas que promueven la defensa, garantía y restablecimiento de los derechos)</t>
  </si>
  <si>
    <t>Grado de avance en la implementación de acciones para la sostenibilidad y mejora del SGC</t>
  </si>
  <si>
    <t xml:space="preserve">CUMPLIMIENTO ACUMULADO EN EL CUATRIENIO
</t>
  </si>
  <si>
    <t>GRADO DE CUMPLIMIENTO POR OBJETIVO ESTRATÉGICO Y DE LA CALIDAD</t>
  </si>
  <si>
    <t xml:space="preserve">Fuente: Reportes entregados por los procesos en hojas de vida de indicadores </t>
  </si>
  <si>
    <t>Meta Estratégica 1.1</t>
  </si>
  <si>
    <t>Meta Estratégica 1.2</t>
  </si>
  <si>
    <t>Meta Estratégica 1.3</t>
  </si>
  <si>
    <t>Meta Estratégica 2.1</t>
  </si>
  <si>
    <t>Meta Estratégica 2.2</t>
  </si>
  <si>
    <t>Meta Estratégica 2.3</t>
  </si>
  <si>
    <t>Meta Estratégica 3.1</t>
  </si>
  <si>
    <t>Meta Estratégica 3.2</t>
  </si>
  <si>
    <t>Meta Estratégica 3.3</t>
  </si>
  <si>
    <t>Meta Estratégica 3.4</t>
  </si>
  <si>
    <t>Meta Estratégica 4.1</t>
  </si>
  <si>
    <t>Meta Estratégica 4.2</t>
  </si>
  <si>
    <t>Meta Estratégica 4.3</t>
  </si>
  <si>
    <t>Meta Estratégica 4.4</t>
  </si>
  <si>
    <t>Meta Estratégica 4.5</t>
  </si>
  <si>
    <t>Meta Estratégica 4.6</t>
  </si>
  <si>
    <t>Meta Estratégica 4.7</t>
  </si>
  <si>
    <t>Meta Estratégica 5.1</t>
  </si>
  <si>
    <t>Meta Estratégica 5.2</t>
  </si>
  <si>
    <t>Meta Estratégica 5.3</t>
  </si>
  <si>
    <t>Objetivo Estratégico 1</t>
  </si>
  <si>
    <t>Objetivo Estratégico 2</t>
  </si>
  <si>
    <t>Objetivo Estratégico 3</t>
  </si>
  <si>
    <t>Objetivo Estratégico 4</t>
  </si>
  <si>
    <t>Objetivo Estratégico 5</t>
  </si>
  <si>
    <t>Promedio General</t>
  </si>
  <si>
    <t>CUATRIENIO 2021 -2024</t>
  </si>
  <si>
    <t>GRADO DE CUMPLIMIENTO POR META ESTRATÉGICA
EN EL CUATRIENIO</t>
  </si>
  <si>
    <t>GRADO DE CUMPLIMIENTO POR OBJETIVO ESTRATÉGICO Y DE LA CALIDAD
EN EL CUATRIENIO</t>
  </si>
  <si>
    <t>GRADO DE CUMPLIMIENTO 
AÑO 2021</t>
  </si>
  <si>
    <t>Avance en la ejecución de los planes que desarrollan la gestión del talento humano</t>
  </si>
  <si>
    <t>Promedio de grado avance de la ejecución de  los planes que desarrollan la gestión del talento humano</t>
  </si>
  <si>
    <t>Acciones implementadas para la modernización de la gestión institucional en el proceso Gestión Administrativa</t>
  </si>
  <si>
    <t>Promedio de grado de avance de las acciones implementadas por el proceso Gestión Administrativa para la modernización de la gestión institucional</t>
  </si>
  <si>
    <t>Acciones implementadas para la modernización de la gestión institucional en el proceso Gestión Financiera</t>
  </si>
  <si>
    <t>Promedio de grado de avance de las acciones implementadas por el proceso Gestión Financiera para la modernización de la gestión institucional</t>
  </si>
  <si>
    <t xml:space="preserve">∑ Número de actividades de actualización o ajuste+ actividades de implementación </t>
  </si>
  <si>
    <t>Acciones implementadas para la modernización de la gestión institucional en el proceso Gestión Jurídica</t>
  </si>
  <si>
    <t>Fuente: Consolidación de reportes entregados por los procesos en hojas de vida de indicadores de gestión.</t>
  </si>
  <si>
    <t>INFORME DE SEGUIMIENTO 
GRADO DE CUMPLIMIENTO DE METAS ESTARTÉGICAS
PLAN ESTRATÉGICO INSTITUCIONAL - PEI-
2021-2024</t>
  </si>
  <si>
    <t>Promedio de ejecución de procesos en las diferentes modalidades de contratación del periodo, realizados dentro del tiempo óptimo</t>
  </si>
  <si>
    <t>INFORME DE SEGUIMIENTO
RESUMEN EJECUCIÓN METAS ESTRATÉGICAS 
PLAN ESTRATÉGICO INSTITUCIONAL - PEI- 
2021-2024</t>
  </si>
  <si>
    <t>INFORME DE SEGUIMIENTO
GRADO DE CUMPLIMIENTO DE LOS OBJETIVOS ESTRATÉGICOS Y DE LA CALIDAD
PLAN ESTRATÉGICO INSTITUCIONAL - PEI-
2021-2024</t>
  </si>
  <si>
    <t>Porcentaje de Acciones de Tutela, Desacatos e Impugnaciones entregadas en un Termino Menor a Cinco (5) Días Hábiles</t>
  </si>
  <si>
    <t>GRADO DE CUMPLIMIENTO PROMEDIO POR OBJETIVO ESTRATÉGICO Y DE LA CALIDAD</t>
  </si>
  <si>
    <t>GRADO DE CUMPLIMIENTO PROMEDIO POR META ESTRATÉGICA</t>
  </si>
  <si>
    <t>Soluciones informáticas implementadas</t>
  </si>
  <si>
    <t>Número total de encuestas con calificación excelente y bueno/Número total de encuestas registradas</t>
  </si>
  <si>
    <t xml:space="preserve">Acciones implementadas para la modernización de la gestión institucional en actualización e  implementación de instrumentos archivísticos </t>
  </si>
  <si>
    <t xml:space="preserve">Porcentaje de contratos en las diferentes modalidades de contratación elaborados en los tiempos óptimos </t>
  </si>
  <si>
    <t>Acciones desarrolladas relacionadas con el fomento de la cultura del autocontrol, autoregulación y autogestión</t>
  </si>
  <si>
    <t>Promedio de grado de cumplimiento de las acciones desarrolladas relacionadas con el fomento de la cultura del autocontrol, autoregulación y autogestión</t>
  </si>
  <si>
    <t>CUMPLIMIENTO PROMEDIO AL CORTE 30-09-2021
POR INDICADOR</t>
  </si>
  <si>
    <t>2.3.1 Realizar 60 audiencias públicas y/o mesas de trabajo, las cuales permitan la participación ciudadana, con énfasis en los Derechos e intereses colectivos.</t>
  </si>
  <si>
    <t xml:space="preserve">3.1.1 Identificar y decidir de fondo 6,700  procesos, priorizando aquellos que se encuentren con riesgo de prescripción y/o vencidos en su etapa procesal (indagación, investigación y juzgamiento). </t>
  </si>
  <si>
    <t>3.1. Descongestionar 6.700 procesos disciplinarios con criterios de calidad, efectividad y garantía del debido proceso.</t>
  </si>
  <si>
    <t>5.480 acciones en favor de las víctimas del conflicto armado interno realizadas</t>
  </si>
  <si>
    <t>4.790 Acciones constitucionales elaboradas</t>
  </si>
  <si>
    <t>* P.D. para la Coordinación del MP y DDHH, P.D. para Asuntos Penales I, Penales II, Policivos y Civiles, Derechos Humanos, Familia y Orientación y Asistencia.
* P.D. para la Coordinación de la Gestión de Personerías Locales y sus Personerías Locales adscritas
* P.D. para la Coordinación de la Prevención y Control a la Función Pública y sus dependencias adscritas</t>
  </si>
  <si>
    <t>Cuarto Trimestre</t>
  </si>
  <si>
    <t xml:space="preserve">SEMESTRE 2 </t>
  </si>
  <si>
    <t>Corte: 31 de diciembre de 2021</t>
  </si>
  <si>
    <t xml:space="preserve">PERIODO: SEMESTRE 2 DE 2021 </t>
  </si>
  <si>
    <t>CUMPLIMIENTO PROGRAMACIÓN EN EL PERIODO 
Cuarto Trimestre de 2021</t>
  </si>
  <si>
    <t>Versión:
7</t>
  </si>
  <si>
    <r>
      <t xml:space="preserve">Código: </t>
    </r>
    <r>
      <rPr>
        <sz val="12"/>
        <color theme="1"/>
        <rFont val="Arial"/>
        <family val="2"/>
      </rPr>
      <t>01-FR-04</t>
    </r>
  </si>
  <si>
    <t>2 de 2</t>
  </si>
  <si>
    <t>INSTRUCCIONES PARA EL DILIGENCIAMIENTO DE LA MATRIZ DEL PLAN ESTRATÉGICO INSTITUCIONAL</t>
  </si>
  <si>
    <t>OBJETIVO ESTRATÉGICO:</t>
  </si>
  <si>
    <r>
      <t xml:space="preserve">Registre el </t>
    </r>
    <r>
      <rPr>
        <b/>
        <sz val="12"/>
        <rFont val="Arial"/>
        <family val="2"/>
      </rPr>
      <t>objetivo</t>
    </r>
    <r>
      <rPr>
        <sz val="12"/>
        <rFont val="Arial"/>
        <family val="2"/>
      </rPr>
      <t xml:space="preserve"> estratégico definido en la plataforma estratégica de la Entidad. </t>
    </r>
  </si>
  <si>
    <t>META ESTRATÉGICA:</t>
  </si>
  <si>
    <r>
      <t xml:space="preserve">Registre </t>
    </r>
    <r>
      <rPr>
        <b/>
        <sz val="12"/>
        <rFont val="Arial"/>
        <family val="2"/>
      </rPr>
      <t>la(s) meta(s)</t>
    </r>
    <r>
      <rPr>
        <sz val="12"/>
        <rFont val="Arial"/>
        <family val="2"/>
      </rPr>
      <t xml:space="preserve"> que permitirá(n) la consecución del objetivo estratégico correspondiente. Utilice una fila diferente por cada meta.</t>
    </r>
  </si>
  <si>
    <t>Registre el valor porcentual de aporte de la Meta Estratégica al cumplimiento del Objetivo Estratégico relacionado.</t>
  </si>
  <si>
    <t>MAGNITUD PROGRAMADA CUATRIENIO:</t>
  </si>
  <si>
    <r>
      <t>Indique el</t>
    </r>
    <r>
      <rPr>
        <b/>
        <sz val="12"/>
        <rFont val="Arial"/>
        <family val="2"/>
      </rPr>
      <t xml:space="preserve"> valor</t>
    </r>
    <r>
      <rPr>
        <sz val="12"/>
        <rFont val="Arial"/>
        <family val="2"/>
      </rPr>
      <t xml:space="preserve"> (cantidad) que se espera alcance la meta en el cuatrienio.</t>
    </r>
  </si>
  <si>
    <t>Registre el valor que se tiene como nivel de referencia para adelantar la medición. Únicamente en el caso de no disponer de información histórica ingrese S.I. (sin información).</t>
  </si>
  <si>
    <t>PROCESO(S) RESPONSABLE(S):</t>
  </si>
  <si>
    <t>Registre el nombre del (de los) procesos responsable(s) en la consecución de las meta establecida.</t>
  </si>
  <si>
    <r>
      <t xml:space="preserve">En esta sección encontrará los años del cuatrienio. En cada año registre en la celda correspondiente la magnitud programada de la meta correspondiente a cada período. 
</t>
    </r>
    <r>
      <rPr>
        <i/>
        <sz val="12"/>
        <rFont val="Arial"/>
        <family val="2"/>
      </rPr>
      <t>Nota: Si se requiere se puede agregar o eliminar un año.</t>
    </r>
  </si>
  <si>
    <t>Espacio de cálculo del total acumulado a la fecha de corte, diligenciado por la Dirección de Planeación.</t>
  </si>
  <si>
    <t>TOTAL CUATRIENIO:</t>
  </si>
  <si>
    <t>Espacio de cálculo del total programado, ejecución y grado de cumplimiento del Objetivo Estratégico. Este campo es diligenciado por la Dirección de Planeación, según los valores aportados de forma anual por cada proceso.</t>
  </si>
  <si>
    <t>1.1. Realizar 884.203 acciones que promuevan la defensa, garantía y restablecimiento de los derechos de las personas en el Distrito Capital.</t>
  </si>
  <si>
    <t>1.1.1 Realizar 356.610 intervenciones dentro del ejercicio del Ministerio Público para prevenir la vulneración de derechos y/o lograr el  restablecimiento de los mismos.</t>
  </si>
  <si>
    <t>1.1.2 Orientar 292.755 personas en garantía de derechos.</t>
  </si>
  <si>
    <t>1.1.3 Asistir 117.610 personas en garantía de derechos.</t>
  </si>
  <si>
    <t>1.1.4 Asistir a 28.586 personas en mecanismos alternativos de solución de conflictos.</t>
  </si>
  <si>
    <t>1.1.5 Atender y gestionar 55.722 peticiones y/o requerimientos presentados por la comunidad en garantía de derechos.</t>
  </si>
  <si>
    <t>1.1.8 Asistir a 19.500 audiencias públicas y realizar las actuaciones que se requieran en protección de los derechos y defensa del interés público, en temas de urbanismo, espacio público, actividad económica y de los comportamientos contrarios a la convivencia (Ley 1801 de 2016)</t>
  </si>
  <si>
    <t>1.1.9 Realizar 11.000 intervenciones de manera oportuna para evitar situaciones de caducidad y perdida de fuerza ejecutoria en las actuaciones administrativas y policivas</t>
  </si>
  <si>
    <t>1.1.10 Impulsar 2.300 expedientes que contengan orden de policía (MULTA) en firme y ejecutoriada, para que se efectúen cobros persuasivos y/o se de traslado para el cobro coactivo.</t>
  </si>
  <si>
    <t>1.1.11 Establecer de forma periódica, 40 estados de la vulneración de  los derechos humanos en las localidades, dando a conocer a las Entidades correspondientes los hechos observados que requieren su intervención.</t>
  </si>
  <si>
    <t>1.2. Realizar 260.709 acciones que propendan por la efectiva defensa y garantía de los derechos de los sujetos de especial protección constitucional, con énfasis en las personas mayores, mujeres y la población migrante en el Distrito Capital.</t>
  </si>
  <si>
    <t>1.2.1 Sensibilizar a 205.930 personas en derechos humanos, Derecho Internacional Humanitario, Cultura Ciudadana, Protección Animal, Deberes de los Ciudadanos y oferta institucional, con énfasis en sujetos de especial protección constitucional, en particular, personas mayores, mujeres y población migrante.</t>
  </si>
  <si>
    <t>1.2.2 Adelantar 23.910 acciones necesarias en favor de la población víctima del conflicto armado interno mediante el apoyo jurídico, la atención psicosocial, la gestión para acceso a derechos, la toma de declaraciones y la elaboración de derechos de petición.</t>
  </si>
  <si>
    <t>1.2.3 Prevenir mediante la elaboración de 18.880 acciones constitucionales, la vulneración de derechos  con énfasis en sujetos de especial protección constitucional.</t>
  </si>
  <si>
    <t>1.2.4 Fortalecer el ejercicio del ministerio público ante las comisarías de familia, mediante el seguimiento a 3.540 medidas de protección que estas imponen.</t>
  </si>
  <si>
    <t>1.2.5 Participar en 7.711 comités, mesas y consejos interinstitucionales en garantía de derechos, con énfasis en temas relacionados con sujetos de especial protección constitucional, en particular, persona mayor, mujer y población migrante.</t>
  </si>
  <si>
    <t>1.2.6 Realizar 738 seguimientos a la amenaza y vulneración de los derechos, con énfasis en sujetos de especial protección constitucional, en particular, persona mayor, mujer y población migrante</t>
  </si>
  <si>
    <t>2.2.1 Realizar 817 acciones de prevención y control a la función pública para fortalecer la moralidad pública.</t>
  </si>
  <si>
    <t>2.2.2 Realizar 135 acciones de prevención y control a la función pública - seguimientos, para fortalecer la moralidad pública en el Distrito Capital.</t>
  </si>
  <si>
    <t>2.3.2 Realizar 160 acompañamientos a los ciudadanos que intervienen en los diferentes espacios de participación ciudadana.</t>
  </si>
  <si>
    <t xml:space="preserve">4.3.2 Incluir el 97,8% de las Novedades en la nómina oportunamente, para liquidación y pago </t>
  </si>
  <si>
    <t xml:space="preserve">4.3.3 Lograr el 94,5 % de usuarios internos  satisfechos con las solicitudes de servicios atendidas de la SGTH (Certificaciones laborales, bonos pensionales y autorizaciones de retiro de cesantías). </t>
  </si>
  <si>
    <t>4.3.8 Realizar 21 capacitaciones sobre los Sistemas de Gestión y Evaluación del Desempeño Laboral de la Entidad.</t>
  </si>
  <si>
    <t>4.5.2 Realizar 20 jornadas de sensibilización a funcionarios de la Personería de Bogotá D.C. sobre la prevención de las faltas disciplinarias más recurrentes en la Entidad.</t>
  </si>
  <si>
    <t>5.1.2. Entregar dos (2) productos resultado de los proyectos de investigación, desarrollo e innovación (I+D+I) realizados en la Entidad para la comunidad</t>
  </si>
  <si>
    <t>Productos resultado de investigaciones, entregadas para la comunidad</t>
  </si>
  <si>
    <t>5.3.1 Desarrollar ochenta (80) actividades de apropiación social del conocimiento para la creación de la cultura de la investigación e innovación.</t>
  </si>
  <si>
    <t>1.3. Construir e Implementar 35 estrategias que permitan incrementar la oferta y cobertura de los servicios prestados por la Entidad.</t>
  </si>
  <si>
    <t>2.2. Fortalecer la moralidad publica realizando  952 acciones de prevención y control a la función pública.</t>
  </si>
  <si>
    <t>2.3. Fortalecer 320 espacios de participación ciudadana en la Personería de Bogotá</t>
  </si>
  <si>
    <t>1. Analizar informe del plan de Acción del SGC de la vigencia anterior
2. Elaborar el Plan de Acción del SGC para la sostenibilidad y mejora de la vigencia 
3. Socializar Plan de Acción del SGC aprobado por el CIGD
4. Ejecutar el Plan de Acción del SGC para la sostenibilidad y mejora.
5. Hacer seguimiento a la ejecución del Plan y generar informe de avance.</t>
  </si>
  <si>
    <t>1.  Definir el plan de Acciondel SGA
2. Ejecutar el Plan de Acción
3. Hacer seguimiento al avance</t>
  </si>
  <si>
    <t>Avance en la implementación del Sisema de Gestión Ambiental en un 33%</t>
  </si>
  <si>
    <t>LILY MOTES / JEFE DE OFICINA ASESORA DE COMUNICACIONES</t>
  </si>
  <si>
    <t>RICARDO HERNÁN MEDINA RICO
PERSONERO DELEGADO PARA LA COORDINACIÓN DEL MINISTERIO PÚBLICO Y LOS DERECHOS HUMANOS
WILLIAM AUGUSTO SUAREZ SUAREZ
PERSONERO DELEGADO PARA LA COORDINACIÓN DE GESTIÓN DE PERSONERÍAS LOCALES</t>
  </si>
  <si>
    <t>106.660 Intervenciones realizadas de oficio o a petición de parte por los Agentes del Ministerio Público</t>
  </si>
  <si>
    <t>97.105 Peticiones atendidas y clasificadas como Orientación</t>
  </si>
  <si>
    <t>26.115 Peticiones atendidas y clasificadas como Asistencia</t>
  </si>
  <si>
    <t>6.900 Solicitudes de conciliación y uniones maritales de hecho atendidas</t>
  </si>
  <si>
    <t>16.115 Peticiones o requerimientos ciudadanos atendidos en garantía de derecho o intervención</t>
  </si>
  <si>
    <t>6.000 Audiencias asistidas con actuaciones</t>
  </si>
  <si>
    <t>500 Expedientes de policía impulsados</t>
  </si>
  <si>
    <t>71.570 personas sensibilizadas</t>
  </si>
  <si>
    <t>1. Identificar las medidas de protección establecidas por la Comisaría de Familia
2. Realizar las verificaciones de cumplimiento a las medidas de protección.
3. Registrar en el sistema de información misional el seguimiento realizado y las actuaciones que éste generó.</t>
  </si>
  <si>
    <t>800 verificaciones de cumplimiento realizadas por los Agentes del Ministerio Público a las medidas de protección establecidas por las Comisarias de Familia</t>
  </si>
  <si>
    <t>2.771 espacios de participación interinstitucional con presencia y acompañamiento de la Entidad</t>
  </si>
  <si>
    <t xml:space="preserve">208 Seguimientos realizados a la amenaza y vulneración de los derechos </t>
  </si>
  <si>
    <t>17 Actividades realizadas para acercar la Entidad a la comunidad</t>
  </si>
  <si>
    <t>SANDRA ELIZABETH GARCIA ANGARITA
Personera Delegada para la Coordinación de Prevención y Control a la Función Pública
WILLIAM AUGUSTO SUAREZ SUAREZ
PERSONERO DELEGADO PARA LA COORDINACIÓN DE GESTIÓN DE PERSONERÍAS LOCALES</t>
  </si>
  <si>
    <t>7 Informes de Prevención y Control a la Función Publica en los cuales se evaluaron políticas ambientales, manejo de recursos hídricos, protección y bienestar animal y desarrollo urbano, en el Distrito Capital.</t>
  </si>
  <si>
    <t>286 Informes de Acción de Prevención y Control a la Función Publica en el Distrito Capital, para fortalecer la moralidad pública</t>
  </si>
  <si>
    <t>67 Informes de seguimientos realizados para fortalecer la moralidad pública en el Distrito Capital</t>
  </si>
  <si>
    <t>21 Audiencias públicas y/o mesas de trabajo realizadas.</t>
  </si>
  <si>
    <t xml:space="preserve">60 Acompañamientos a los ciudadanos realizados. </t>
  </si>
  <si>
    <t>30 Espacios de dialogo realizados</t>
  </si>
  <si>
    <t xml:space="preserve">Recibir, revisar y radicar las comunicaciones oficiales externas o internas en el Grupo de Correspodencia.
Distribuir las comunicaciones recibidas a los destinatarios internos (dependencias).
Realizar el registro en las planilas o controles correspondientes.
</t>
  </si>
  <si>
    <t>3 Lineamientos Implementados en la vigencia</t>
  </si>
  <si>
    <t>6 Jornadas de sensibilización realizadas</t>
  </si>
  <si>
    <t>TRIMESTRE</t>
  </si>
  <si>
    <t>TRIMESTRE 1</t>
  </si>
  <si>
    <t>TRIMESTRE 2</t>
  </si>
  <si>
    <t>TRIMESTRE 3</t>
  </si>
  <si>
    <t>TRIMESTRE 4</t>
  </si>
  <si>
    <t>SELECCIONE EL TRIMESTRE</t>
  </si>
  <si>
    <t>02-RI-04</t>
  </si>
  <si>
    <t>Primer Trimestre</t>
  </si>
  <si>
    <t>Segundo Trimestre</t>
  </si>
  <si>
    <t>Tercer Trimestre</t>
  </si>
  <si>
    <t>Seleccione el trimestre</t>
  </si>
  <si>
    <t>Ejecución Primer Trimestre</t>
  </si>
  <si>
    <t xml:space="preserve">Ejecución Corte
30/06/2022 </t>
  </si>
  <si>
    <t>Acumulado Corte 
30/06/2022</t>
  </si>
  <si>
    <t>Acumulado
Corte 
31/03/2022</t>
  </si>
  <si>
    <t xml:space="preserve">Ejecución 
Corte
31/03/2022 </t>
  </si>
  <si>
    <t>Acumulado Corte 
30/09/2022</t>
  </si>
  <si>
    <t xml:space="preserve">Ejecución Corte
30/09/2022 </t>
  </si>
  <si>
    <t>Acumulado Corte 
31/12/2022</t>
  </si>
  <si>
    <t xml:space="preserve">Ejecución Corte
31/12/2022 </t>
  </si>
  <si>
    <t xml:space="preserve">Fecha de corte: </t>
  </si>
  <si>
    <t>Ejecución segundo Trimestre</t>
  </si>
  <si>
    <t>Ejecución tercer Trimestre</t>
  </si>
  <si>
    <t>Ejecución Cuarto Trimestre</t>
  </si>
  <si>
    <t>Año 2022</t>
  </si>
  <si>
    <t>PLAN OPERATIVO ANUAL 2022</t>
  </si>
  <si>
    <t>Desempeño Promedio 
Año 2022</t>
  </si>
  <si>
    <t>Sobre ejecución (Respecto de lo programado al corte)</t>
  </si>
  <si>
    <t>CUMPLIMIENTO PROGRAMACIÓN EN EL PERIODO 
Primer Trimestre de 2022</t>
  </si>
  <si>
    <t>CUMPLIMIENTO PROGRAMACIÓN - ACUMULADO</t>
  </si>
  <si>
    <t>Corte</t>
  </si>
  <si>
    <t>No de Indicadores con Meta Cumplida según progrLación</t>
  </si>
  <si>
    <t>CUMPLIMIENTO PROGRAMACIÓN EN EL PERIODO 
Segundo Trimestre de 2022</t>
  </si>
  <si>
    <t>CUMPLIMIENTO PROGRAMACIÓN EN EL PERIODO 
Tercer Trimestre de 2022</t>
  </si>
  <si>
    <t>No programado</t>
  </si>
  <si>
    <t>Para el trimestre su ejecución es conforme a lo planeado.
De acuerdo con los rangos de cumplimiento definidos para este indicador en el corte acumulado se encuentra en el nivel satisfactorio.
Se recomienda continuar haciendo monitoreo a indicador para mantener e nivel de ejecución alcanzado hasta ahora.</t>
  </si>
  <si>
    <t>Para el periodo no se programó avance. Su ejecución está prevista para el cuarto trimestre de 2022.</t>
  </si>
  <si>
    <t>Para el periodo no se programó avance. El inicio de su ejecución está prevista para el segundo trimestre de 2022.</t>
  </si>
  <si>
    <t>Se evidencia una mayor ejecución que supera la programación del trimestre con 3 Actividades de apropiación social del conocimiento desarrolladas adicionales equivalente al 50% de porcentaje adicional de cumplimiento en el trimestre. 
Se recomienda al proceso revisar la programación frente al contexto interno y externo y establecer las acciones de mejora teniendo en cuenta la tendencia en aumento. Se debe revisar la tendencia de este indicador y evaluar una posible reprogramación.</t>
  </si>
  <si>
    <t>Este indicador alcanza un cumplimiento en el trimestre del 100% y del 17.5% respecto del año, su ejecución es conforme a lo planeado.
De acuerdo con los rangos de cumplimiento definidos para este indicador en el corte acumulado se encuentra en el nivel satisfactorio.
Se recomienda continuar haciendo monitoreo a indicador para mantener e nivel de ejecución alcanzado hasta ahora.</t>
  </si>
  <si>
    <t>Este indicador esta programado de manera constante en el año con 100% de magnitud esperada en cada periodo, su ejecución promedio en el trimestre y del año se encuentra conforme a lo planeado.
De acuerdo con los rangos de cumplimiento definidos para este indicador, en este periodo y en el corte acumulado se encuentra en el nivel satisfactorio.
Se recomienda continuar haciendo monitoreo a indicador para mantener e nivel de ejecución alcanzado hasta ahora.</t>
  </si>
  <si>
    <t>CUMPLIMIENTO ACUMULADO
POA AÑO
POR INDICADOR
Corte:31-03-2022</t>
  </si>
  <si>
    <t xml:space="preserve">Este indicador está programado de manera constante en dos periodos en el año con una magnitud del 90% promedio; en el primer trimestre alcanza la meta con el 95,6% de percepción de  los usuarios que califican el servicio en bueno y excelente y un porcentaje de cumplimiento del 106,6%.
De acuerdo con los rangos de cumplimiento definidos para este indicador se ubica en el nivel satisfactorio. </t>
  </si>
  <si>
    <t>Este indicador alcanza un cumplimiento en el trimestre del 100% y del 33,3% respecto del año, su ejecución es conforme a lo planeado.
De acuerdo con los rangos de cumplimiento definidos para este indicador en el corte acumulado se encuentra en el nivel satisfactorio.
Se recomienda continuar haciendo monitoreo a indicador para mantener e nivel de ejecución alcanzado hasta ahora.</t>
  </si>
  <si>
    <t>El indicador esta previsto para que el % de acciones de tutela, desacatos e impugnaciones previstas para cumplir el criterio sea mayor o igual al 95%, situación evidenciada en primer trimestre con un 5.3% adicional.
En el año alcanza un cumplimiento del 26,3%.
De acuerdo con los rangos de cumplimiento definidos para este indicador, en este trimestre se encuentra en el nivel satisfactorio.
Se recomienda al proceso revisar la tendencia y evaluar un posible incremento en la magnitud porque desde la vigencia anterior se ha mantenido este comportamiento evidenciando una capacidad de cumplir el criterio en mas del 98%.</t>
  </si>
  <si>
    <t>Se evidencia una menor ejecución en relación con la programación del trimestre con 162 intervenciones (impulso procesal) menos equivalente al 27% de porcentaje menos de cumplimiento. La menor ejecución se presenta en la P.D.C de Gestión de las Personerías Locales.
En el año alcanza un cumplimiento del 14,6%.
De acuerdo con los rangos de cumplimiento definidos para este indicador, en este trimestre se encuentra en el nivel insatisfactorio.
Se recomienda al proceso realizar monitoreo, seguimiento y establecer las acciones correctivas y/o de mejora que le permitan dar cumplimiento a la meta y  la coherencia en la ejecución frente a la programación prevista para la vigencia.</t>
  </si>
  <si>
    <t>Se evidencia una menor ejecución en relación con la programación del trimestre con 18 expedientes menos equivalente al 18% de porcentaje menos de cumplimiento. La menor ejecución se presenta en la P.D.C de Gestión de las Personerías Locales.
En el año alcanza un cumplimiento del 16,4%.
De acuerdo con los rangos de cumplimiento definidos para este indicador, en este trimestre se encuentra en el nivel insatisfactorio.
Se recomienda al proceso realizar monitoreo, seguimiento y establecer las acciones correctivas y/o de mejora que le permitan dar cumplimiento a la meta y  la coherencia en la ejecución frente a la programación prevista para la vigencia.</t>
  </si>
  <si>
    <t>Para la vigencia 2022 no se programó avance en esta meta.</t>
  </si>
  <si>
    <t>Se evidencia una mayor ejecución que supera la programación del trimestre con 252 audiencias públicas adicionales equivalente al 21% de porcentaje adicional de cumplimiento. La mayor ejecución se presenta en la P.D.C de Gestión de las Personerías Locales.
En el año alcanza un cumplimiento del 24,2%.
De acuerdo con los rangos de cumplimiento definidos para este indicador, en este trimestre se encuentra en el nivel satisfactorio.
Se recomienda continuar haciendo monitoreo al indicador y establecer las acciones de mejora que permitan dar total cumplimiento a la meta y  la coherencia en la ejecución frente a la programación prevista para la vigencia.</t>
  </si>
  <si>
    <t>Se evidencia una sobre ejecución que supera la programación del trimestre con 2.389 personas asistidas adicionales frente a 900 personas asistidas programadas para el trimestre, equivalente al 265,4% de porcentaje adicional de cumplimiento. La mayor ejecución se presenta en el aporte al indicador por parte de la P.D.C del Ministerio Público y los Derechos Humanos.
En el año alcanza un cumplimiento del 47,7%.
De acuerdo con los rangos de cumplimiento definidos para este indicador, en este trimestre se encuentra en el nivel satisfactorio.
Se recomienda al proceso revisar la programación frente al contexto interno y externo y establecer las acciones de mejora teniendo en cuenta la tendencia en aumento. Se debe revisar la tendencia de este indicador y evaluar una posible reprogramación.</t>
  </si>
  <si>
    <t>Se evidencia una mayor ejecución que supera la programación del trimestre con 3.840 intervenciones adicionales equivalente al 15,2% de porcentaje adicional de cumplimiento. La mayor ejecución se presenta en el aporte al indicador por parte de la P.D.C del Ministerio Público y los Derechos Humanos.
En el año alcanza un cumplimiento del 27,3%.
De acuerdo con los rangos de cumplimiento definidos para este indicador, en este trimestre se encuentra en el nivel satisfactorio.
Se recomienda continuar haciendo monitoreo al indicador y establecer las acciones de mejora que permitan dar total cumplimiento a la meta y  la coherencia en la ejecución frente a la programación prevista para la vigencia.</t>
  </si>
  <si>
    <t>Se evidencia incumplimiento en la programación para el trimestre, una menor ejecución en relación con la programación del trimestre con 87 seguimientos a medidas menos equivalente al 62,1% de porcentaje menos de cumplimiento. La menor ejecución se presenta en la P.D.C del Ministerio Público y los Derechos Humanos.
De acuerdo con los rangos de cumplimiento definidos para este indicador se ubica en el nivel insatisfactorio.
Se recomienda al proceso realizar monitoreo, seguimiento y establecer las acciones correctivas y/o de mejora que le permitan dar cumplimiento a la meta y  la coherencia en la ejecución frente a la programación prevista para la vigencia.</t>
  </si>
  <si>
    <t>Para el periodo no se programó avance. El inicio de su ejecución está prevista para el tercer trimestre de 2022.</t>
  </si>
  <si>
    <t>Para el periodo no se programó avance. El inicio de su ejecución está prevista para el cuarto trimestre de 2022.</t>
  </si>
  <si>
    <t>Se evidencia una menor ejecución en relación con la programación del trimestre con 25 acciones de prevención y control sin realizar equivalente al 41% de porcentaje menos de cumplimiento. La menor ejecución se presenta en la P.D.C de Gestión de las Personerías Locales.
En el año alcanza un cumplimiento del 5,6%.
De acuerdo con los rangos de cumplimiento definidos para este indicador, en este trimestre se encuentra en el nivel insatisfactorio.
Se recomienda al proceso realizar monitoreo, seguimiento y establecer las acciones correctivas y/o de mejora que le permitan dar cumplimiento a la meta y  la coherencia en la ejecución frente a la programación prevista para la vigencia.</t>
  </si>
  <si>
    <t>Se evidencia una mayor ejecución que supera la programación del trimestre con 1 seguimiento realizado adicional equivalente al 100% de porcentaje adicional de cumplimiento, por cuanto se tenia previsto 1 en el trimestre. La mayor ejecución se presenta en el aporte al indicador por parte de la P.D.C Prevención y Control a la Función Pública.
En el año alcanza un cumplimiento del 3%.
De acuerdo con los rangos de cumplimiento definidos para este indicador, en este trimestre se encuentra en el nivel satisfactorio.
Se recomienda continuar haciendo monitoreo al indicador y establecer las acciones de mejora que permitan dar total cumplimiento a la meta y  la coherencia en la ejecución frente a la programación prevista para la vigencia.</t>
  </si>
  <si>
    <t>Se evidencia una mayor ejecución que supera la programación del trimestre con 6 acompañamientos realizados adicionales equivalentes al 50% de porcentaje adicional de cumplimiento, por cuanto se tenia previsto 12 en el trimestre. La mayor ejecución se presenta en el aporte al indicador por parte de la P.D.C . de Gestión de las Personerías Locales.
En el año alcanza un cumplimiento del 30%.
De acuerdo con los rangos de cumplimiento definidos para este indicador, en este trimestre se encuentra en el nivel satisfactorio.
Se recomienda continuar haciendo monitoreo al indicador y establecer las acciones de mejora que permitan dar total cumplimiento a la meta y  la coherencia en la ejecución frente a la programación prevista para la vigencia.</t>
  </si>
  <si>
    <t>Se evidencia una mayor ejecución que supera la programación del trimestre con 7 espacios de dialogo adicionales equivalentes al 117% de porcentaje adicional de cumplimiento, por cuanto se tenia previsto 13 en el trimestre. La mayor ejecución se presenta en el aporte al indicador por parte de la P.D.C . de Gestión de las Personerías Locales.
En el año alcanza un cumplimiento del 43,3%.
De acuerdo con los rangos de cumplimiento definidos para este indicador, en este trimestre se encuentra en el nivel satisfactorio.
Se recomienda al proceso revisar la programación frente al contexto interno y externo y establecer las acciones de mejora teniendo en cuenta la tendencia en aumento. Se debe revisar la tendencia de este indicador y evaluar una posible reprogramación.</t>
  </si>
  <si>
    <t>Se evidencia incumplimiento en la programación para el trimestre, por cuanto no presenta ejecución.
De acuerdo con los rangos de cumplimiento definidos para este indicador se ubica en el nivel insatisfactorio.
Se recomienda al proceso realizar monitoreo, seguimiento y establecer las acciones correctivas y/o de mejora que le permitan dar cumplimiento a la meta y  la coherencia en la ejecución frente a la programación prevista para la vigencia.</t>
  </si>
  <si>
    <t>Este indicador alcanza un cumplimiento en el trimestre del 100% y del 25% respecto del año, su ejecución es conforme a lo planeado.
De acuerdo con los rangos de cumplimiento definidos para este indicador en el corte acumulado se encuentra en el nivel satisfactorio.
Se recomienda continuar haciendo monitoreo a indicador para mantener e nivel de ejecución alcanzado hasta ahora.</t>
  </si>
  <si>
    <t>Este indicador alcanza un cumplimiento en el trimestre del 100% y del 30% respecto del año, su ejecución es conforme a lo planeado.
De acuerdo con los rangos de cumplimiento definidos para este indicador en el corte acumulado se encuentra en el nivel satisfactorio.
Se recomienda continuar haciendo monitoreo a indicador para mantener e nivel de ejecución alcanzado hasta ahora.</t>
  </si>
  <si>
    <t>Para el periodo no se programó avance. Su ejecución está prevista para dar inicio a partir del segundo trimestre de 2022.</t>
  </si>
  <si>
    <t>Para el periodo no se programó avance. Su ejecución está prevista para dar inicio a partir del tercer trimestre de 2022.</t>
  </si>
  <si>
    <t>Se evidencia una mayor ejecución que supera la programación del trimestre con 18 procesos adicionales equivalente al 100% de porcentaje adicional de cumplimiento en el trimestre. 
En el año alcanza un cumplimiento del 17,7%.
De acuerdo con los rangos de cumplimiento definidos para este indicador, en este trimestre se encuentra en el nivel satisfactorio.
Se recomienda continuar haciendo monitoreo al indicador y establecer las acciones de mejora que permitan dar total cumplimiento a la meta y  la coherencia en la ejecución frente a la programación prevista para la vigencia.</t>
  </si>
  <si>
    <t>Este indicador esta programado de manera constante en el año con 100% de magnitud esperada en cada periodo, su ejecución promedio en el trimestre es menor a la esperada con 21% de las noticias disciplinarias menos que la programada. 
De acuerdo con los rangos de cumplimiento definidos para este indicador, en este trimestre alcanza el nivel aceptable.
Se recomienda al proceso realizar monitoreo, seguimiento y establecer las acciones correctivas y/o de mejora que le permitan dar cumplimiento a la meta y  la coherencia en la ejecución frente a la programación prevista para la vigencia.</t>
  </si>
  <si>
    <t>Este indicador alcanza un cumplimiento en el trimestre del 100% y del 20% respecto del año, su ejecución es conforme a lo planeado.
De acuerdo con los rangos de cumplimiento definidos para este indicador en el corte acumulado se encuentra en el nivel satisfactorio.
Se recomienda continuar haciendo monitoreo a indicador para mantener e nivel de ejecución alcanzado hasta ahora.</t>
  </si>
  <si>
    <t>Este indicador esta programado de manera constante en el año con 96% de magnitud esperada en cada periodo, su ejecución promedio en el trimestre es menor con 3% usuarios satisfechos menos.
De acuerdo con los rangos de cumplimiento definidos para este indicador, en este periodo alcanza en el nivel satisfactorio.
Se recomienda al proceso realizar monitoreo, seguimiento y establecer las acciones correctivas y/o de mejora que le permitan dar cumplimiento a la meta y  la coherencia en la ejecución frente a la programación prevista para la vigencia.</t>
  </si>
  <si>
    <t>Este indicador alcanza un cumplimiento en el trimestre del 100% y del 25,8% respecto del año, su ejecución es conforme a lo planeado.
De acuerdo con los rangos de cumplimiento definidos para este indicador en el corte acumulado se encuentra en el nivel satisfactorio.
Se recomienda continuar haciendo monitoreo a indicador para mantener e nivel de ejecución alcanzado hasta ahora.</t>
  </si>
  <si>
    <t>Este indicador alcanza un cumplimiento en el trimestre del 100% y del 40,2% respecto del año, su ejecución es conforme a lo planeado.
De acuerdo con los rangos de cumplimiento definidos para este indicador en el corte acumulado se encuentra en el nivel satisfactorio.
Se recomienda continuar haciendo monitoreo a indicador para mantener e nivel de ejecución alcanzado hasta ahora.</t>
  </si>
  <si>
    <t>Este indicador alcanza un cumplimiento en el trimestre del 100% y del 50% respecto del año, su ejecución es conforme a lo planeado.
De acuerdo con los rangos de cumplimiento definidos para este indicador en el corte acumulado se encuentra en el nivel satisfactorio.
Se recomienda continuar haciendo monitoreo a indicador para mantener e nivel de ejecución alcanzado hasta ahora.</t>
  </si>
  <si>
    <t>Se evidencia una mayor ejecución que supera la programación del trimestre con 5,1% de presupuesto ejecutado adicional equivalente al 23% de porcentaje adicional de cumplimiento. 
En el año alcanza un cumplimiento del 28,5%.
De acuerdo con los rangos de cumplimiento definidos para este indicador, en este trimestre se encuentra en el nivel satisfactorio.
Se recomienda continuar haciendo monitoreo al indicador y establecer las acciones de mejora que permitan dar total cumplimiento a la meta y  la coherencia en la ejecución frente a la programación prevista para la vigencia.</t>
  </si>
  <si>
    <t>Este indicador alcanza un cumplimiento en el trimestre del 100% y del 25% respecto del año, su ejecución es conforme a lo planeado.
De acuerdo con los rangos de cumplimiento definidos para este indicador en el corte se encuentra en el nivel satisfactorio.
Se recomienda continuar haciendo monitoreo a indicador para mantener e nivel de ejecución alcanzado hasta ahora.</t>
  </si>
  <si>
    <t>Se evidencia una menor ejecución en relación con la programación del trimestre con 0,8% de compromisos de pago menos al esperado equivalente al 6% de porcentaje menos de cumplimiento.
En el año alcanza un cumplimiento del 13,9%.
De acuerdo con los rangos de cumplimiento definidos para este indicador, en este trimestre se encuentra en el nivel insatisfactorio.
Se recomienda al proceso realizar monitoreo, seguimiento y establecer las acciones correctivas y/o de mejora que le permitan dar cumplimiento a la meta y  la coherencia en la ejecución frente a la programación prevista para la vigencia.</t>
  </si>
  <si>
    <t>Este indicador alcanza un cumplimiento en el trimestre del 100% y del 20% respecto del año, su ejecución es conforme a lo planeado.
De acuerdo con los rangos de cumplimiento definidos para este indicador en el corte se encuentra en el nivel satisfactorio.
Se recomienda continuar haciendo monitoreo a indicador para mantener e nivel de ejecución alcanzado hasta ahora.</t>
  </si>
  <si>
    <t>Este indicador alcanza un cumplimiento en el trimestre del 100% y del 35% respecto del año, su ejecución es conforme a lo planeado.
De acuerdo con los rangos de cumplimiento definidos para este indicador en el corte se encuentra en el nivel satisfactorio.
Se recomienda continuar haciendo monitoreo a indicador para mantener e nivel de ejecución alcanzado hasta ahora.</t>
  </si>
  <si>
    <t>Para el periodo no se programó avance. Su ejecución está prevista para el segundo trimestre de 2022.</t>
  </si>
  <si>
    <t>Se evidencia sobre ejecución que supera la programación del trimestre con 20 medidas de preservación emitidas equivalente al 333% de porcentaje adicional de cumplimiento en el trimestre y de la meta total año con 2 medidas de preservación emitidas adicionales equivalente al 8,3% de porcentaje adicional de cumplimiento en el año. 
Se recomienda al proceso revisar la programación frente al contexto interno y externo y establecer las acciones de mejora teniendo en cuenta la tendencia en aumento. Se debe revisar la tendencia de este indicador y proyectar la reprogramación para los periodos restantes del año.</t>
  </si>
  <si>
    <t>Aunque no estaba prevista ejecución en el periodo se adelanto una jornada de sensibilización por lo que presenta ejecución en el trimestre y porcentaje de cumplimiento en el año con el 16,7%.
Se recomienda continuar haciendo monitoreo al indicador y establecer las acciones de mejora que permitan dar total cumplimiento a la meta y  la coherencia en la ejecución frente a la programación prevista para la vigencia.</t>
  </si>
  <si>
    <t>Se evidencia una mayor ejecución que supera la programación del trimestre con 7 procesos adicionales equivalente al 30% de porcentaje adicional de cumplimiento. 
En el año alcanza un cumplimiento del 30%.
De acuerdo con los rangos de cumplimiento definidos para este indicador, en este trimestre se encuentra en el nivel satisfactorio.
Se recomienda continuar haciendo monitoreo al indicador y establecer las acciones de mejora que permitan dar total cumplimiento a la meta y  la coherencia en la ejecución frente a la programación prevista para la vigencia.</t>
  </si>
  <si>
    <t>Se evidencia una mayor ejecución que supera la programación del trimestre con1 actividad de diseño adicional equivalente al 20% de porcentaje adicional de cumplimiento en el trimestre. 
En el año alcanza un cumplimiento del 24%.
De acuerdo con los rangos de cumplimiento definidos para este indicador, en este trimestre se encuentra en el nivel satisfactorio.
Se recomienda continuar haciendo monitoreo al indicador y establecer las acciones de mejora que permitan dar total cumplimiento a la meta y  la coherencia en la ejecución frente a la programación prevista para la vigencia.</t>
  </si>
  <si>
    <t>Se evidencia una mayor ejecución que supera la programación del trimestre con 4.886 personas orientadas adicionales equivalente al 22,6% de porcentaje adicional de cumplimiento. La mayor ejecución se presenta en las tres instancias de coordinación que aportan así:
P.D.C del Ministerio Público y los Derechos Humanos: 4.524 personas orientadas adicionales.
P.D.C de Gestión de Personerías Locales: 346 personas orientadas adicionales.
P.D.C de Prevención y Ctrl a la Función Pública : 16 personas orientadas adicionales.
En el año alcanza un cumplimiento del 27,3%.
De acuerdo con los rangos de cumplimiento definidos para este indicador, en este trimestre se encuentra en el nivel satisfactorio.
Se recomienda continuar haciendo monitoreo al indicador y establecer las acciones de mejora que permitan dar total cumplimiento a la meta y  la coherencia en la ejecución frente a la programación prevista para la vigencia.</t>
  </si>
  <si>
    <t>Se evidencia una mayor ejecución que supera ampliamente la programación del trimestre con 2.848 personas asistidas adicionales equivalente al 42,7% de porcentaje adicional de cumplimiento. La mayor ejecución se presenta en las tres instancias de coordinación que aportan así:
P.D.C del Ministerio Público y los Derechos Humanos: 237 personas asistidas adicionales.
P.D.C de Gestión de Personerías Locales: 372 personas asistidas adicionales.
P.D.C de Prevención y Ctrl a la Función Pública : 2.239 personas asistidas adicionales.
En el año alcanza un cumplimiento del 36,4%.
De acuerdo con los rangos de cumplimiento definidos para este indicador, en este trimestre se encuentra en el nivel satisfactorio.
Se recomienda continuar haciendo monitoreo al indicador y establecer las acciones de mejora que permitan dar total cumplimiento a la meta y  la coherencia en la ejecución frente a la programación prevista para la vigencia.</t>
  </si>
  <si>
    <t>Se evidencia una mayor ejecución que supera ampliamente la programación del trimestre con 1.694 peticiones atendidas adicionales equivalente al 49,7% de porcentaje adicional de cumplimiento. La mayor ejecución se presenta en las tres instancias de coordinación que aportan así:
P.D.C del Ministerio Público y los Derechos Humanos: 1.318 peticiones atendidas adicionales.
P.D.C de Gestión de Personerías Locales: 162 personas orientadas adicionales.
P.D.C de Prevención y Ctrl a la Función Pública : 214 personas orientadas adicionales.
En el año alcanza un cumplimiento del 31,7%.
De acuerdo con los rangos de cumplimiento definidos para este indicador, en este trimestre se encuentra en el nivel satisfactorio.
Se recomienda continuar haciendo monitoreo al indicador y establecer las acciones de mejora que permitan dar total cumplimiento a la meta y  la coherencia en la ejecución frente a la programación prevista para la vigencia.</t>
  </si>
  <si>
    <t>Se evidencia una mayor ejecución que supera ampliamente la programación del trimestre con 6.089 personas sensibilizadas adicionales equivalente al 56,9% de porcentaje adicional de cumplimiento. La mayor ejecución se presenta en las instancias de coordinación que aportan así:
P.D.C del Ministerio Público y los Derechos Humanos: 5.722 personas sensibilizadas adicionales.
P.D.C de Gestión de Personerías Locales: 367 personas sensibilizadas adicionales.
En el año alcanza un cumplimiento del 23,5%.
De acuerdo con los rangos de cumplimiento definidos para este indicador, en este trimestre se encuentra en el nivel satisfactorio.
Se recomienda continuar haciendo monitoreo al indicador y establecer las acciones de mejora que permitan dar total cumplimiento a la meta y  la coherencia en la ejecución frente a la programación prevista para la vigencia.</t>
  </si>
  <si>
    <t>Se evidencia una sobre ejecución que supera ampliamente la programación del trimestre con 1.781 acciones en favor a víctimas adicionales equivalente al 193,6% de porcentaje adicional de cumplimiento. La mayor ejecución se presenta en las instancias de coordinación que aportan así:
P.D.C del Ministerio Público y los Derechos Humanos: 1.556 acciones en favor a víctimas adicionales.
P.D.C de Gestión de Personerías Locales: 545 acciones en favor a víctimas adicionales.
En el año alcanza un cumplimiento del 49,3%.
De acuerdo con los rangos de cumplimiento definidos para este indicador, en este trimestre se encuentra en el nivel satisfactorio.
Se recomienda al proceso revisar la programación frente al contexto interno y externo y establecer las acciones de mejora teniendo en cuenta la tendencia en aumento. Se debe revisar la tendencia de este indicador y evaluar una posible reprogramación.</t>
  </si>
  <si>
    <t>Se evidencia una mayor ejecución que supera la programación del trimestre con 162 acciones constitucionales adicionales equivalente al 12,4% de porcentaje adicional de cumplimiento. La mayor ejecución se presenta en las instancias de coordinación que aportan así:
P.D.C del Ministerio Público y los Derechos Humanos: 148 acciones constitucionales adicionales.
P.D.C de Gestión de Personerías Locales: 14 acciones constitucionales adicionales.
En el año alcanza un cumplimiento del 30,8%.
De acuerdo con los rangos de cumplimiento definidos para este indicador, en este trimestre se encuentra en el nivel satisfactorio.
Se recomienda continuar haciendo monitoreo al indicador y establecer las acciones de mejora que permitan dar total cumplimiento a la meta y  la coherencia en la ejecución frente a la programación prevista para la vigencia.</t>
  </si>
  <si>
    <t>Se evidencia una menor ejecución del trimestre con 76 espacios interinstitucionales menos equivalente al 11,2% de porcentaje menos de cumplimiento. La ejecución se presenta en las instancias de coordinación que aportan así:
P.D.C del Ministerio Público y los Derechos Humanos: 28 espacios interinstitucionales adicionales.
P.D.C de Gestión de Personerías Locales: 104 espacios interinstitucionales menos.
En el año alcanza un cumplimiento del 21,7%.
De acuerdo con los rangos de cumplimiento definidos para este indicador, en este trimestre alcanza el nivel satisfactorio.
Se recomienda al proceso realizar monitoreo, seguimiento y establecer las acciones correctivas y/o de mejora que le permitan dar cumplimiento a la meta y  la coherencia en la ejecución frente a la programación prevista para la vigencia.</t>
  </si>
  <si>
    <t>Este indicador esta programado de manera constante en el año con 98% de magnitud esperada en cada periodo, su ejecución promedio en el trimestre y del año se encuentra con una leve desviación en relación con lo planeado.
De acuerdo con los rangos de cumplimiento definidos para este indicador, en este periodo y en el corte acumulado se encuentra en el nivel satisfactorio.
Se recomienda continuar haciendo monitoreo al indicador y establecer las acciones de mejora que permitan dar total cumplimiento a la meta y  la coherencia en la ejecución frente a la programación prevista para la vigencia.</t>
  </si>
  <si>
    <t>Este indicador esta programado de manera constante en el año con 97% de magnitud esperada en cada periodo, su ejecución promedio en el trimestre y del año es mayor en relación con lo planeado con un 13% de actividades ejecutadas adicionales.
De acuerdo con los rangos de cumplimiento definidos para este indicador, en este periodo y en el corte acumulado se encuentra en el nivel satisfactorio.
Se recomienda continuar haciendo monitoreo al indicador y establecer las acciones de mejora que permitan dar total cumplimiento a la meta y  la coherencia en la ejecución frente a la programación prevista para la vigencia.</t>
  </si>
  <si>
    <t>Se evidencia una mayor ejecución que supera la programación del trimestre con 2% de porcentaje de PAA ejecutado adicional equivalente al 6% de porcentaje adicional de cumplimiento. 
En el año alcanza un cumplimiento del 40%.
De acuerdo con los rangos de cumplimiento definidos para este indicador, en este trimestre se encuentra en el nivel satisfactorio.
Se recomienda continuar haciendo monitoreo al indicador y establecer las acciones de mejora que permitan dar total cumplimiento a la meta y  la coherencia en la ejecución frente a la programación prevista para la vigencia.</t>
  </si>
  <si>
    <t>Este indicador esta programado de manera constante en el año con 80% de magnitud esperada en cada periodo, su ejecución promedio en el trimestre y del año es mayor en relación con lo planeado con un 20% de contratos de la modalidad adicionales.
De acuerdo con los rangos de cumplimiento definidos para este indicador, en este periodo y en el corte acumulado se encuentra en el nivel satisfactorio.
Se recomienda continuar haciendo monitoreo al indicador y establecer las acciones de mejora que permitan dar total cumplimiento a la meta y  la coherencia en la ejecución frente a la programación prevista para la vigencia.</t>
  </si>
  <si>
    <t>Este indicador esta programado de manera constante en el año con 80% de magnitud esperada en cada periodo, aunque no estaba prevista ejecución en el periodo se adelantó un contrato por esta modalidad con el cumplimiento de criterio esperado por lo que presenta ejecución en el trimestre del 100% y del año con el 31,3%.
Se recomienda continuar haciendo monitoreo al indicador y establecer las acciones de mejora que permitan dar total cumplimiento a la meta y  la coherencia en la ejecución frente a la programación prevista para la vigencia.</t>
  </si>
  <si>
    <t>Este indicador esta programado de manera constante en el año con 95% de magnitud esperada en cada periodo, su ejecución promedio en el trimestre y del año es mayor en relación con lo planeado con un 3,5% de actividades ejecutadas adicionales equivalente al 4% adicional de cumplimiento en el trimestre.
De acuerdo con los rangos de cumplimiento definidos para este indicador, en este periodo se encuentra en el nivel satisfactorio.
Se recomienda continuar haciendo monitoreo al indicador y establecer las acciones de mejora que permitan dar total cumplimiento a la meta y  la coherencia en la ejecución frente a la programación prevista para la vigencia.</t>
  </si>
  <si>
    <t>Este indicador esta programado de manera constante en el año con 80% de magnitud esperada en cada periodo, su ejecución promedio en el trimestre y del año es mayor en relación con lo planeado con un 7,5% de actividades ejecutadas adicionales equivalente al 9% adicional de cumplimiento en el trimestre.
De acuerdo con los rangos de cumplimiento definidos para este indicador, en este periodo se encuentra en el nivel satisfactorio.
Se recomienda continuar haciendo monitoreo al indicador y establecer las acciones de mejora que permitan dar total cumplimiento a la meta y  la coherencia en la ejecución frente a la programación prevista para la vigencia.</t>
  </si>
  <si>
    <t>Se evidencia una mayor ejecución que supera la programación del trimestre con 43 seguimientos adicionales equivalente al 95,6% de porcentaje adicional de cumplimiento. La mayor ejecución se presenta en las instancias de coordinación que aportan así:
P.D.C del Ministerio Público y los Derechos Humanos: 36 seguimientos adicionales .
P.D.C de Gestión de Personerías Locales: 7 seguimientos adicionales .
En el año alcanza un cumplimiento del 42,3%.
De acuerdo con los rangos de cumplimiento definidos para este indicador, en este trimestre se encuentra en el nivel satisfactorio.
Se recomienda al proceso revisar la programación frente al contexto interno y externo y establecer las acciones de mejora teniendo en cuenta la tendencia en aumento. Se debe revisar la tendencia de este indicador y evaluar una posible reprogramación.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</si>
</sst>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 #,##0_-;_-* &quot;-&quot;_-;_-@_-"/>
    <numFmt numFmtId="43" formatCode="_-* #,##0.00_-;\-* #,##0.00_-;_-* &quot;-&quot;??_-;_-@_-"/>
    <numFmt numFmtId="164" formatCode="0.0%"/>
    <numFmt numFmtId="165" formatCode="dd/mm/yyyy;@"/>
    <numFmt numFmtId="166" formatCode="#,##0.0"/>
    <numFmt numFmtId="167" formatCode="0;[Red]0"/>
    <numFmt numFmtId="168" formatCode="dd\-mm\-yyyy"/>
    <numFmt numFmtId="169" formatCode="#,##0%"/>
    <numFmt numFmtId="170" formatCode="#,##0.0%"/>
    <numFmt numFmtId="171" formatCode="[$-240A]d&quot; de &quot;mmmm&quot; de &quot;yyyy;@"/>
  </numFmts>
  <fonts count="9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Century Gothic"/>
      <family val="2"/>
    </font>
    <font>
      <sz val="11"/>
      <color indexed="8"/>
      <name val="Calibri"/>
      <family val="2"/>
    </font>
    <font>
      <b/>
      <sz val="12"/>
      <name val="Arial"/>
      <family val="2"/>
    </font>
    <font>
      <b/>
      <sz val="12"/>
      <color indexed="8"/>
      <name val="Arial"/>
      <family val="2"/>
    </font>
    <font>
      <b/>
      <sz val="12"/>
      <color theme="3" tint="-0.499984740745262"/>
      <name val="Arial"/>
      <family val="2"/>
    </font>
    <font>
      <b/>
      <sz val="14"/>
      <name val="Arial"/>
      <family val="2"/>
    </font>
    <font>
      <sz val="12"/>
      <name val="Century Gothic"/>
      <family val="2"/>
    </font>
    <font>
      <sz val="10"/>
      <name val="Arial"/>
      <family val="2"/>
    </font>
    <font>
      <sz val="10"/>
      <color rgb="FF000000"/>
      <name val="Arial1"/>
    </font>
    <font>
      <sz val="11"/>
      <color rgb="FF000000"/>
      <name val="Calibri"/>
      <family val="2"/>
    </font>
    <font>
      <sz val="10"/>
      <name val="Arial"/>
      <family val="2"/>
    </font>
    <font>
      <sz val="12"/>
      <name val="Arial"/>
      <family val="2"/>
    </font>
    <font>
      <sz val="18"/>
      <name val="Arial"/>
      <family val="2"/>
    </font>
    <font>
      <b/>
      <sz val="18"/>
      <name val="Arial"/>
      <family val="2"/>
    </font>
    <font>
      <sz val="11"/>
      <name val="Arial"/>
      <family val="2"/>
    </font>
    <font>
      <sz val="12"/>
      <color theme="1"/>
      <name val="Arial"/>
      <family val="2"/>
    </font>
    <font>
      <b/>
      <sz val="12"/>
      <color theme="1"/>
      <name val="Arial"/>
      <family val="2"/>
    </font>
    <font>
      <b/>
      <sz val="10"/>
      <color theme="3" tint="-0.499984740745262"/>
      <name val="Arial"/>
      <family val="2"/>
    </font>
    <font>
      <b/>
      <sz val="10"/>
      <color indexed="8"/>
      <name val="Arial"/>
      <family val="2"/>
    </font>
    <font>
      <b/>
      <sz val="22"/>
      <name val="Arial"/>
      <family val="2"/>
    </font>
    <font>
      <b/>
      <sz val="12"/>
      <color theme="0"/>
      <name val="Arial"/>
      <family val="2"/>
    </font>
    <font>
      <sz val="10"/>
      <color theme="0"/>
      <name val="Arial"/>
      <family val="2"/>
    </font>
    <font>
      <i/>
      <sz val="12"/>
      <name val="Arial"/>
      <family val="2"/>
    </font>
    <font>
      <sz val="16"/>
      <name val="Century Gothic"/>
      <family val="2"/>
    </font>
    <font>
      <b/>
      <sz val="11"/>
      <name val="Arial"/>
      <family val="2"/>
    </font>
    <font>
      <b/>
      <sz val="11"/>
      <color theme="0"/>
      <name val="Arial"/>
      <family val="2"/>
    </font>
    <font>
      <b/>
      <sz val="10"/>
      <name val="Arial"/>
      <family val="2"/>
    </font>
    <font>
      <sz val="20"/>
      <name val="Arial"/>
      <family val="2"/>
    </font>
    <font>
      <b/>
      <sz val="16"/>
      <name val="Arial"/>
      <family val="2"/>
    </font>
    <font>
      <b/>
      <sz val="28"/>
      <name val="Arial"/>
      <family val="2"/>
    </font>
    <font>
      <sz val="14"/>
      <name val="Arial"/>
      <family val="2"/>
    </font>
    <font>
      <sz val="10"/>
      <color theme="1"/>
      <name val="Arial"/>
      <family val="2"/>
    </font>
    <font>
      <sz val="14"/>
      <color rgb="FF000000"/>
      <name val="Arial"/>
      <family val="2"/>
    </font>
    <font>
      <sz val="14"/>
      <color theme="1"/>
      <name val="Arial"/>
      <family val="2"/>
    </font>
    <font>
      <sz val="16"/>
      <color theme="1"/>
      <name val="Arial"/>
      <family val="2"/>
    </font>
    <font>
      <sz val="16"/>
      <name val="Arial"/>
      <family val="2"/>
    </font>
    <font>
      <sz val="12"/>
      <color rgb="FF000000"/>
      <name val="Arial"/>
      <family val="2"/>
    </font>
    <font>
      <sz val="26"/>
      <name val="Century Gothic"/>
      <family val="2"/>
    </font>
    <font>
      <b/>
      <sz val="11"/>
      <color theme="1"/>
      <name val="Arial"/>
      <family val="2"/>
    </font>
    <font>
      <u/>
      <sz val="12"/>
      <name val="Arial"/>
      <family val="2"/>
    </font>
    <font>
      <b/>
      <sz val="16"/>
      <color theme="1"/>
      <name val="Arial"/>
      <family val="2"/>
    </font>
    <font>
      <b/>
      <sz val="8"/>
      <color theme="1"/>
      <name val="Arial"/>
      <family val="2"/>
    </font>
    <font>
      <b/>
      <sz val="10"/>
      <color theme="1"/>
      <name val="Arial"/>
      <family val="2"/>
    </font>
    <font>
      <b/>
      <sz val="14"/>
      <color theme="1"/>
      <name val="Arial"/>
      <family val="2"/>
    </font>
    <font>
      <sz val="18"/>
      <color rgb="FFFF0000"/>
      <name val="Arial"/>
      <family val="2"/>
    </font>
    <font>
      <b/>
      <sz val="10"/>
      <color rgb="FFFF0000"/>
      <name val="Century Gothic"/>
      <family val="2"/>
    </font>
    <font>
      <sz val="18"/>
      <color theme="1"/>
      <name val="Arial"/>
      <family val="2"/>
    </font>
    <font>
      <sz val="14"/>
      <color rgb="FFFF0000"/>
      <name val="Arial"/>
      <family val="2"/>
    </font>
    <font>
      <sz val="18"/>
      <color theme="0"/>
      <name val="Arial"/>
      <family val="2"/>
    </font>
    <font>
      <sz val="14"/>
      <color theme="0"/>
      <name val="Arial"/>
      <family val="2"/>
    </font>
    <font>
      <sz val="16"/>
      <color theme="0"/>
      <name val="Arial"/>
      <family val="2"/>
    </font>
    <font>
      <sz val="12"/>
      <color theme="0"/>
      <name val="Arial"/>
      <family val="2"/>
    </font>
    <font>
      <sz val="18"/>
      <name val="Century Gothic"/>
      <family val="2"/>
    </font>
    <font>
      <b/>
      <sz val="18"/>
      <name val="Century Gothic"/>
      <family val="2"/>
    </font>
    <font>
      <b/>
      <sz val="10"/>
      <color theme="0"/>
      <name val="Arial"/>
      <family val="2"/>
    </font>
    <font>
      <b/>
      <sz val="9"/>
      <color indexed="81"/>
      <name val="Tahoma"/>
      <family val="2"/>
    </font>
    <font>
      <sz val="9"/>
      <color indexed="81"/>
      <name val="Tahoma"/>
      <family val="2"/>
    </font>
    <font>
      <sz val="9"/>
      <name val="Arial"/>
      <family val="2"/>
    </font>
    <font>
      <sz val="8"/>
      <color theme="1"/>
      <name val="Arial"/>
      <family val="2"/>
    </font>
    <font>
      <sz val="8"/>
      <name val="Arial"/>
      <family val="2"/>
    </font>
    <font>
      <sz val="11"/>
      <color theme="1"/>
      <name val="Arial"/>
      <family val="2"/>
    </font>
    <font>
      <sz val="9"/>
      <color theme="1"/>
      <name val="Arial"/>
      <family val="2"/>
    </font>
    <font>
      <b/>
      <sz val="16"/>
      <color rgb="FFFFFFFF"/>
      <name val="Arial"/>
      <family val="2"/>
    </font>
    <font>
      <sz val="16"/>
      <color rgb="FF000000"/>
      <name val="Arial"/>
      <family val="2"/>
    </font>
    <font>
      <sz val="18"/>
      <color rgb="FF000000"/>
      <name val="Calibri"/>
      <family val="2"/>
    </font>
    <font>
      <b/>
      <sz val="18"/>
      <color rgb="FFFFFFFF"/>
      <name val="Calibri"/>
      <family val="2"/>
    </font>
    <font>
      <b/>
      <sz val="14"/>
      <color rgb="FFFFFFFF"/>
      <name val="Arial"/>
      <family val="2"/>
    </font>
    <font>
      <b/>
      <sz val="14"/>
      <color theme="0"/>
      <name val="Arial"/>
      <family val="2"/>
    </font>
    <font>
      <sz val="12"/>
      <color rgb="FF002060"/>
      <name val="Arial"/>
      <family val="2"/>
    </font>
    <font>
      <b/>
      <sz val="18"/>
      <color theme="1"/>
      <name val="Arial"/>
      <family val="2"/>
    </font>
    <font>
      <b/>
      <sz val="12"/>
      <color indexed="9"/>
      <name val="Arial"/>
      <family val="2"/>
    </font>
    <font>
      <b/>
      <sz val="19"/>
      <color theme="1"/>
      <name val="Arial"/>
      <family val="2"/>
    </font>
    <font>
      <b/>
      <sz val="14"/>
      <name val="Century Gothic"/>
      <family val="2"/>
    </font>
    <font>
      <sz val="20"/>
      <color theme="1"/>
      <name val="Arial"/>
      <family val="2"/>
    </font>
    <font>
      <b/>
      <sz val="16"/>
      <color theme="0"/>
      <name val="Arial"/>
      <family val="2"/>
    </font>
    <font>
      <sz val="12"/>
      <color theme="0"/>
      <name val="Century Gothic"/>
      <family val="2"/>
    </font>
    <font>
      <sz val="10"/>
      <color theme="0"/>
      <name val="Century Gothic"/>
      <family val="2"/>
    </font>
    <font>
      <b/>
      <sz val="17"/>
      <name val="Arial"/>
      <family val="2"/>
    </font>
    <font>
      <sz val="12"/>
      <color rgb="FFFF0000"/>
      <name val="Arial"/>
      <family val="2"/>
    </font>
    <font>
      <sz val="8"/>
      <color theme="0"/>
      <name val="Arial"/>
      <family val="2"/>
    </font>
    <font>
      <sz val="14"/>
      <name val="Century Gothic"/>
      <family val="2"/>
    </font>
    <font>
      <sz val="12"/>
      <color theme="1" tint="4.9989318521683403E-2"/>
      <name val="Century Gothic"/>
      <family val="2"/>
    </font>
    <font>
      <sz val="10"/>
      <color theme="1" tint="4.9989318521683403E-2"/>
      <name val="Century Gothic"/>
      <family val="2"/>
    </font>
    <font>
      <b/>
      <sz val="13"/>
      <name val="Arial"/>
      <family val="2"/>
    </font>
    <font>
      <b/>
      <sz val="10"/>
      <color rgb="FFFF0000"/>
      <name val="Arial"/>
      <family val="2"/>
    </font>
    <font>
      <b/>
      <sz val="15"/>
      <name val="Arial"/>
      <family val="2"/>
    </font>
    <font>
      <sz val="18"/>
      <color theme="0" tint="-0.249977111117893"/>
      <name val="Arial"/>
      <family val="2"/>
    </font>
    <font>
      <sz val="12"/>
      <color theme="0" tint="-0.249977111117893"/>
      <name val="Arial"/>
      <family val="2"/>
    </font>
    <font>
      <b/>
      <sz val="12"/>
      <color rgb="FFFF0000"/>
      <name val="Arial"/>
      <family val="2"/>
    </font>
  </fonts>
  <fills count="46">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indexed="22"/>
        <bgColor indexed="31"/>
      </patternFill>
    </fill>
    <fill>
      <patternFill patternType="solid">
        <fgColor theme="3" tint="0.79998168889431442"/>
        <bgColor indexed="64"/>
      </patternFill>
    </fill>
    <fill>
      <patternFill patternType="solid">
        <fgColor theme="3" tint="0.39997558519241921"/>
        <bgColor indexed="51"/>
      </patternFill>
    </fill>
    <fill>
      <patternFill patternType="solid">
        <fgColor theme="0" tint="-0.249977111117893"/>
        <bgColor indexed="64"/>
      </patternFill>
    </fill>
    <fill>
      <patternFill patternType="solid">
        <fgColor theme="0" tint="-0.34998626667073579"/>
        <bgColor rgb="FFFBD4B4"/>
      </patternFill>
    </fill>
    <fill>
      <patternFill patternType="solid">
        <fgColor theme="0" tint="-0.34998626667073579"/>
        <bgColor indexed="64"/>
      </patternFill>
    </fill>
    <fill>
      <patternFill patternType="solid">
        <fgColor theme="0" tint="-0.34998626667073579"/>
        <bgColor indexed="58"/>
      </patternFill>
    </fill>
    <fill>
      <patternFill patternType="solid">
        <fgColor theme="0" tint="-0.14999847407452621"/>
        <bgColor indexed="64"/>
      </patternFill>
    </fill>
    <fill>
      <patternFill patternType="solid">
        <fgColor theme="0" tint="-0.34998626667073579"/>
        <bgColor indexed="51"/>
      </patternFill>
    </fill>
    <fill>
      <patternFill patternType="solid">
        <fgColor theme="3" tint="-0.249977111117893"/>
        <bgColor indexed="58"/>
      </patternFill>
    </fill>
    <fill>
      <patternFill patternType="solid">
        <fgColor theme="0" tint="-0.499984740745262"/>
        <bgColor indexed="58"/>
      </patternFill>
    </fill>
    <fill>
      <patternFill patternType="solid">
        <fgColor theme="0" tint="-0.499984740745262"/>
        <bgColor indexed="64"/>
      </patternFill>
    </fill>
    <fill>
      <patternFill patternType="solid">
        <fgColor theme="1" tint="0.34998626667073579"/>
        <bgColor indexed="64"/>
      </patternFill>
    </fill>
    <fill>
      <patternFill patternType="solid">
        <fgColor theme="1" tint="0.499984740745262"/>
        <bgColor indexed="64"/>
      </patternFill>
    </fill>
    <fill>
      <patternFill patternType="solid">
        <fgColor theme="2" tint="-9.9978637043366805E-2"/>
        <bgColor indexed="64"/>
      </patternFill>
    </fill>
    <fill>
      <patternFill patternType="solid">
        <fgColor rgb="FFD9D9D9"/>
        <bgColor indexed="64"/>
      </patternFill>
    </fill>
    <fill>
      <patternFill patternType="solid">
        <fgColor theme="2" tint="-0.249977111117893"/>
        <bgColor rgb="FFFBD4B4"/>
      </patternFill>
    </fill>
    <fill>
      <patternFill patternType="solid">
        <fgColor rgb="FFFF0000"/>
        <bgColor indexed="64"/>
      </patternFill>
    </fill>
    <fill>
      <patternFill patternType="solid">
        <fgColor rgb="FF00B05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8" tint="-0.249977111117893"/>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00FF00"/>
        <bgColor indexed="64"/>
      </patternFill>
    </fill>
    <fill>
      <patternFill patternType="solid">
        <fgColor rgb="FF00B0F0"/>
        <bgColor indexed="64"/>
      </patternFill>
    </fill>
    <fill>
      <patternFill patternType="solid">
        <fgColor rgb="FFFF3300"/>
        <bgColor indexed="64"/>
      </patternFill>
    </fill>
    <fill>
      <patternFill patternType="solid">
        <fgColor theme="4" tint="-0.249977111117893"/>
        <bgColor indexed="64"/>
      </patternFill>
    </fill>
    <fill>
      <patternFill patternType="solid">
        <fgColor rgb="FF333F4F"/>
        <bgColor indexed="64"/>
      </patternFill>
    </fill>
    <fill>
      <patternFill patternType="solid">
        <fgColor theme="0" tint="-0.14999847407452621"/>
        <bgColor rgb="FFFBD4B4"/>
      </patternFill>
    </fill>
    <fill>
      <patternFill patternType="solid">
        <fgColor theme="1" tint="0.499984740745262"/>
        <bgColor rgb="FFFBD4B4"/>
      </patternFill>
    </fill>
    <fill>
      <patternFill patternType="solid">
        <fgColor theme="2" tint="-9.9978637043366805E-2"/>
        <bgColor rgb="FFFBD4B4"/>
      </patternFill>
    </fill>
    <fill>
      <patternFill patternType="solid">
        <fgColor indexed="65"/>
        <bgColor indexed="64"/>
      </patternFill>
    </fill>
    <fill>
      <patternFill patternType="solid">
        <fgColor theme="2" tint="-0.249977111117893"/>
        <bgColor indexed="64"/>
      </patternFill>
    </fill>
    <fill>
      <patternFill patternType="solid">
        <fgColor theme="1" tint="0.34998626667073579"/>
        <bgColor rgb="FFFBD4B4"/>
      </patternFill>
    </fill>
    <fill>
      <patternFill patternType="solid">
        <fgColor rgb="FF002060"/>
        <bgColor rgb="FFFBD4B4"/>
      </patternFill>
    </fill>
    <fill>
      <patternFill patternType="solid">
        <fgColor theme="0"/>
        <bgColor rgb="FFFBD4B4"/>
      </patternFill>
    </fill>
    <fill>
      <patternFill patternType="solid">
        <fgColor rgb="FF66FF33"/>
        <bgColor indexed="64"/>
      </patternFill>
    </fill>
    <fill>
      <patternFill patternType="solid">
        <fgColor theme="6" tint="0.39997558519241921"/>
        <bgColor rgb="FFFBD4B4"/>
      </patternFill>
    </fill>
  </fills>
  <borders count="85">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8"/>
      </right>
      <top style="thin">
        <color indexed="8"/>
      </top>
      <bottom style="thin">
        <color indexed="8"/>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top style="medium">
        <color indexed="64"/>
      </top>
      <bottom style="thin">
        <color indexed="64"/>
      </bottom>
      <diagonal/>
    </border>
    <border>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top/>
      <bottom style="thin">
        <color indexed="8"/>
      </bottom>
      <diagonal/>
    </border>
    <border>
      <left/>
      <right style="thin">
        <color indexed="8"/>
      </right>
      <top/>
      <bottom style="thin">
        <color indexed="8"/>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diagonal/>
    </border>
    <border>
      <left style="thin">
        <color auto="1"/>
      </left>
      <right style="thin">
        <color auto="1"/>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style="thin">
        <color indexed="8"/>
      </left>
      <right/>
      <top/>
      <bottom style="thin">
        <color indexed="8"/>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medium">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rgb="FF000000"/>
      </right>
      <top/>
      <bottom/>
      <diagonal/>
    </border>
    <border>
      <left style="thin">
        <color rgb="FF000000"/>
      </left>
      <right style="medium">
        <color indexed="64"/>
      </right>
      <top/>
      <bottom/>
      <diagonal/>
    </border>
    <border>
      <left style="thin">
        <color auto="1"/>
      </left>
      <right style="thin">
        <color indexed="64"/>
      </right>
      <top/>
      <bottom style="thin">
        <color auto="1"/>
      </bottom>
      <diagonal/>
    </border>
    <border>
      <left style="thin">
        <color indexed="64"/>
      </left>
      <right/>
      <top/>
      <bottom style="thin">
        <color indexed="64"/>
      </bottom>
      <diagonal/>
    </border>
    <border>
      <left style="thin">
        <color auto="1"/>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auto="1"/>
      </left>
      <right style="medium">
        <color indexed="64"/>
      </right>
      <top style="thin">
        <color auto="1"/>
      </top>
      <bottom/>
      <diagonal/>
    </border>
    <border>
      <left style="thin">
        <color auto="1"/>
      </left>
      <right style="medium">
        <color indexed="64"/>
      </right>
      <top/>
      <bottom style="thin">
        <color auto="1"/>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s>
  <cellStyleXfs count="68">
    <xf numFmtId="0" fontId="0" fillId="0" borderId="0"/>
    <xf numFmtId="0" fontId="8" fillId="0" borderId="1"/>
    <xf numFmtId="0" fontId="10" fillId="0" borderId="1"/>
    <xf numFmtId="9" fontId="8" fillId="0" borderId="1" applyFill="0" applyBorder="0" applyAlignment="0" applyProtection="0"/>
    <xf numFmtId="0" fontId="8" fillId="0" borderId="1"/>
    <xf numFmtId="43" fontId="16" fillId="0" borderId="0" applyFont="0" applyFill="0" applyBorder="0" applyAlignment="0" applyProtection="0"/>
    <xf numFmtId="9" fontId="16" fillId="0" borderId="0" applyFont="0" applyFill="0" applyBorder="0" applyAlignment="0" applyProtection="0"/>
    <xf numFmtId="43" fontId="8" fillId="0" borderId="1" applyFont="0" applyFill="0" applyBorder="0" applyAlignment="0" applyProtection="0"/>
    <xf numFmtId="9" fontId="8" fillId="0" borderId="1" applyFont="0" applyFill="0" applyBorder="0" applyAlignment="0" applyProtection="0"/>
    <xf numFmtId="0" fontId="8" fillId="0" borderId="1"/>
    <xf numFmtId="0" fontId="8" fillId="0" borderId="1"/>
    <xf numFmtId="0" fontId="8" fillId="0" borderId="1"/>
    <xf numFmtId="0" fontId="8" fillId="0" borderId="1"/>
    <xf numFmtId="0" fontId="8" fillId="0" borderId="1"/>
    <xf numFmtId="0" fontId="8" fillId="0" borderId="1"/>
    <xf numFmtId="0" fontId="7" fillId="0" borderId="1"/>
    <xf numFmtId="9" fontId="17" fillId="0" borderId="1" applyBorder="0" applyProtection="0"/>
    <xf numFmtId="0" fontId="18" fillId="0" borderId="1" applyNumberFormat="0" applyBorder="0" applyProtection="0"/>
    <xf numFmtId="0" fontId="7" fillId="0" borderId="1"/>
    <xf numFmtId="0" fontId="7" fillId="0" borderId="1"/>
    <xf numFmtId="0" fontId="19" fillId="0" borderId="1"/>
    <xf numFmtId="0" fontId="6" fillId="0" borderId="1"/>
    <xf numFmtId="43" fontId="6" fillId="0" borderId="1" applyFont="0" applyFill="0" applyBorder="0" applyAlignment="0" applyProtection="0"/>
    <xf numFmtId="0" fontId="8" fillId="0" borderId="1"/>
    <xf numFmtId="43" fontId="8" fillId="0" borderId="1" applyFont="0" applyFill="0" applyBorder="0" applyAlignment="0" applyProtection="0"/>
    <xf numFmtId="43" fontId="8" fillId="0" borderId="1" applyFont="0" applyFill="0" applyBorder="0" applyAlignment="0" applyProtection="0"/>
    <xf numFmtId="0" fontId="5" fillId="0" borderId="1"/>
    <xf numFmtId="0" fontId="5" fillId="0" borderId="1"/>
    <xf numFmtId="0" fontId="5" fillId="0" borderId="1"/>
    <xf numFmtId="0" fontId="8" fillId="0" borderId="1"/>
    <xf numFmtId="0" fontId="5" fillId="0" borderId="1"/>
    <xf numFmtId="43" fontId="5" fillId="0" borderId="1" applyFont="0" applyFill="0" applyBorder="0" applyAlignment="0" applyProtection="0"/>
    <xf numFmtId="0" fontId="5" fillId="0" borderId="1"/>
    <xf numFmtId="9" fontId="5" fillId="0" borderId="1" applyFont="0" applyFill="0" applyBorder="0" applyAlignment="0" applyProtection="0"/>
    <xf numFmtId="0" fontId="8" fillId="0" borderId="1"/>
    <xf numFmtId="0" fontId="8" fillId="0" borderId="1"/>
    <xf numFmtId="43" fontId="8" fillId="0" borderId="1" applyFont="0" applyFill="0" applyBorder="0" applyAlignment="0" applyProtection="0"/>
    <xf numFmtId="43" fontId="8" fillId="0" borderId="1" applyFont="0" applyFill="0" applyBorder="0" applyAlignment="0" applyProtection="0"/>
    <xf numFmtId="43" fontId="8" fillId="0" borderId="1" applyFont="0" applyFill="0" applyBorder="0" applyAlignment="0" applyProtection="0"/>
    <xf numFmtId="43" fontId="8" fillId="0" borderId="1" applyFont="0" applyFill="0" applyBorder="0" applyAlignment="0" applyProtection="0"/>
    <xf numFmtId="43" fontId="8" fillId="0" borderId="1" applyFont="0" applyFill="0" applyBorder="0" applyAlignment="0" applyProtection="0"/>
    <xf numFmtId="43" fontId="8" fillId="0" borderId="1" applyFont="0" applyFill="0" applyBorder="0" applyAlignment="0" applyProtection="0"/>
    <xf numFmtId="43" fontId="8" fillId="0" borderId="1" applyFont="0" applyFill="0" applyBorder="0" applyAlignment="0" applyProtection="0"/>
    <xf numFmtId="0" fontId="4" fillId="0" borderId="1"/>
    <xf numFmtId="0" fontId="4" fillId="0" borderId="1"/>
    <xf numFmtId="0" fontId="4" fillId="0" borderId="1"/>
    <xf numFmtId="0" fontId="4" fillId="0" borderId="1"/>
    <xf numFmtId="43" fontId="4" fillId="0" borderId="1" applyFont="0" applyFill="0" applyBorder="0" applyAlignment="0" applyProtection="0"/>
    <xf numFmtId="0" fontId="8" fillId="0" borderId="1"/>
    <xf numFmtId="0" fontId="8" fillId="0" borderId="1"/>
    <xf numFmtId="43" fontId="8" fillId="0" borderId="1" applyFont="0" applyFill="0" applyBorder="0" applyAlignment="0" applyProtection="0"/>
    <xf numFmtId="41" fontId="8" fillId="0" borderId="1" applyFont="0" applyFill="0" applyBorder="0" applyAlignment="0" applyProtection="0"/>
    <xf numFmtId="0" fontId="4" fillId="0" borderId="1"/>
    <xf numFmtId="0" fontId="8" fillId="0" borderId="1" applyNumberFormat="0" applyFont="0" applyFill="0" applyBorder="0" applyAlignment="0" applyProtection="0">
      <alignment vertical="top"/>
    </xf>
    <xf numFmtId="0" fontId="4" fillId="0" borderId="1"/>
    <xf numFmtId="9" fontId="4" fillId="0" borderId="1" applyFont="0" applyFill="0" applyBorder="0" applyAlignment="0" applyProtection="0"/>
    <xf numFmtId="41" fontId="4" fillId="0" borderId="1" applyFont="0" applyFill="0" applyBorder="0" applyAlignment="0" applyProtection="0"/>
    <xf numFmtId="43" fontId="8" fillId="0" borderId="1" applyFont="0" applyFill="0" applyBorder="0" applyAlignment="0" applyProtection="0"/>
    <xf numFmtId="43" fontId="8" fillId="0" borderId="1" applyFont="0" applyFill="0" applyBorder="0" applyAlignment="0" applyProtection="0"/>
    <xf numFmtId="0" fontId="3" fillId="0" borderId="1"/>
    <xf numFmtId="0" fontId="3" fillId="0" borderId="1"/>
    <xf numFmtId="9" fontId="3" fillId="0" borderId="1" applyFont="0" applyFill="0" applyBorder="0" applyAlignment="0" applyProtection="0"/>
    <xf numFmtId="0" fontId="2" fillId="0" borderId="1"/>
    <xf numFmtId="0" fontId="2" fillId="0" borderId="1"/>
    <xf numFmtId="9" fontId="2" fillId="0" borderId="1" applyFont="0" applyFill="0" applyBorder="0" applyAlignment="0" applyProtection="0"/>
    <xf numFmtId="0" fontId="1" fillId="0" borderId="1"/>
    <xf numFmtId="0" fontId="1" fillId="0" borderId="1"/>
    <xf numFmtId="9" fontId="1" fillId="0" borderId="1" applyFont="0" applyFill="0" applyBorder="0" applyAlignment="0" applyProtection="0"/>
  </cellStyleXfs>
  <cellXfs count="1776">
    <xf numFmtId="0" fontId="0" fillId="0" borderId="0" xfId="0"/>
    <xf numFmtId="0" fontId="9" fillId="0" borderId="0" xfId="0" applyFont="1" applyAlignment="1">
      <alignment vertical="center"/>
    </xf>
    <xf numFmtId="0" fontId="15" fillId="0" borderId="1" xfId="0" applyFont="1" applyBorder="1" applyAlignment="1">
      <alignment vertical="center"/>
    </xf>
    <xf numFmtId="0" fontId="15" fillId="0" borderId="0" xfId="0" applyFont="1" applyAlignment="1">
      <alignment vertical="center"/>
    </xf>
    <xf numFmtId="0" fontId="15" fillId="0" borderId="1" xfId="0" applyFont="1" applyBorder="1" applyAlignment="1">
      <alignment horizontal="center" vertical="center"/>
    </xf>
    <xf numFmtId="0" fontId="15" fillId="0" borderId="0" xfId="0" applyFont="1" applyAlignment="1">
      <alignment horizontal="center" vertical="center"/>
    </xf>
    <xf numFmtId="0" fontId="25" fillId="3" borderId="18" xfId="0" applyFont="1" applyFill="1" applyBorder="1" applyAlignment="1">
      <alignment horizontal="left"/>
    </xf>
    <xf numFmtId="0" fontId="8" fillId="0" borderId="1" xfId="23" applyAlignment="1">
      <alignment vertical="center"/>
    </xf>
    <xf numFmtId="0" fontId="25" fillId="3" borderId="3" xfId="23" applyFont="1" applyFill="1" applyBorder="1" applyAlignment="1">
      <alignment horizontal="left"/>
    </xf>
    <xf numFmtId="0" fontId="25" fillId="3" borderId="18" xfId="23" applyFont="1" applyFill="1" applyBorder="1" applyAlignment="1">
      <alignment horizontal="left"/>
    </xf>
    <xf numFmtId="0" fontId="24" fillId="3" borderId="5" xfId="23" applyFont="1" applyFill="1" applyBorder="1" applyAlignment="1">
      <alignment horizontal="left"/>
    </xf>
    <xf numFmtId="0" fontId="24" fillId="3" borderId="19" xfId="23" applyFont="1" applyFill="1" applyBorder="1" applyAlignment="1">
      <alignment horizontal="center"/>
    </xf>
    <xf numFmtId="0" fontId="9" fillId="0" borderId="1" xfId="0" applyFont="1" applyBorder="1" applyAlignment="1">
      <alignment vertical="center"/>
    </xf>
    <xf numFmtId="0" fontId="25" fillId="3" borderId="31" xfId="0" applyFont="1" applyFill="1" applyBorder="1" applyAlignment="1">
      <alignment horizontal="left"/>
    </xf>
    <xf numFmtId="0" fontId="35" fillId="0" borderId="0" xfId="0" applyFont="1"/>
    <xf numFmtId="0" fontId="8" fillId="0" borderId="0" xfId="0" applyFont="1"/>
    <xf numFmtId="0" fontId="11" fillId="7" borderId="2" xfId="23" applyFont="1" applyFill="1" applyBorder="1" applyAlignment="1">
      <alignment horizontal="left" vertical="center" wrapText="1"/>
    </xf>
    <xf numFmtId="0" fontId="20" fillId="0" borderId="1" xfId="0" applyFont="1" applyBorder="1" applyAlignment="1">
      <alignment vertical="center"/>
    </xf>
    <xf numFmtId="0" fontId="21" fillId="0" borderId="0" xfId="0" applyFont="1"/>
    <xf numFmtId="0" fontId="37" fillId="0" borderId="2" xfId="0" applyFont="1" applyBorder="1" applyAlignment="1">
      <alignment vertical="center"/>
    </xf>
    <xf numFmtId="3" fontId="21" fillId="7" borderId="3" xfId="5" applyNumberFormat="1" applyFont="1" applyFill="1" applyBorder="1" applyAlignment="1" applyProtection="1">
      <alignment horizontal="center" vertical="center"/>
    </xf>
    <xf numFmtId="0" fontId="11" fillId="7" borderId="2" xfId="23" applyFont="1" applyFill="1" applyBorder="1" applyAlignment="1">
      <alignment vertical="center" wrapText="1"/>
    </xf>
    <xf numFmtId="0" fontId="11" fillId="7" borderId="2" xfId="9" applyFont="1" applyFill="1" applyBorder="1" applyAlignment="1">
      <alignment horizontal="left" vertical="center" wrapText="1"/>
    </xf>
    <xf numFmtId="0" fontId="11" fillId="7" borderId="2" xfId="9" applyFont="1" applyFill="1" applyBorder="1" applyAlignment="1">
      <alignment horizontal="left" vertical="center"/>
    </xf>
    <xf numFmtId="0" fontId="33" fillId="7" borderId="2" xfId="9" applyFont="1" applyFill="1" applyBorder="1" applyAlignment="1">
      <alignment horizontal="left" vertical="center" wrapText="1"/>
    </xf>
    <xf numFmtId="3" fontId="21" fillId="7" borderId="3" xfId="0" applyNumberFormat="1" applyFont="1" applyFill="1" applyBorder="1" applyAlignment="1" applyProtection="1">
      <alignment horizontal="center" vertical="center"/>
    </xf>
    <xf numFmtId="3" fontId="21" fillId="7" borderId="3" xfId="6" applyNumberFormat="1" applyFont="1" applyFill="1" applyBorder="1" applyAlignment="1" applyProtection="1">
      <alignment horizontal="center" vertical="center"/>
    </xf>
    <xf numFmtId="0" fontId="25" fillId="3" borderId="3" xfId="0" applyFont="1" applyFill="1" applyBorder="1" applyAlignment="1" applyProtection="1">
      <alignment horizontal="left"/>
    </xf>
    <xf numFmtId="0" fontId="25" fillId="3" borderId="18" xfId="0" applyFont="1" applyFill="1" applyBorder="1" applyAlignment="1" applyProtection="1">
      <alignment horizontal="left"/>
    </xf>
    <xf numFmtId="0" fontId="24" fillId="3" borderId="5" xfId="0" applyFont="1" applyFill="1" applyBorder="1" applyAlignment="1" applyProtection="1">
      <alignment horizontal="left"/>
    </xf>
    <xf numFmtId="0" fontId="24" fillId="3" borderId="19" xfId="0" applyFont="1" applyFill="1" applyBorder="1" applyAlignment="1" applyProtection="1">
      <alignment horizontal="center"/>
    </xf>
    <xf numFmtId="0" fontId="20" fillId="0" borderId="2" xfId="0" applyFont="1" applyBorder="1" applyAlignment="1" applyProtection="1">
      <alignment horizontal="justify" vertical="center" wrapText="1"/>
    </xf>
    <xf numFmtId="9" fontId="20" fillId="0" borderId="2" xfId="6" applyFont="1" applyBorder="1" applyAlignment="1" applyProtection="1">
      <alignment horizontal="center" vertical="center" wrapText="1"/>
    </xf>
    <xf numFmtId="9" fontId="20" fillId="0" borderId="3" xfId="0" applyNumberFormat="1" applyFont="1" applyBorder="1" applyAlignment="1" applyProtection="1">
      <alignment horizontal="center" vertical="center" wrapText="1"/>
    </xf>
    <xf numFmtId="0" fontId="23" fillId="0" borderId="6" xfId="20" applyFont="1" applyBorder="1" applyAlignment="1" applyProtection="1">
      <alignment horizontal="left" vertical="center" wrapText="1"/>
    </xf>
    <xf numFmtId="3" fontId="39" fillId="11" borderId="3" xfId="0" applyNumberFormat="1" applyFont="1" applyFill="1" applyBorder="1" applyAlignment="1" applyProtection="1">
      <alignment horizontal="center" vertical="center"/>
    </xf>
    <xf numFmtId="9" fontId="39" fillId="11" borderId="3" xfId="6" applyFont="1" applyFill="1" applyBorder="1" applyAlignment="1" applyProtection="1">
      <alignment horizontal="center" vertical="center"/>
    </xf>
    <xf numFmtId="0" fontId="25" fillId="3" borderId="32" xfId="0" applyFont="1" applyFill="1" applyBorder="1"/>
    <xf numFmtId="0" fontId="24" fillId="3" borderId="17" xfId="0" applyFont="1" applyFill="1" applyBorder="1"/>
    <xf numFmtId="0" fontId="20" fillId="0" borderId="1" xfId="1" applyFont="1" applyAlignment="1">
      <alignment horizontal="left" vertical="center"/>
    </xf>
    <xf numFmtId="0" fontId="20" fillId="0" borderId="3" xfId="0" applyFont="1" applyBorder="1" applyAlignment="1">
      <alignment horizontal="center" vertical="center" wrapText="1"/>
    </xf>
    <xf numFmtId="3" fontId="21" fillId="7" borderId="3" xfId="7" applyNumberFormat="1" applyFont="1" applyFill="1" applyBorder="1" applyAlignment="1" applyProtection="1">
      <alignment horizontal="center" vertical="center"/>
    </xf>
    <xf numFmtId="9" fontId="21" fillId="5" borderId="3" xfId="8" applyFont="1" applyFill="1" applyBorder="1" applyAlignment="1" applyProtection="1">
      <alignment horizontal="center" vertical="center"/>
    </xf>
    <xf numFmtId="0" fontId="15" fillId="0" borderId="1" xfId="1" applyFont="1" applyAlignment="1">
      <alignment vertical="center"/>
    </xf>
    <xf numFmtId="0" fontId="15" fillId="0" borderId="1" xfId="1" applyFont="1" applyAlignment="1">
      <alignment horizontal="center" vertical="center"/>
    </xf>
    <xf numFmtId="0" fontId="11" fillId="7" borderId="2" xfId="1" applyFont="1" applyFill="1" applyBorder="1" applyAlignment="1">
      <alignment vertical="center" wrapText="1"/>
    </xf>
    <xf numFmtId="165" fontId="11" fillId="0" borderId="2" xfId="1" applyNumberFormat="1" applyFont="1" applyBorder="1" applyAlignment="1">
      <alignment horizontal="center" vertical="center" wrapText="1"/>
    </xf>
    <xf numFmtId="14" fontId="20" fillId="0" borderId="1" xfId="1" applyNumberFormat="1" applyFont="1" applyAlignment="1" applyProtection="1">
      <alignment vertical="center"/>
      <protection locked="0"/>
    </xf>
    <xf numFmtId="0" fontId="11" fillId="0" borderId="1" xfId="1" applyFont="1" applyAlignment="1">
      <alignment horizontal="center" vertical="center"/>
    </xf>
    <xf numFmtId="0" fontId="9" fillId="0" borderId="1" xfId="1" applyFont="1" applyAlignment="1">
      <alignment horizontal="left" vertical="center"/>
    </xf>
    <xf numFmtId="0" fontId="15" fillId="0" borderId="1" xfId="1" applyFont="1" applyAlignment="1">
      <alignment vertical="center" wrapText="1"/>
    </xf>
    <xf numFmtId="0" fontId="20" fillId="0" borderId="2" xfId="0" applyFont="1" applyBorder="1" applyAlignment="1">
      <alignment horizontal="justify" vertical="center" wrapText="1"/>
    </xf>
    <xf numFmtId="9" fontId="20" fillId="0" borderId="2" xfId="8" applyFont="1" applyBorder="1" applyAlignment="1" applyProtection="1">
      <alignment horizontal="center" vertical="center" wrapText="1"/>
    </xf>
    <xf numFmtId="3" fontId="44" fillId="7" borderId="3" xfId="7" applyNumberFormat="1" applyFont="1" applyFill="1" applyBorder="1" applyAlignment="1" applyProtection="1">
      <alignment horizontal="center" vertical="center"/>
    </xf>
    <xf numFmtId="0" fontId="26" fillId="0" borderId="2" xfId="1" applyFont="1" applyBorder="1" applyAlignment="1">
      <alignment horizontal="center" vertical="top" wrapText="1"/>
    </xf>
    <xf numFmtId="0" fontId="27" fillId="0" borderId="2" xfId="1" applyFont="1" applyBorder="1" applyAlignment="1">
      <alignment horizontal="center" vertical="top" wrapText="1"/>
    </xf>
    <xf numFmtId="0" fontId="26" fillId="7" borderId="2" xfId="1" applyFont="1" applyFill="1" applyBorder="1" applyAlignment="1">
      <alignment horizontal="center" vertical="top" wrapText="1"/>
    </xf>
    <xf numFmtId="0" fontId="27" fillId="7" borderId="2" xfId="1" applyFont="1" applyFill="1" applyBorder="1" applyAlignment="1">
      <alignment horizontal="center" vertical="top" wrapText="1"/>
    </xf>
    <xf numFmtId="3" fontId="39" fillId="11" borderId="31" xfId="0" applyNumberFormat="1" applyFont="1" applyFill="1" applyBorder="1" applyAlignment="1" applyProtection="1">
      <alignment horizontal="center" vertical="center"/>
    </xf>
    <xf numFmtId="9" fontId="20" fillId="0" borderId="3" xfId="8" applyFont="1" applyBorder="1" applyAlignment="1" applyProtection="1">
      <alignment horizontal="center" vertical="center" wrapText="1"/>
    </xf>
    <xf numFmtId="9" fontId="39" fillId="11" borderId="31" xfId="6" applyFont="1" applyFill="1" applyBorder="1" applyAlignment="1" applyProtection="1">
      <alignment horizontal="center" vertical="center"/>
    </xf>
    <xf numFmtId="0" fontId="20" fillId="0" borderId="2" xfId="34" applyFont="1" applyBorder="1" applyAlignment="1" applyProtection="1">
      <alignment horizontal="left" vertical="center" wrapText="1"/>
      <protection locked="0"/>
    </xf>
    <xf numFmtId="0" fontId="23" fillId="0" borderId="6" xfId="34" applyFont="1" applyBorder="1" applyAlignment="1">
      <alignment horizontal="left" vertical="center"/>
    </xf>
    <xf numFmtId="9" fontId="39" fillId="11" borderId="2" xfId="6" applyFont="1" applyFill="1" applyBorder="1" applyAlignment="1" applyProtection="1">
      <alignment horizontal="center" vertical="center"/>
    </xf>
    <xf numFmtId="1" fontId="39" fillId="11" borderId="3" xfId="6" applyNumberFormat="1" applyFont="1" applyFill="1" applyBorder="1" applyAlignment="1" applyProtection="1">
      <alignment horizontal="center" vertical="center"/>
    </xf>
    <xf numFmtId="9" fontId="21" fillId="7" borderId="3" xfId="6" applyFont="1" applyFill="1" applyBorder="1" applyAlignment="1" applyProtection="1">
      <alignment horizontal="center" vertical="center"/>
    </xf>
    <xf numFmtId="9" fontId="39" fillId="7" borderId="3" xfId="6" applyFont="1" applyFill="1" applyBorder="1" applyAlignment="1" applyProtection="1">
      <alignment horizontal="center" vertical="center"/>
    </xf>
    <xf numFmtId="3" fontId="39" fillId="7" borderId="3" xfId="7" applyNumberFormat="1" applyFont="1" applyFill="1" applyBorder="1" applyAlignment="1" applyProtection="1">
      <alignment horizontal="center" vertical="center"/>
    </xf>
    <xf numFmtId="0" fontId="20" fillId="0" borderId="2"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9" fontId="22" fillId="4" borderId="9" xfId="3" applyFont="1" applyFill="1" applyBorder="1" applyAlignment="1" applyProtection="1">
      <alignment horizontal="center" vertical="center"/>
    </xf>
    <xf numFmtId="0" fontId="20" fillId="0" borderId="6" xfId="34" applyFont="1" applyBorder="1" applyAlignment="1" applyProtection="1">
      <alignment horizontal="left" vertical="center" wrapText="1"/>
      <protection locked="0"/>
    </xf>
    <xf numFmtId="0" fontId="20" fillId="2" borderId="2" xfId="1" applyFont="1" applyFill="1" applyBorder="1" applyAlignment="1" applyProtection="1">
      <alignment horizontal="center" vertical="center" wrapText="1"/>
      <protection locked="0"/>
    </xf>
    <xf numFmtId="0" fontId="26" fillId="0" borderId="2" xfId="1" applyFont="1" applyFill="1" applyBorder="1" applyAlignment="1" applyProtection="1">
      <alignment horizontal="center" vertical="top" wrapText="1"/>
    </xf>
    <xf numFmtId="0" fontId="27" fillId="0" borderId="2" xfId="1" applyFont="1" applyFill="1" applyBorder="1" applyAlignment="1" applyProtection="1">
      <alignment horizontal="center" vertical="top" wrapText="1"/>
    </xf>
    <xf numFmtId="0" fontId="26" fillId="7" borderId="2" xfId="1" applyFont="1" applyFill="1" applyBorder="1" applyAlignment="1" applyProtection="1">
      <alignment horizontal="center" vertical="top" wrapText="1"/>
    </xf>
    <xf numFmtId="0" fontId="27" fillId="7" borderId="2" xfId="1" applyFont="1" applyFill="1" applyBorder="1" applyAlignment="1" applyProtection="1">
      <alignment horizontal="center" vertical="top" wrapText="1"/>
    </xf>
    <xf numFmtId="0" fontId="11" fillId="7" borderId="2" xfId="1" applyFont="1" applyFill="1" applyBorder="1" applyAlignment="1" applyProtection="1">
      <alignment vertical="center" wrapText="1"/>
    </xf>
    <xf numFmtId="0" fontId="12" fillId="9" borderId="2" xfId="1" applyFont="1" applyFill="1" applyBorder="1" applyAlignment="1" applyProtection="1">
      <alignment horizontal="center" vertical="center" wrapText="1"/>
    </xf>
    <xf numFmtId="0" fontId="23" fillId="0" borderId="6" xfId="34" applyFont="1" applyBorder="1" applyAlignment="1" applyProtection="1">
      <alignment horizontal="left" vertical="center"/>
    </xf>
    <xf numFmtId="165" fontId="11" fillId="0" borderId="2" xfId="1" applyNumberFormat="1" applyFont="1" applyFill="1" applyBorder="1" applyAlignment="1" applyProtection="1">
      <alignment horizontal="center" vertical="center" wrapText="1"/>
    </xf>
    <xf numFmtId="3" fontId="21" fillId="7" borderId="3" xfId="8" applyNumberFormat="1" applyFont="1" applyFill="1" applyBorder="1" applyAlignment="1" applyProtection="1">
      <alignment horizontal="center" vertical="center"/>
    </xf>
    <xf numFmtId="0" fontId="23" fillId="0" borderId="6" xfId="34" applyFont="1" applyBorder="1" applyAlignment="1" applyProtection="1">
      <alignment horizontal="left" vertical="center" wrapText="1"/>
    </xf>
    <xf numFmtId="9" fontId="21" fillId="7" borderId="3" xfId="8" applyFont="1" applyFill="1" applyBorder="1" applyAlignment="1" applyProtection="1">
      <alignment horizontal="center" vertical="center" wrapText="1"/>
    </xf>
    <xf numFmtId="0" fontId="12" fillId="0" borderId="2" xfId="1" applyFont="1" applyFill="1" applyBorder="1" applyAlignment="1" applyProtection="1">
      <alignment horizontal="center" vertical="center" wrapText="1"/>
    </xf>
    <xf numFmtId="1" fontId="39" fillId="18" borderId="3" xfId="6" applyNumberFormat="1" applyFont="1" applyFill="1" applyBorder="1" applyAlignment="1" applyProtection="1">
      <alignment horizontal="center" vertical="center"/>
    </xf>
    <xf numFmtId="9" fontId="39" fillId="18" borderId="3" xfId="6" applyFont="1" applyFill="1" applyBorder="1" applyAlignment="1" applyProtection="1">
      <alignment horizontal="center" vertical="center"/>
    </xf>
    <xf numFmtId="9" fontId="11" fillId="4" borderId="9" xfId="3" applyFont="1" applyFill="1" applyBorder="1" applyAlignment="1" applyProtection="1">
      <alignment horizontal="center" vertical="center"/>
    </xf>
    <xf numFmtId="1" fontId="20" fillId="0" borderId="2" xfId="8" applyNumberFormat="1" applyFont="1" applyBorder="1" applyAlignment="1" applyProtection="1">
      <alignment horizontal="center" vertical="center" wrapText="1"/>
    </xf>
    <xf numFmtId="9" fontId="39" fillId="7" borderId="3" xfId="8" applyFont="1" applyFill="1" applyBorder="1" applyAlignment="1" applyProtection="1">
      <alignment horizontal="center" vertical="center"/>
    </xf>
    <xf numFmtId="1" fontId="39" fillId="7" borderId="3" xfId="38" applyNumberFormat="1" applyFont="1" applyFill="1" applyBorder="1" applyAlignment="1" applyProtection="1">
      <alignment horizontal="center" vertical="center"/>
    </xf>
    <xf numFmtId="3" fontId="39" fillId="7" borderId="3" xfId="36" applyNumberFormat="1" applyFont="1" applyFill="1" applyBorder="1" applyAlignment="1" applyProtection="1">
      <alignment horizontal="center" vertical="center"/>
    </xf>
    <xf numFmtId="9" fontId="39" fillId="0" borderId="3" xfId="36" applyNumberFormat="1" applyFont="1" applyBorder="1" applyAlignment="1" applyProtection="1">
      <alignment horizontal="center" vertical="center" wrapText="1"/>
      <protection locked="0"/>
    </xf>
    <xf numFmtId="4" fontId="39" fillId="7" borderId="3" xfId="36" applyNumberFormat="1" applyFont="1" applyFill="1" applyBorder="1" applyAlignment="1" applyProtection="1">
      <alignment horizontal="center" vertical="center"/>
    </xf>
    <xf numFmtId="0" fontId="0" fillId="0" borderId="0" xfId="0" applyProtection="1"/>
    <xf numFmtId="0" fontId="35" fillId="0" borderId="2" xfId="0" applyFont="1" applyBorder="1" applyAlignment="1" applyProtection="1">
      <alignment vertical="center"/>
    </xf>
    <xf numFmtId="0" fontId="35" fillId="0" borderId="41" xfId="0" applyFont="1" applyBorder="1" applyAlignment="1" applyProtection="1">
      <alignment horizontal="left" vertical="center" wrapText="1"/>
    </xf>
    <xf numFmtId="0" fontId="0" fillId="0" borderId="34" xfId="0" applyBorder="1" applyProtection="1"/>
    <xf numFmtId="0" fontId="0" fillId="0" borderId="1" xfId="0" applyBorder="1" applyProtection="1"/>
    <xf numFmtId="0" fontId="0" fillId="0" borderId="36" xfId="0" applyBorder="1" applyProtection="1"/>
    <xf numFmtId="0" fontId="49" fillId="0" borderId="34" xfId="0" applyFont="1" applyBorder="1" applyAlignment="1" applyProtection="1">
      <alignment vertical="center"/>
    </xf>
    <xf numFmtId="0" fontId="49" fillId="0" borderId="1" xfId="0" applyFont="1" applyBorder="1" applyAlignment="1" applyProtection="1">
      <alignment vertical="center"/>
    </xf>
    <xf numFmtId="0" fontId="49" fillId="0" borderId="36" xfId="0" applyFont="1" applyBorder="1" applyAlignment="1" applyProtection="1">
      <alignment vertical="center"/>
    </xf>
    <xf numFmtId="0" fontId="50" fillId="0" borderId="34" xfId="0" applyFont="1" applyBorder="1" applyAlignment="1" applyProtection="1">
      <alignment vertical="center"/>
    </xf>
    <xf numFmtId="0" fontId="33" fillId="0" borderId="36" xfId="0" applyFont="1" applyFill="1" applyBorder="1" applyAlignment="1" applyProtection="1">
      <alignment vertical="center" wrapText="1"/>
    </xf>
    <xf numFmtId="0" fontId="50" fillId="0" borderId="36" xfId="0" applyFont="1" applyBorder="1" applyAlignment="1" applyProtection="1">
      <alignment vertical="center"/>
    </xf>
    <xf numFmtId="0" fontId="47" fillId="0" borderId="34" xfId="0" applyFont="1" applyBorder="1" applyAlignment="1" applyProtection="1"/>
    <xf numFmtId="14" fontId="20" fillId="0" borderId="2" xfId="0" applyNumberFormat="1" applyFont="1" applyBorder="1" applyAlignment="1" applyProtection="1">
      <alignment horizontal="center" vertical="center" wrapText="1"/>
    </xf>
    <xf numFmtId="0" fontId="0" fillId="0" borderId="34" xfId="0" applyBorder="1" applyAlignment="1" applyProtection="1">
      <alignment horizontal="left" vertical="center"/>
    </xf>
    <xf numFmtId="0" fontId="47" fillId="0" borderId="1" xfId="0" applyFont="1" applyBorder="1" applyAlignment="1" applyProtection="1">
      <alignment vertical="center"/>
    </xf>
    <xf numFmtId="0" fontId="0" fillId="0" borderId="1" xfId="0" applyBorder="1" applyAlignment="1" applyProtection="1">
      <alignment vertical="center"/>
    </xf>
    <xf numFmtId="0" fontId="47" fillId="0" borderId="36" xfId="0" applyFont="1" applyBorder="1" applyAlignment="1" applyProtection="1">
      <alignment vertical="center"/>
    </xf>
    <xf numFmtId="0" fontId="0" fillId="0" borderId="1" xfId="0" applyBorder="1" applyAlignment="1" applyProtection="1">
      <alignment horizontal="center"/>
    </xf>
    <xf numFmtId="0" fontId="0" fillId="0" borderId="36" xfId="0" applyBorder="1" applyAlignment="1" applyProtection="1">
      <alignment horizontal="center"/>
    </xf>
    <xf numFmtId="0" fontId="47" fillId="0" borderId="34" xfId="0" applyFont="1" applyBorder="1" applyAlignment="1" applyProtection="1">
      <alignment vertical="center"/>
    </xf>
    <xf numFmtId="0" fontId="0" fillId="0" borderId="1" xfId="0" applyBorder="1" applyAlignment="1" applyProtection="1"/>
    <xf numFmtId="0" fontId="0" fillId="0" borderId="34" xfId="0" applyBorder="1" applyAlignment="1" applyProtection="1">
      <alignment vertical="center"/>
    </xf>
    <xf numFmtId="0" fontId="0" fillId="0" borderId="36" xfId="0" applyBorder="1" applyAlignment="1" applyProtection="1">
      <alignment vertical="center"/>
    </xf>
    <xf numFmtId="0" fontId="0" fillId="0" borderId="36" xfId="0" applyBorder="1" applyAlignment="1" applyProtection="1"/>
    <xf numFmtId="0" fontId="0" fillId="0" borderId="34" xfId="0" applyBorder="1" applyAlignment="1" applyProtection="1">
      <alignment wrapText="1"/>
    </xf>
    <xf numFmtId="0" fontId="0" fillId="0" borderId="1" xfId="0" applyBorder="1" applyAlignment="1" applyProtection="1">
      <alignment wrapText="1"/>
    </xf>
    <xf numFmtId="0" fontId="0" fillId="0" borderId="34" xfId="0" applyBorder="1" applyAlignment="1" applyProtection="1"/>
    <xf numFmtId="0" fontId="52" fillId="9" borderId="2" xfId="0" applyFont="1" applyFill="1" applyBorder="1" applyAlignment="1" applyProtection="1">
      <alignment vertical="center"/>
    </xf>
    <xf numFmtId="0" fontId="24" fillId="0" borderId="2" xfId="0" applyFont="1" applyBorder="1" applyAlignment="1" applyProtection="1">
      <alignment horizontal="center" vertical="center" wrapText="1"/>
    </xf>
    <xf numFmtId="0" fontId="0" fillId="0" borderId="35" xfId="0" applyBorder="1" applyAlignment="1" applyProtection="1"/>
    <xf numFmtId="0" fontId="0" fillId="0" borderId="27" xfId="0" applyBorder="1" applyAlignment="1" applyProtection="1"/>
    <xf numFmtId="0" fontId="0" fillId="0" borderId="23" xfId="0" applyBorder="1" applyAlignment="1" applyProtection="1"/>
    <xf numFmtId="0" fontId="47" fillId="0" borderId="1" xfId="0" applyFont="1" applyBorder="1" applyAlignment="1" applyProtection="1"/>
    <xf numFmtId="0" fontId="47" fillId="0" borderId="1" xfId="0" applyFont="1" applyBorder="1" applyProtection="1"/>
    <xf numFmtId="0" fontId="47" fillId="0" borderId="1" xfId="0" applyFont="1" applyBorder="1" applyAlignment="1" applyProtection="1">
      <alignment horizontal="center"/>
    </xf>
    <xf numFmtId="0" fontId="51" fillId="0" borderId="1" xfId="0" applyFont="1" applyBorder="1" applyAlignment="1" applyProtection="1"/>
    <xf numFmtId="0" fontId="52" fillId="0" borderId="1" xfId="0" applyFont="1" applyFill="1" applyBorder="1" applyAlignment="1" applyProtection="1">
      <alignment vertical="center"/>
    </xf>
    <xf numFmtId="0" fontId="24" fillId="0" borderId="1" xfId="0" applyFont="1" applyFill="1" applyBorder="1" applyAlignment="1" applyProtection="1">
      <alignment horizontal="center" vertical="center" wrapText="1"/>
    </xf>
    <xf numFmtId="0" fontId="15" fillId="0" borderId="0" xfId="0" applyFont="1" applyAlignment="1" applyProtection="1">
      <alignment vertical="center"/>
    </xf>
    <xf numFmtId="0" fontId="15" fillId="0" borderId="0" xfId="0" applyFont="1" applyAlignment="1" applyProtection="1">
      <alignment horizontal="center" vertical="center"/>
    </xf>
    <xf numFmtId="0" fontId="9" fillId="0" borderId="0" xfId="0" applyFont="1" applyAlignment="1" applyProtection="1">
      <alignment vertical="center"/>
    </xf>
    <xf numFmtId="0" fontId="15" fillId="0" borderId="1" xfId="0" applyFont="1" applyBorder="1" applyAlignment="1" applyProtection="1">
      <alignment vertical="center"/>
    </xf>
    <xf numFmtId="0" fontId="15" fillId="0" borderId="1" xfId="0" applyFont="1" applyBorder="1" applyAlignment="1" applyProtection="1">
      <alignment horizontal="center" vertical="center"/>
    </xf>
    <xf numFmtId="0" fontId="9" fillId="0" borderId="1" xfId="0" applyFont="1" applyBorder="1" applyAlignment="1" applyProtection="1">
      <alignment vertical="center"/>
    </xf>
    <xf numFmtId="3" fontId="20" fillId="0" borderId="2" xfId="0" applyNumberFormat="1" applyFont="1" applyBorder="1" applyAlignment="1" applyProtection="1">
      <alignment horizontal="center" vertical="center" wrapText="1"/>
    </xf>
    <xf numFmtId="0" fontId="20" fillId="0" borderId="3" xfId="0" applyFont="1" applyBorder="1" applyAlignment="1" applyProtection="1">
      <alignment horizontal="center" vertical="center" wrapText="1"/>
    </xf>
    <xf numFmtId="0" fontId="20" fillId="0" borderId="3" xfId="0" applyNumberFormat="1" applyFont="1" applyBorder="1" applyAlignment="1" applyProtection="1">
      <alignment horizontal="justify" vertical="center" wrapText="1"/>
    </xf>
    <xf numFmtId="0" fontId="20" fillId="0" borderId="31" xfId="0" applyFont="1" applyBorder="1" applyAlignment="1" applyProtection="1">
      <alignment horizontal="justify" vertical="center" wrapText="1"/>
    </xf>
    <xf numFmtId="0" fontId="20" fillId="0" borderId="6" xfId="20" applyFont="1" applyBorder="1" applyAlignment="1" applyProtection="1">
      <alignment horizontal="justify" vertical="center" wrapText="1"/>
    </xf>
    <xf numFmtId="3" fontId="39" fillId="0" borderId="3" xfId="5" applyNumberFormat="1" applyFont="1" applyBorder="1" applyAlignment="1" applyProtection="1">
      <alignment horizontal="center" vertical="center" wrapText="1"/>
    </xf>
    <xf numFmtId="9" fontId="39" fillId="0" borderId="3" xfId="6" applyFont="1" applyBorder="1" applyAlignment="1" applyProtection="1">
      <alignment horizontal="center" vertical="center" wrapText="1"/>
    </xf>
    <xf numFmtId="0" fontId="20" fillId="0" borderId="31" xfId="20" applyFont="1" applyBorder="1" applyAlignment="1" applyProtection="1">
      <alignment horizontal="justify" vertical="center" wrapText="1"/>
    </xf>
    <xf numFmtId="9" fontId="20" fillId="0" borderId="2" xfId="8" applyFont="1" applyFill="1" applyBorder="1" applyAlignment="1" applyProtection="1">
      <alignment horizontal="center" vertical="center" wrapText="1"/>
    </xf>
    <xf numFmtId="0" fontId="20" fillId="0" borderId="2" xfId="20" applyFont="1" applyBorder="1" applyAlignment="1" applyProtection="1">
      <alignment horizontal="justify" vertical="center" wrapText="1"/>
    </xf>
    <xf numFmtId="0" fontId="20" fillId="0" borderId="12" xfId="0" applyFont="1" applyBorder="1" applyAlignment="1" applyProtection="1">
      <alignment horizontal="justify" vertical="center" wrapText="1"/>
    </xf>
    <xf numFmtId="0" fontId="20" fillId="0" borderId="10" xfId="20" applyFont="1" applyBorder="1" applyAlignment="1" applyProtection="1">
      <alignment horizontal="justify" vertical="center" wrapText="1"/>
    </xf>
    <xf numFmtId="0" fontId="20" fillId="18" borderId="2" xfId="0" applyFont="1" applyFill="1" applyBorder="1" applyAlignment="1" applyProtection="1">
      <alignment horizontal="justify" vertical="center" wrapText="1"/>
    </xf>
    <xf numFmtId="9" fontId="20" fillId="18" borderId="2" xfId="8" applyFont="1" applyFill="1" applyBorder="1" applyAlignment="1" applyProtection="1">
      <alignment horizontal="center" vertical="center" wrapText="1"/>
    </xf>
    <xf numFmtId="3" fontId="20" fillId="18" borderId="2" xfId="0" applyNumberFormat="1" applyFont="1" applyFill="1" applyBorder="1" applyAlignment="1" applyProtection="1">
      <alignment horizontal="center" vertical="center" wrapText="1"/>
    </xf>
    <xf numFmtId="0" fontId="20" fillId="18" borderId="3" xfId="0" applyFont="1" applyFill="1" applyBorder="1" applyAlignment="1" applyProtection="1">
      <alignment horizontal="center" vertical="center" wrapText="1"/>
    </xf>
    <xf numFmtId="0" fontId="20" fillId="18" borderId="3" xfId="0" applyFont="1" applyFill="1" applyBorder="1" applyAlignment="1" applyProtection="1">
      <alignment horizontal="justify" vertical="center" wrapText="1"/>
    </xf>
    <xf numFmtId="0" fontId="20" fillId="18" borderId="31" xfId="0" applyFont="1" applyFill="1" applyBorder="1" applyAlignment="1" applyProtection="1">
      <alignment horizontal="justify" vertical="center" wrapText="1"/>
    </xf>
    <xf numFmtId="0" fontId="20" fillId="18" borderId="6" xfId="20" applyFont="1" applyFill="1" applyBorder="1" applyAlignment="1" applyProtection="1">
      <alignment horizontal="justify" vertical="center" wrapText="1"/>
    </xf>
    <xf numFmtId="3" fontId="39" fillId="18" borderId="3" xfId="5" applyNumberFormat="1" applyFont="1" applyFill="1" applyBorder="1" applyAlignment="1" applyProtection="1">
      <alignment horizontal="center" vertical="center" wrapText="1"/>
    </xf>
    <xf numFmtId="0" fontId="20" fillId="0" borderId="11" xfId="20" applyFont="1" applyBorder="1" applyAlignment="1" applyProtection="1">
      <alignment horizontal="justify" vertical="center" wrapText="1"/>
    </xf>
    <xf numFmtId="9" fontId="20" fillId="0" borderId="2" xfId="0" applyNumberFormat="1" applyFont="1" applyBorder="1" applyAlignment="1" applyProtection="1">
      <alignment horizontal="center" vertical="center" wrapText="1"/>
    </xf>
    <xf numFmtId="9" fontId="41" fillId="0" borderId="2" xfId="0" applyNumberFormat="1" applyFont="1" applyBorder="1" applyAlignment="1" applyProtection="1">
      <alignment horizontal="center" vertical="center" wrapText="1" readingOrder="1"/>
    </xf>
    <xf numFmtId="0" fontId="42" fillId="0" borderId="2" xfId="0" applyFont="1" applyBorder="1" applyAlignment="1" applyProtection="1">
      <alignment horizontal="center" vertical="center" wrapText="1" readingOrder="1"/>
    </xf>
    <xf numFmtId="0" fontId="39" fillId="0" borderId="2" xfId="0" applyFont="1" applyBorder="1" applyAlignment="1" applyProtection="1">
      <alignment horizontal="justify" vertical="top" wrapText="1" readingOrder="1"/>
    </xf>
    <xf numFmtId="9" fontId="20" fillId="18" borderId="2" xfId="6" applyFont="1" applyFill="1" applyBorder="1" applyAlignment="1" applyProtection="1">
      <alignment horizontal="center" vertical="center" wrapText="1"/>
    </xf>
    <xf numFmtId="9" fontId="20" fillId="18" borderId="2" xfId="0" applyNumberFormat="1" applyFont="1" applyFill="1" applyBorder="1" applyAlignment="1" applyProtection="1">
      <alignment horizontal="center" vertical="center" wrapText="1"/>
    </xf>
    <xf numFmtId="0" fontId="20" fillId="18" borderId="2" xfId="0" applyNumberFormat="1" applyFont="1" applyFill="1" applyBorder="1" applyAlignment="1" applyProtection="1">
      <alignment horizontal="justify" vertical="center" wrapText="1"/>
    </xf>
    <xf numFmtId="0" fontId="20" fillId="18" borderId="2" xfId="20" applyFont="1" applyFill="1" applyBorder="1" applyAlignment="1" applyProtection="1">
      <alignment horizontal="justify" vertical="center" wrapText="1"/>
    </xf>
    <xf numFmtId="9" fontId="39" fillId="18" borderId="2" xfId="5" applyNumberFormat="1" applyFont="1" applyFill="1" applyBorder="1" applyAlignment="1" applyProtection="1">
      <alignment horizontal="center" vertical="center" wrapText="1"/>
    </xf>
    <xf numFmtId="9" fontId="20" fillId="0" borderId="2" xfId="6" applyFont="1" applyBorder="1" applyAlignment="1" applyProtection="1">
      <alignment horizontal="justify" vertical="center" wrapText="1"/>
    </xf>
    <xf numFmtId="9" fontId="39" fillId="0" borderId="3" xfId="5" applyNumberFormat="1" applyFont="1" applyBorder="1" applyAlignment="1" applyProtection="1">
      <alignment horizontal="center" vertical="center" wrapText="1"/>
    </xf>
    <xf numFmtId="0" fontId="20" fillId="0" borderId="3" xfId="0" applyNumberFormat="1" applyFont="1" applyBorder="1" applyAlignment="1" applyProtection="1">
      <alignment horizontal="center" vertical="center" wrapText="1"/>
    </xf>
    <xf numFmtId="1" fontId="20" fillId="0" borderId="2" xfId="0" applyNumberFormat="1" applyFont="1" applyBorder="1" applyAlignment="1" applyProtection="1">
      <alignment horizontal="center" vertical="center" wrapText="1"/>
    </xf>
    <xf numFmtId="1" fontId="39" fillId="0" borderId="3" xfId="5" applyNumberFormat="1" applyFont="1" applyBorder="1" applyAlignment="1" applyProtection="1">
      <alignment horizontal="center" vertical="center" wrapText="1"/>
    </xf>
    <xf numFmtId="9" fontId="20" fillId="0" borderId="3" xfId="6" applyFont="1" applyBorder="1" applyAlignment="1" applyProtection="1">
      <alignment horizontal="center" vertical="center" wrapText="1"/>
    </xf>
    <xf numFmtId="9" fontId="20" fillId="0" borderId="3" xfId="6" applyFont="1" applyBorder="1" applyAlignment="1" applyProtection="1">
      <alignment horizontal="justify" vertical="center" wrapText="1"/>
    </xf>
    <xf numFmtId="9" fontId="20" fillId="18" borderId="3" xfId="0" applyNumberFormat="1" applyFont="1" applyFill="1" applyBorder="1" applyAlignment="1" applyProtection="1">
      <alignment horizontal="center" vertical="center" wrapText="1"/>
    </xf>
    <xf numFmtId="0" fontId="20" fillId="18" borderId="3" xfId="9" applyFont="1" applyFill="1" applyBorder="1" applyAlignment="1" applyProtection="1">
      <alignment horizontal="justify" vertical="center" wrapText="1"/>
    </xf>
    <xf numFmtId="0" fontId="20" fillId="18" borderId="31" xfId="9" applyFont="1" applyFill="1" applyBorder="1" applyAlignment="1" applyProtection="1">
      <alignment horizontal="justify" vertical="center" wrapText="1"/>
    </xf>
    <xf numFmtId="0" fontId="20" fillId="18" borderId="2" xfId="34" applyFont="1" applyFill="1" applyBorder="1" applyAlignment="1" applyProtection="1">
      <alignment horizontal="justify" vertical="center" wrapText="1"/>
    </xf>
    <xf numFmtId="9" fontId="39" fillId="18" borderId="3" xfId="5" applyNumberFormat="1" applyFont="1" applyFill="1" applyBorder="1" applyAlignment="1" applyProtection="1">
      <alignment horizontal="center" vertical="center" wrapText="1"/>
    </xf>
    <xf numFmtId="9" fontId="20" fillId="18" borderId="2" xfId="34" applyNumberFormat="1" applyFont="1" applyFill="1" applyBorder="1" applyAlignment="1" applyProtection="1">
      <alignment horizontal="center" vertical="center" wrapText="1"/>
    </xf>
    <xf numFmtId="0" fontId="20" fillId="18" borderId="2" xfId="9" applyFont="1" applyFill="1" applyBorder="1" applyAlignment="1" applyProtection="1">
      <alignment horizontal="justify" vertical="center" wrapText="1"/>
    </xf>
    <xf numFmtId="0" fontId="20" fillId="18" borderId="2" xfId="9" applyFont="1" applyFill="1" applyBorder="1" applyAlignment="1" applyProtection="1">
      <alignment horizontal="center" vertical="center" wrapText="1"/>
    </xf>
    <xf numFmtId="0" fontId="20" fillId="18" borderId="3" xfId="9" applyFont="1" applyFill="1" applyBorder="1" applyAlignment="1" applyProtection="1">
      <alignment horizontal="center" vertical="center" wrapText="1"/>
    </xf>
    <xf numFmtId="1" fontId="39" fillId="18" borderId="3" xfId="5" applyNumberFormat="1" applyFont="1" applyFill="1" applyBorder="1" applyAlignment="1" applyProtection="1">
      <alignment horizontal="center" vertical="center" wrapText="1"/>
    </xf>
    <xf numFmtId="10" fontId="20" fillId="0" borderId="3" xfId="0" applyNumberFormat="1" applyFont="1" applyBorder="1" applyAlignment="1" applyProtection="1">
      <alignment horizontal="center" vertical="center" wrapText="1"/>
    </xf>
    <xf numFmtId="0" fontId="20" fillId="0" borderId="3" xfId="0" applyFont="1" applyBorder="1" applyAlignment="1" applyProtection="1">
      <alignment horizontal="justify" vertical="center" wrapText="1"/>
    </xf>
    <xf numFmtId="0" fontId="20" fillId="0" borderId="3" xfId="32" applyFont="1" applyBorder="1" applyAlignment="1" applyProtection="1">
      <alignment horizontal="justify" vertical="center" wrapText="1"/>
    </xf>
    <xf numFmtId="1" fontId="44" fillId="0" borderId="3" xfId="36" applyNumberFormat="1" applyFont="1" applyFill="1" applyBorder="1" applyAlignment="1" applyProtection="1">
      <alignment horizontal="center" vertical="center" wrapText="1"/>
    </xf>
    <xf numFmtId="0" fontId="20" fillId="0" borderId="6" xfId="34" applyFont="1" applyBorder="1" applyAlignment="1" applyProtection="1">
      <alignment horizontal="justify" vertical="center" wrapText="1"/>
    </xf>
    <xf numFmtId="9" fontId="20" fillId="0" borderId="3" xfId="36" applyNumberFormat="1" applyFont="1" applyBorder="1" applyAlignment="1" applyProtection="1">
      <alignment horizontal="center" vertical="center" wrapText="1"/>
    </xf>
    <xf numFmtId="1" fontId="20" fillId="18" borderId="2" xfId="0" applyNumberFormat="1" applyFont="1" applyFill="1" applyBorder="1" applyAlignment="1" applyProtection="1">
      <alignment horizontal="center" vertical="center" wrapText="1"/>
    </xf>
    <xf numFmtId="167" fontId="20" fillId="18" borderId="3" xfId="36" applyNumberFormat="1" applyFont="1" applyFill="1" applyBorder="1" applyAlignment="1" applyProtection="1">
      <alignment horizontal="center" vertical="center" wrapText="1"/>
    </xf>
    <xf numFmtId="0" fontId="20" fillId="18" borderId="2" xfId="0" applyFont="1" applyFill="1" applyBorder="1" applyAlignment="1" applyProtection="1">
      <alignment horizontal="center" vertical="center" wrapText="1"/>
    </xf>
    <xf numFmtId="0" fontId="20" fillId="18" borderId="3" xfId="36" applyNumberFormat="1" applyFont="1" applyFill="1" applyBorder="1" applyAlignment="1" applyProtection="1">
      <alignment horizontal="center" vertical="center" wrapText="1"/>
    </xf>
    <xf numFmtId="0" fontId="45" fillId="18" borderId="2" xfId="0" applyFont="1" applyFill="1" applyBorder="1" applyAlignment="1" applyProtection="1">
      <alignment horizontal="justify" vertical="center" wrapText="1"/>
    </xf>
    <xf numFmtId="0" fontId="20" fillId="0" borderId="3" xfId="34" applyFont="1" applyBorder="1" applyAlignment="1" applyProtection="1">
      <alignment horizontal="justify" vertical="center" wrapText="1"/>
    </xf>
    <xf numFmtId="0" fontId="39" fillId="18" borderId="2" xfId="0" applyFont="1" applyFill="1" applyBorder="1" applyAlignment="1" applyProtection="1">
      <alignment horizontal="justify" vertical="top" wrapText="1" readingOrder="1"/>
    </xf>
    <xf numFmtId="0" fontId="20" fillId="18" borderId="6" xfId="34" applyFont="1" applyFill="1" applyBorder="1" applyAlignment="1" applyProtection="1">
      <alignment horizontal="justify" vertical="center" wrapText="1"/>
    </xf>
    <xf numFmtId="1" fontId="20" fillId="18" borderId="3" xfId="5" applyNumberFormat="1" applyFont="1" applyFill="1" applyBorder="1" applyAlignment="1" applyProtection="1">
      <alignment horizontal="center" vertical="center" wrapText="1"/>
    </xf>
    <xf numFmtId="0" fontId="20" fillId="0" borderId="3" xfId="36" applyNumberFormat="1" applyFont="1" applyBorder="1" applyAlignment="1" applyProtection="1">
      <alignment horizontal="center" vertical="center" wrapText="1"/>
    </xf>
    <xf numFmtId="0" fontId="42" fillId="0" borderId="2" xfId="0" applyFont="1" applyBorder="1" applyAlignment="1" applyProtection="1">
      <alignment horizontal="justify" vertical="top" wrapText="1"/>
    </xf>
    <xf numFmtId="0" fontId="42" fillId="3" borderId="2" xfId="0" applyFont="1" applyFill="1" applyBorder="1" applyAlignment="1" applyProtection="1">
      <alignment horizontal="justify" vertical="top" wrapText="1"/>
    </xf>
    <xf numFmtId="0" fontId="15" fillId="0" borderId="1" xfId="1" applyFont="1" applyBorder="1" applyAlignment="1" applyProtection="1">
      <alignment horizontal="center" vertical="center"/>
    </xf>
    <xf numFmtId="0" fontId="15" fillId="0" borderId="1" xfId="1" applyFont="1" applyBorder="1" applyAlignment="1" applyProtection="1">
      <alignment vertical="center"/>
    </xf>
    <xf numFmtId="0" fontId="9" fillId="0" borderId="1" xfId="1" applyFont="1" applyBorder="1" applyAlignment="1" applyProtection="1">
      <alignment horizontal="left" vertical="center"/>
    </xf>
    <xf numFmtId="0" fontId="25" fillId="3" borderId="32" xfId="0" applyFont="1" applyFill="1" applyBorder="1" applyAlignment="1" applyProtection="1"/>
    <xf numFmtId="0" fontId="24" fillId="3" borderId="17" xfId="0" applyFont="1" applyFill="1" applyBorder="1" applyAlignment="1" applyProtection="1"/>
    <xf numFmtId="0" fontId="25" fillId="3" borderId="31" xfId="0" applyFont="1" applyFill="1" applyBorder="1" applyAlignment="1" applyProtection="1">
      <alignment horizontal="left"/>
    </xf>
    <xf numFmtId="0" fontId="24" fillId="3" borderId="10" xfId="0" applyFont="1" applyFill="1" applyBorder="1" applyAlignment="1" applyProtection="1">
      <alignment horizontal="left"/>
    </xf>
    <xf numFmtId="0" fontId="25" fillId="3" borderId="33" xfId="0" applyFont="1" applyFill="1" applyBorder="1" applyAlignment="1" applyProtection="1"/>
    <xf numFmtId="0" fontId="24" fillId="3" borderId="21" xfId="0" applyFont="1" applyFill="1" applyBorder="1" applyAlignment="1" applyProtection="1"/>
    <xf numFmtId="0" fontId="37" fillId="0" borderId="2" xfId="0" applyFont="1" applyBorder="1" applyAlignment="1" applyProtection="1">
      <alignment vertical="center"/>
    </xf>
    <xf numFmtId="0" fontId="20" fillId="0" borderId="1" xfId="0" applyFont="1" applyBorder="1" applyAlignment="1" applyProtection="1">
      <alignment vertical="center"/>
    </xf>
    <xf numFmtId="0" fontId="20" fillId="2" borderId="2" xfId="1" applyFont="1" applyFill="1" applyBorder="1" applyAlignment="1" applyProtection="1">
      <alignment horizontal="center" vertical="center" wrapText="1"/>
    </xf>
    <xf numFmtId="0" fontId="20" fillId="0" borderId="6" xfId="20" applyFont="1" applyBorder="1" applyAlignment="1" applyProtection="1">
      <alignment horizontal="left" vertical="center" wrapText="1"/>
    </xf>
    <xf numFmtId="0" fontId="20" fillId="0" borderId="6" xfId="34" applyFont="1" applyBorder="1" applyAlignment="1" applyProtection="1">
      <alignment horizontal="left" vertical="center" wrapText="1"/>
    </xf>
    <xf numFmtId="9" fontId="21" fillId="0" borderId="3" xfId="6" applyFont="1" applyBorder="1" applyAlignment="1" applyProtection="1">
      <alignment horizontal="center" vertical="center" wrapText="1"/>
    </xf>
    <xf numFmtId="9" fontId="21" fillId="0" borderId="3" xfId="6" applyFont="1" applyFill="1" applyBorder="1" applyAlignment="1" applyProtection="1">
      <alignment horizontal="center" vertical="center" wrapText="1"/>
    </xf>
    <xf numFmtId="0" fontId="20" fillId="0" borderId="2" xfId="34" applyNumberFormat="1" applyFont="1" applyBorder="1" applyAlignment="1" applyProtection="1">
      <alignment horizontal="left" vertical="center" wrapText="1"/>
    </xf>
    <xf numFmtId="9" fontId="21" fillId="0" borderId="3" xfId="8" applyFont="1" applyBorder="1" applyAlignment="1" applyProtection="1">
      <alignment horizontal="center" vertical="center" wrapText="1"/>
    </xf>
    <xf numFmtId="9" fontId="21" fillId="0" borderId="3" xfId="8" applyFont="1" applyFill="1" applyBorder="1" applyAlignment="1" applyProtection="1">
      <alignment horizontal="center" vertical="center" wrapText="1"/>
    </xf>
    <xf numFmtId="0" fontId="21" fillId="0" borderId="3" xfId="5" applyNumberFormat="1" applyFont="1" applyBorder="1" applyAlignment="1" applyProtection="1">
      <alignment horizontal="center" vertical="center" wrapText="1"/>
    </xf>
    <xf numFmtId="0" fontId="21" fillId="0" borderId="3" xfId="5" applyNumberFormat="1" applyFont="1" applyFill="1" applyBorder="1" applyAlignment="1" applyProtection="1">
      <alignment horizontal="center" vertical="center" wrapText="1"/>
    </xf>
    <xf numFmtId="0" fontId="20" fillId="0" borderId="3" xfId="0" applyFont="1" applyBorder="1" applyAlignment="1" applyProtection="1">
      <alignment horizontal="left" vertical="center" wrapText="1"/>
    </xf>
    <xf numFmtId="14" fontId="20" fillId="0" borderId="1" xfId="1" applyNumberFormat="1" applyFont="1" applyBorder="1" applyAlignment="1" applyProtection="1">
      <alignment vertical="center"/>
    </xf>
    <xf numFmtId="0" fontId="11" fillId="0" borderId="1" xfId="1" applyFont="1" applyFill="1" applyBorder="1" applyAlignment="1" applyProtection="1">
      <alignment horizontal="center" vertical="center"/>
    </xf>
    <xf numFmtId="0" fontId="15" fillId="0" borderId="1" xfId="1" applyFont="1" applyFill="1" applyBorder="1" applyAlignment="1" applyProtection="1">
      <alignment vertical="center"/>
    </xf>
    <xf numFmtId="0" fontId="15" fillId="0" borderId="1" xfId="1" applyFont="1" applyBorder="1" applyAlignment="1" applyProtection="1">
      <alignment vertical="center" wrapText="1"/>
    </xf>
    <xf numFmtId="0" fontId="25" fillId="3" borderId="32" xfId="0" applyFont="1" applyFill="1" applyBorder="1" applyProtection="1"/>
    <xf numFmtId="0" fontId="24" fillId="3" borderId="17" xfId="0" applyFont="1" applyFill="1" applyBorder="1" applyProtection="1"/>
    <xf numFmtId="0" fontId="20" fillId="0" borderId="1" xfId="1" applyFont="1" applyAlignment="1" applyProtection="1">
      <alignment horizontal="left" vertical="center"/>
    </xf>
    <xf numFmtId="0" fontId="26" fillId="0" borderId="2" xfId="1" applyFont="1" applyBorder="1" applyAlignment="1" applyProtection="1">
      <alignment horizontal="center" vertical="top" wrapText="1"/>
    </xf>
    <xf numFmtId="0" fontId="27" fillId="0" borderId="2" xfId="1" applyFont="1" applyBorder="1" applyAlignment="1" applyProtection="1">
      <alignment horizontal="center" vertical="top" wrapText="1"/>
    </xf>
    <xf numFmtId="0" fontId="20" fillId="0" borderId="2" xfId="34" applyFont="1" applyBorder="1" applyAlignment="1" applyProtection="1">
      <alignment horizontal="left" vertical="center" wrapText="1"/>
    </xf>
    <xf numFmtId="0" fontId="20" fillId="0" borderId="6" xfId="34" applyFont="1" applyBorder="1" applyAlignment="1" applyProtection="1">
      <alignment horizontal="center" vertical="center" wrapText="1"/>
    </xf>
    <xf numFmtId="3" fontId="39" fillId="7" borderId="3" xfId="0" applyNumberFormat="1" applyFont="1" applyFill="1" applyBorder="1" applyAlignment="1" applyProtection="1">
      <alignment horizontal="center" vertical="center"/>
    </xf>
    <xf numFmtId="0" fontId="20" fillId="0" borderId="2" xfId="1" applyFont="1" applyBorder="1" applyAlignment="1" applyProtection="1">
      <alignment horizontal="center" vertical="center" wrapText="1"/>
    </xf>
    <xf numFmtId="0" fontId="15" fillId="0" borderId="1" xfId="1" applyFont="1" applyAlignment="1" applyProtection="1">
      <alignment horizontal="center" vertical="center"/>
    </xf>
    <xf numFmtId="0" fontId="15" fillId="0" borderId="1" xfId="1" applyFont="1" applyAlignment="1" applyProtection="1">
      <alignment vertical="center"/>
    </xf>
    <xf numFmtId="165" fontId="11" fillId="0" borderId="2" xfId="1" applyNumberFormat="1" applyFont="1" applyBorder="1" applyAlignment="1" applyProtection="1">
      <alignment horizontal="center" vertical="center" wrapText="1"/>
    </xf>
    <xf numFmtId="14" fontId="20" fillId="0" borderId="1" xfId="1" applyNumberFormat="1" applyFont="1" applyAlignment="1" applyProtection="1">
      <alignment vertical="center"/>
    </xf>
    <xf numFmtId="0" fontId="11" fillId="0" borderId="1" xfId="1" applyFont="1" applyAlignment="1" applyProtection="1">
      <alignment horizontal="center" vertical="center"/>
    </xf>
    <xf numFmtId="0" fontId="9" fillId="0" borderId="1" xfId="1" applyFont="1" applyAlignment="1" applyProtection="1">
      <alignment horizontal="left" vertical="center"/>
    </xf>
    <xf numFmtId="0" fontId="15" fillId="0" borderId="1" xfId="1" applyFont="1" applyAlignment="1" applyProtection="1">
      <alignment vertical="center" wrapText="1"/>
    </xf>
    <xf numFmtId="0" fontId="20" fillId="0" borderId="2" xfId="34" applyFont="1" applyBorder="1" applyAlignment="1" applyProtection="1">
      <alignment horizontal="center" vertical="center" wrapText="1"/>
    </xf>
    <xf numFmtId="0" fontId="20" fillId="0" borderId="2" xfId="0" applyFont="1" applyBorder="1" applyAlignment="1" applyProtection="1">
      <alignment vertical="center" wrapText="1"/>
    </xf>
    <xf numFmtId="0" fontId="26" fillId="0" borderId="2" xfId="1" applyFont="1" applyBorder="1" applyAlignment="1" applyProtection="1">
      <alignment horizontal="center" vertical="center" wrapText="1"/>
    </xf>
    <xf numFmtId="0" fontId="27" fillId="0" borderId="2" xfId="1" applyFont="1" applyBorder="1" applyAlignment="1" applyProtection="1">
      <alignment horizontal="center" vertical="center" wrapText="1"/>
    </xf>
    <xf numFmtId="0" fontId="26" fillId="7" borderId="2" xfId="1" applyFont="1" applyFill="1" applyBorder="1" applyAlignment="1" applyProtection="1">
      <alignment horizontal="center" vertical="center" wrapText="1"/>
    </xf>
    <xf numFmtId="0" fontId="27" fillId="7" borderId="2" xfId="1" applyFont="1" applyFill="1" applyBorder="1" applyAlignment="1" applyProtection="1">
      <alignment horizontal="center" vertical="center" wrapText="1"/>
    </xf>
    <xf numFmtId="3" fontId="44" fillId="7" borderId="3" xfId="0" applyNumberFormat="1" applyFont="1" applyFill="1" applyBorder="1" applyAlignment="1" applyProtection="1">
      <alignment horizontal="center" vertical="center"/>
    </xf>
    <xf numFmtId="0" fontId="23" fillId="0" borderId="6" xfId="20" applyFont="1" applyBorder="1" applyAlignment="1" applyProtection="1">
      <alignment horizontal="center" vertical="center" wrapText="1"/>
    </xf>
    <xf numFmtId="0" fontId="46" fillId="0" borderId="0" xfId="0" applyFont="1" applyAlignment="1" applyProtection="1">
      <alignment horizontal="center" vertical="center" wrapText="1"/>
    </xf>
    <xf numFmtId="4" fontId="39" fillId="7" borderId="3" xfId="7" applyNumberFormat="1" applyFont="1" applyFill="1" applyBorder="1" applyAlignment="1" applyProtection="1">
      <alignment horizontal="center" vertical="center"/>
    </xf>
    <xf numFmtId="3" fontId="20" fillId="0" borderId="3" xfId="0" applyNumberFormat="1" applyFont="1" applyBorder="1" applyAlignment="1" applyProtection="1">
      <alignment horizontal="center" vertical="center" wrapText="1"/>
    </xf>
    <xf numFmtId="166" fontId="20" fillId="0" borderId="3" xfId="0" applyNumberFormat="1" applyFont="1" applyBorder="1" applyAlignment="1" applyProtection="1">
      <alignment horizontal="center" vertical="center" wrapText="1"/>
    </xf>
    <xf numFmtId="166" fontId="39" fillId="7" borderId="3" xfId="0" applyNumberFormat="1" applyFont="1" applyFill="1" applyBorder="1" applyAlignment="1" applyProtection="1">
      <alignment horizontal="center" vertical="center"/>
    </xf>
    <xf numFmtId="4" fontId="39" fillId="7" borderId="3" xfId="0" applyNumberFormat="1" applyFont="1" applyFill="1" applyBorder="1" applyAlignment="1" applyProtection="1">
      <alignment horizontal="center" vertical="center"/>
    </xf>
    <xf numFmtId="0" fontId="20" fillId="0" borderId="0" xfId="0" applyFont="1" applyAlignment="1" applyProtection="1">
      <alignment vertical="center"/>
    </xf>
    <xf numFmtId="0" fontId="20" fillId="0" borderId="0" xfId="0" applyFont="1" applyAlignment="1" applyProtection="1">
      <alignment horizontal="center" vertical="center"/>
    </xf>
    <xf numFmtId="0" fontId="11" fillId="3" borderId="32" xfId="0" applyFont="1" applyFill="1" applyBorder="1" applyProtection="1"/>
    <xf numFmtId="0" fontId="20" fillId="3" borderId="17" xfId="0" applyFont="1" applyFill="1" applyBorder="1" applyProtection="1"/>
    <xf numFmtId="0" fontId="11" fillId="3" borderId="31" xfId="0" applyFont="1" applyFill="1" applyBorder="1" applyAlignment="1" applyProtection="1">
      <alignment horizontal="left"/>
    </xf>
    <xf numFmtId="0" fontId="11" fillId="3" borderId="18" xfId="0" applyFont="1" applyFill="1" applyBorder="1" applyAlignment="1" applyProtection="1">
      <alignment horizontal="left"/>
    </xf>
    <xf numFmtId="0" fontId="20" fillId="0" borderId="1" xfId="0" applyFont="1" applyBorder="1" applyAlignment="1" applyProtection="1">
      <alignment horizontal="center" vertical="center"/>
    </xf>
    <xf numFmtId="0" fontId="11" fillId="0" borderId="2" xfId="0" applyFont="1" applyBorder="1" applyAlignment="1" applyProtection="1">
      <alignment vertical="center"/>
    </xf>
    <xf numFmtId="0" fontId="11" fillId="0" borderId="2" xfId="1" applyFont="1" applyBorder="1" applyAlignment="1" applyProtection="1">
      <alignment horizontal="center" vertical="top" wrapText="1"/>
    </xf>
    <xf numFmtId="0" fontId="11" fillId="7" borderId="2" xfId="1" applyFont="1" applyFill="1" applyBorder="1" applyAlignment="1" applyProtection="1">
      <alignment horizontal="center" vertical="top" wrapText="1"/>
    </xf>
    <xf numFmtId="0" fontId="20" fillId="0" borderId="3" xfId="35" applyFont="1" applyBorder="1" applyAlignment="1" applyProtection="1">
      <alignment horizontal="center" vertical="center" wrapText="1"/>
    </xf>
    <xf numFmtId="0" fontId="8" fillId="0" borderId="37" xfId="34" applyBorder="1" applyAlignment="1" applyProtection="1">
      <alignment horizontal="left" vertical="center" wrapText="1"/>
    </xf>
    <xf numFmtId="0" fontId="20" fillId="0" borderId="37" xfId="34" applyFont="1" applyBorder="1" applyAlignment="1" applyProtection="1">
      <alignment horizontal="left" vertical="center" wrapText="1"/>
    </xf>
    <xf numFmtId="0" fontId="20" fillId="0" borderId="2" xfId="23" applyFont="1" applyBorder="1" applyAlignment="1" applyProtection="1">
      <alignment horizontal="left" vertical="center" wrapText="1"/>
    </xf>
    <xf numFmtId="0" fontId="8" fillId="0" borderId="2" xfId="34" applyBorder="1" applyAlignment="1" applyProtection="1">
      <alignment horizontal="justify" vertical="center" wrapText="1"/>
    </xf>
    <xf numFmtId="0" fontId="20" fillId="0" borderId="2" xfId="34" applyFont="1" applyBorder="1" applyAlignment="1" applyProtection="1">
      <alignment horizontal="justify" vertical="center" wrapText="1"/>
    </xf>
    <xf numFmtId="0" fontId="20" fillId="0" borderId="2" xfId="9" applyFont="1" applyBorder="1" applyAlignment="1" applyProtection="1">
      <alignment horizontal="center" vertical="center" wrapText="1"/>
    </xf>
    <xf numFmtId="0" fontId="23" fillId="0" borderId="2" xfId="34" applyFont="1" applyBorder="1" applyAlignment="1" applyProtection="1">
      <alignment horizontal="left" vertical="center" wrapText="1"/>
    </xf>
    <xf numFmtId="0" fontId="8" fillId="0" borderId="2" xfId="34" applyBorder="1" applyAlignment="1" applyProtection="1">
      <alignment horizontal="left" vertical="center" wrapText="1"/>
    </xf>
    <xf numFmtId="0" fontId="20" fillId="0" borderId="1" xfId="1" applyFont="1" applyAlignment="1" applyProtection="1">
      <alignment horizontal="center" vertical="center"/>
    </xf>
    <xf numFmtId="0" fontId="20" fillId="0" borderId="1" xfId="1" applyFont="1" applyAlignment="1" applyProtection="1">
      <alignment vertical="center"/>
    </xf>
    <xf numFmtId="0" fontId="20" fillId="0" borderId="1" xfId="1" applyFont="1" applyAlignment="1" applyProtection="1">
      <alignment vertical="center" wrapText="1"/>
    </xf>
    <xf numFmtId="0" fontId="20" fillId="0" borderId="1" xfId="0" applyFont="1" applyBorder="1" applyAlignment="1" applyProtection="1">
      <alignment vertical="center" wrapText="1"/>
    </xf>
    <xf numFmtId="10" fontId="20" fillId="0" borderId="2" xfId="0" applyNumberFormat="1" applyFont="1" applyBorder="1" applyAlignment="1" applyProtection="1">
      <alignment horizontal="center" vertical="center" wrapText="1"/>
    </xf>
    <xf numFmtId="0" fontId="20" fillId="0" borderId="2" xfId="32" applyFont="1" applyBorder="1" applyAlignment="1" applyProtection="1">
      <alignment vertical="center" wrapText="1"/>
    </xf>
    <xf numFmtId="0" fontId="20" fillId="0" borderId="3" xfId="34" applyFont="1" applyBorder="1" applyAlignment="1" applyProtection="1">
      <alignment vertical="center" wrapText="1"/>
    </xf>
    <xf numFmtId="0" fontId="9" fillId="0" borderId="0" xfId="0" applyFont="1" applyAlignment="1" applyProtection="1">
      <alignment horizontal="center" vertical="center"/>
    </xf>
    <xf numFmtId="0" fontId="20" fillId="2" borderId="2" xfId="1" applyFont="1" applyFill="1" applyBorder="1" applyAlignment="1" applyProtection="1">
      <alignment vertical="center" wrapText="1"/>
    </xf>
    <xf numFmtId="0" fontId="20" fillId="2" borderId="3" xfId="1" applyFont="1" applyFill="1" applyBorder="1" applyAlignment="1" applyProtection="1">
      <alignment horizontal="center" vertical="center" wrapText="1"/>
    </xf>
    <xf numFmtId="0" fontId="20" fillId="0" borderId="3" xfId="34" applyFont="1" applyBorder="1" applyAlignment="1" applyProtection="1">
      <alignment horizontal="center" vertical="center" wrapText="1"/>
    </xf>
    <xf numFmtId="9" fontId="20" fillId="3" borderId="3" xfId="0" applyNumberFormat="1" applyFont="1" applyFill="1" applyBorder="1" applyAlignment="1" applyProtection="1">
      <alignment horizontal="center" vertical="center" wrapText="1"/>
    </xf>
    <xf numFmtId="0" fontId="15" fillId="0" borderId="0" xfId="0" applyFont="1" applyAlignment="1" applyProtection="1">
      <alignment horizontal="right" vertical="center"/>
    </xf>
    <xf numFmtId="0" fontId="15" fillId="0" borderId="1" xfId="1" applyFont="1" applyAlignment="1" applyProtection="1">
      <alignment horizontal="right" vertical="center"/>
    </xf>
    <xf numFmtId="0" fontId="15" fillId="0" borderId="1" xfId="1" applyFont="1" applyAlignment="1" applyProtection="1">
      <alignment horizontal="right" vertical="center" wrapText="1"/>
    </xf>
    <xf numFmtId="0" fontId="20" fillId="2" borderId="2" xfId="1" applyFont="1" applyFill="1" applyBorder="1" applyAlignment="1" applyProtection="1">
      <alignment horizontal="left" vertical="center" wrapText="1"/>
    </xf>
    <xf numFmtId="0" fontId="20" fillId="0" borderId="6" xfId="34" applyFont="1" applyBorder="1" applyAlignment="1" applyProtection="1">
      <alignment horizontal="left" vertical="center"/>
    </xf>
    <xf numFmtId="1" fontId="20" fillId="0" borderId="3" xfId="0" applyNumberFormat="1" applyFont="1" applyBorder="1" applyAlignment="1" applyProtection="1">
      <alignment horizontal="center" vertical="center" wrapText="1"/>
    </xf>
    <xf numFmtId="167" fontId="39" fillId="0" borderId="3" xfId="36" applyNumberFormat="1" applyFont="1" applyBorder="1" applyAlignment="1" applyProtection="1">
      <alignment horizontal="center" vertical="center" wrapText="1"/>
    </xf>
    <xf numFmtId="0" fontId="23" fillId="0" borderId="6" xfId="34" applyFont="1" applyBorder="1" applyAlignment="1" applyProtection="1">
      <alignment horizontal="center" vertical="center"/>
    </xf>
    <xf numFmtId="9" fontId="20" fillId="0" borderId="3" xfId="8" applyFont="1" applyBorder="1" applyAlignment="1" applyProtection="1">
      <alignment horizontal="center" vertical="center" wrapText="1"/>
    </xf>
    <xf numFmtId="9" fontId="20" fillId="0" borderId="5" xfId="8" applyFont="1" applyBorder="1" applyAlignment="1" applyProtection="1">
      <alignment horizontal="center" vertical="center" wrapText="1"/>
    </xf>
    <xf numFmtId="0" fontId="20" fillId="0" borderId="3" xfId="0" applyFont="1" applyBorder="1" applyAlignment="1" applyProtection="1">
      <alignment horizontal="justify" vertical="center" wrapText="1"/>
    </xf>
    <xf numFmtId="0" fontId="20" fillId="0" borderId="3" xfId="0" applyFont="1" applyBorder="1" applyAlignment="1" applyProtection="1">
      <alignment horizontal="center" vertical="center" wrapText="1"/>
    </xf>
    <xf numFmtId="9" fontId="20" fillId="7" borderId="3" xfId="8" applyFont="1" applyFill="1" applyBorder="1" applyAlignment="1" applyProtection="1">
      <alignment horizontal="center" vertical="center"/>
    </xf>
    <xf numFmtId="3" fontId="20" fillId="7" borderId="3" xfId="7" applyNumberFormat="1" applyFont="1" applyFill="1" applyBorder="1" applyAlignment="1" applyProtection="1">
      <alignment horizontal="center" vertical="center"/>
    </xf>
    <xf numFmtId="3" fontId="20" fillId="7" borderId="3" xfId="0" applyNumberFormat="1" applyFont="1" applyFill="1" applyBorder="1" applyAlignment="1" applyProtection="1">
      <alignment horizontal="center" vertical="center"/>
    </xf>
    <xf numFmtId="0" fontId="20" fillId="0" borderId="2" xfId="0" applyFont="1" applyFill="1" applyBorder="1" applyAlignment="1" applyProtection="1">
      <alignment horizontal="justify" vertical="center" wrapText="1"/>
    </xf>
    <xf numFmtId="164" fontId="21" fillId="7" borderId="3" xfId="6" applyNumberFormat="1" applyFont="1" applyFill="1" applyBorder="1" applyAlignment="1" applyProtection="1">
      <alignment horizontal="center" vertical="center"/>
    </xf>
    <xf numFmtId="9" fontId="21" fillId="0" borderId="3" xfId="8" applyFont="1" applyFill="1" applyBorder="1" applyAlignment="1" applyProtection="1">
      <alignment horizontal="center" vertical="center"/>
    </xf>
    <xf numFmtId="9" fontId="22" fillId="4" borderId="45" xfId="3" applyFont="1" applyFill="1" applyBorder="1" applyAlignment="1" applyProtection="1">
      <alignment horizontal="center" vertical="center"/>
    </xf>
    <xf numFmtId="9" fontId="39" fillId="0" borderId="3" xfId="6" applyFont="1" applyBorder="1" applyAlignment="1" applyProtection="1">
      <alignment horizontal="center" vertical="center" wrapText="1"/>
      <protection locked="0"/>
    </xf>
    <xf numFmtId="9" fontId="39" fillId="7" borderId="2" xfId="6" applyFont="1" applyFill="1" applyBorder="1" applyAlignment="1" applyProtection="1">
      <alignment horizontal="center" vertical="center"/>
    </xf>
    <xf numFmtId="10" fontId="21" fillId="0" borderId="3" xfId="8" applyNumberFormat="1" applyFont="1" applyFill="1" applyBorder="1" applyAlignment="1" applyProtection="1">
      <alignment horizontal="center" vertical="center"/>
    </xf>
    <xf numFmtId="9" fontId="9" fillId="0" borderId="0" xfId="0" applyNumberFormat="1" applyFont="1" applyAlignment="1" applyProtection="1">
      <alignment vertical="center"/>
    </xf>
    <xf numFmtId="9" fontId="21" fillId="7" borderId="2" xfId="6" applyFont="1" applyFill="1" applyBorder="1" applyAlignment="1" applyProtection="1">
      <alignment horizontal="center" vertical="center"/>
    </xf>
    <xf numFmtId="9" fontId="20" fillId="7" borderId="3" xfId="6" applyFont="1" applyFill="1" applyBorder="1" applyAlignment="1" applyProtection="1">
      <alignment horizontal="center" vertical="center"/>
    </xf>
    <xf numFmtId="9" fontId="21" fillId="0" borderId="3" xfId="6" applyFont="1" applyFill="1" applyBorder="1" applyAlignment="1" applyProtection="1">
      <alignment horizontal="center" vertical="center"/>
    </xf>
    <xf numFmtId="164" fontId="21" fillId="0" borderId="3" xfId="6" applyNumberFormat="1" applyFont="1" applyFill="1" applyBorder="1" applyAlignment="1" applyProtection="1">
      <alignment horizontal="center" vertical="center"/>
    </xf>
    <xf numFmtId="164" fontId="39" fillId="7" borderId="3" xfId="8" applyNumberFormat="1" applyFont="1" applyFill="1" applyBorder="1" applyAlignment="1" applyProtection="1">
      <alignment horizontal="center" vertical="center"/>
    </xf>
    <xf numFmtId="164" fontId="21" fillId="5" borderId="3" xfId="8" applyNumberFormat="1" applyFont="1" applyFill="1" applyBorder="1" applyAlignment="1" applyProtection="1">
      <alignment horizontal="center" vertical="center"/>
    </xf>
    <xf numFmtId="4" fontId="21" fillId="7" borderId="3" xfId="8" applyNumberFormat="1" applyFont="1" applyFill="1" applyBorder="1" applyAlignment="1" applyProtection="1">
      <alignment horizontal="center" vertical="center"/>
    </xf>
    <xf numFmtId="164" fontId="39" fillId="7" borderId="3" xfId="6" applyNumberFormat="1" applyFont="1" applyFill="1" applyBorder="1" applyAlignment="1" applyProtection="1">
      <alignment horizontal="center" vertical="center"/>
    </xf>
    <xf numFmtId="10" fontId="39" fillId="7" borderId="3" xfId="6" applyNumberFormat="1" applyFont="1" applyFill="1" applyBorder="1" applyAlignment="1" applyProtection="1">
      <alignment horizontal="center" vertical="center"/>
    </xf>
    <xf numFmtId="164" fontId="20" fillId="7" borderId="3" xfId="6" applyNumberFormat="1" applyFont="1" applyFill="1" applyBorder="1" applyAlignment="1" applyProtection="1">
      <alignment horizontal="center" vertical="center"/>
    </xf>
    <xf numFmtId="164" fontId="39" fillId="0" borderId="2" xfId="6" applyNumberFormat="1" applyFont="1" applyFill="1" applyBorder="1" applyAlignment="1" applyProtection="1">
      <alignment horizontal="center" vertical="center" wrapText="1"/>
    </xf>
    <xf numFmtId="164" fontId="39" fillId="0" borderId="2" xfId="6" applyNumberFormat="1" applyFont="1" applyBorder="1" applyAlignment="1" applyProtection="1">
      <alignment horizontal="center" vertical="center" wrapText="1"/>
    </xf>
    <xf numFmtId="10" fontId="21" fillId="7" borderId="3" xfId="6" applyNumberFormat="1" applyFont="1" applyFill="1" applyBorder="1" applyAlignment="1" applyProtection="1">
      <alignment horizontal="center" vertical="center"/>
    </xf>
    <xf numFmtId="164" fontId="44" fillId="7" borderId="3" xfId="6" applyNumberFormat="1" applyFont="1" applyFill="1" applyBorder="1" applyAlignment="1" applyProtection="1">
      <alignment horizontal="center" vertical="center"/>
    </xf>
    <xf numFmtId="9" fontId="20" fillId="0" borderId="3" xfId="8" applyFont="1" applyBorder="1" applyAlignment="1" applyProtection="1">
      <alignment horizontal="center" vertical="center" wrapText="1"/>
    </xf>
    <xf numFmtId="0" fontId="11" fillId="7" borderId="2" xfId="1" applyFont="1" applyFill="1" applyBorder="1" applyAlignment="1" applyProtection="1">
      <alignment horizontal="center" vertical="center" wrapText="1"/>
    </xf>
    <xf numFmtId="0" fontId="20" fillId="0" borderId="3" xfId="0" applyFont="1" applyBorder="1" applyAlignment="1" applyProtection="1">
      <alignment horizontal="center" vertical="center" wrapText="1"/>
    </xf>
    <xf numFmtId="9" fontId="22" fillId="4" borderId="9" xfId="3" applyFont="1" applyFill="1" applyBorder="1" applyAlignment="1" applyProtection="1">
      <alignment horizontal="center" vertical="center"/>
    </xf>
    <xf numFmtId="0" fontId="20" fillId="0" borderId="1" xfId="1" applyFont="1" applyAlignment="1" applyProtection="1">
      <alignment vertical="center"/>
    </xf>
    <xf numFmtId="0" fontId="29" fillId="15" borderId="2" xfId="23" applyFont="1" applyFill="1" applyBorder="1" applyAlignment="1">
      <alignment horizontal="center" vertical="center"/>
    </xf>
    <xf numFmtId="0" fontId="14" fillId="12" borderId="7" xfId="1" applyFont="1" applyFill="1" applyBorder="1" applyAlignment="1" applyProtection="1">
      <alignment vertical="center"/>
    </xf>
    <xf numFmtId="0" fontId="14" fillId="12" borderId="11" xfId="1" applyFont="1" applyFill="1" applyBorder="1" applyAlignment="1" applyProtection="1">
      <alignment vertical="center"/>
    </xf>
    <xf numFmtId="0" fontId="14" fillId="12" borderId="6" xfId="1" applyFont="1" applyFill="1" applyBorder="1" applyAlignment="1" applyProtection="1">
      <alignment vertical="center"/>
    </xf>
    <xf numFmtId="0" fontId="54" fillId="0" borderId="0" xfId="0" applyFont="1" applyFill="1" applyAlignment="1" applyProtection="1">
      <alignment horizontal="center" vertical="center"/>
    </xf>
    <xf numFmtId="0" fontId="8" fillId="0" borderId="1" xfId="23" applyAlignment="1">
      <alignment horizontal="center" vertical="center"/>
    </xf>
    <xf numFmtId="0" fontId="30" fillId="0" borderId="1" xfId="23" applyFont="1" applyAlignment="1">
      <alignment horizontal="center" vertical="center"/>
    </xf>
    <xf numFmtId="0" fontId="8" fillId="0" borderId="1" xfId="23"/>
    <xf numFmtId="164" fontId="39" fillId="5" borderId="3" xfId="8" applyNumberFormat="1" applyFont="1" applyFill="1" applyBorder="1" applyAlignment="1" applyProtection="1">
      <alignment horizontal="center" vertical="center"/>
    </xf>
    <xf numFmtId="9" fontId="39" fillId="5" borderId="3" xfId="8" applyFont="1" applyFill="1" applyBorder="1" applyAlignment="1" applyProtection="1">
      <alignment horizontal="center" vertical="center"/>
    </xf>
    <xf numFmtId="164" fontId="39" fillId="5" borderId="3" xfId="6" applyNumberFormat="1" applyFont="1" applyFill="1" applyBorder="1" applyAlignment="1" applyProtection="1">
      <alignment horizontal="center" vertical="center"/>
    </xf>
    <xf numFmtId="9" fontId="56" fillId="5" borderId="3" xfId="6" applyNumberFormat="1" applyFont="1" applyFill="1" applyBorder="1" applyAlignment="1" applyProtection="1">
      <alignment horizontal="center" vertical="center"/>
    </xf>
    <xf numFmtId="9" fontId="39" fillId="5" borderId="3" xfId="6" applyNumberFormat="1" applyFont="1" applyFill="1" applyBorder="1" applyAlignment="1" applyProtection="1">
      <alignment horizontal="center" vertical="center"/>
    </xf>
    <xf numFmtId="164" fontId="21" fillId="0" borderId="3" xfId="8" applyNumberFormat="1" applyFont="1" applyFill="1" applyBorder="1" applyAlignment="1" applyProtection="1">
      <alignment horizontal="center" vertical="center"/>
    </xf>
    <xf numFmtId="9" fontId="9" fillId="0" borderId="0" xfId="0" applyNumberFormat="1" applyFont="1" applyAlignment="1">
      <alignment vertical="center"/>
    </xf>
    <xf numFmtId="9" fontId="21" fillId="0" borderId="3" xfId="8" applyNumberFormat="1" applyFont="1" applyFill="1" applyBorder="1" applyAlignment="1" applyProtection="1">
      <alignment horizontal="center" vertical="center"/>
    </xf>
    <xf numFmtId="164" fontId="42" fillId="5" borderId="3" xfId="8" applyNumberFormat="1" applyFont="1" applyFill="1" applyBorder="1" applyAlignment="1" applyProtection="1">
      <alignment horizontal="center" vertical="center"/>
    </xf>
    <xf numFmtId="164" fontId="56" fillId="5" borderId="3" xfId="8" applyNumberFormat="1" applyFont="1" applyFill="1" applyBorder="1" applyAlignment="1" applyProtection="1">
      <alignment horizontal="center" vertical="center"/>
    </xf>
    <xf numFmtId="10" fontId="42" fillId="5" borderId="3" xfId="8" applyNumberFormat="1" applyFont="1" applyFill="1" applyBorder="1" applyAlignment="1" applyProtection="1">
      <alignment horizontal="center" vertical="center"/>
    </xf>
    <xf numFmtId="10" fontId="56" fillId="5" borderId="3" xfId="8" applyNumberFormat="1" applyFont="1" applyFill="1" applyBorder="1" applyAlignment="1" applyProtection="1">
      <alignment horizontal="center" vertical="center"/>
    </xf>
    <xf numFmtId="3" fontId="20" fillId="0" borderId="2" xfId="20" applyNumberFormat="1" applyFont="1" applyBorder="1" applyAlignment="1" applyProtection="1">
      <alignment horizontal="center" vertical="center" wrapText="1"/>
    </xf>
    <xf numFmtId="164" fontId="20" fillId="0" borderId="2" xfId="6" applyNumberFormat="1" applyFont="1" applyBorder="1" applyAlignment="1" applyProtection="1">
      <alignment horizontal="center" vertical="center" wrapText="1"/>
    </xf>
    <xf numFmtId="3" fontId="20" fillId="0" borderId="31" xfId="20" applyNumberFormat="1" applyFont="1" applyBorder="1" applyAlignment="1" applyProtection="1">
      <alignment horizontal="center" vertical="center" wrapText="1"/>
    </xf>
    <xf numFmtId="164" fontId="20" fillId="0" borderId="31" xfId="6" applyNumberFormat="1" applyFont="1" applyBorder="1" applyAlignment="1" applyProtection="1">
      <alignment horizontal="center" vertical="center" wrapText="1"/>
    </xf>
    <xf numFmtId="3" fontId="20" fillId="18" borderId="2" xfId="20" applyNumberFormat="1" applyFont="1" applyFill="1" applyBorder="1" applyAlignment="1" applyProtection="1">
      <alignment horizontal="center" vertical="center" wrapText="1"/>
    </xf>
    <xf numFmtId="164" fontId="9" fillId="0" borderId="0" xfId="6" applyNumberFormat="1" applyFont="1" applyAlignment="1" applyProtection="1">
      <alignment vertical="center"/>
    </xf>
    <xf numFmtId="164" fontId="32" fillId="0" borderId="0" xfId="6" applyNumberFormat="1" applyFont="1" applyAlignment="1" applyProtection="1">
      <alignment horizontal="center" vertical="center"/>
    </xf>
    <xf numFmtId="0" fontId="61" fillId="0" borderId="0" xfId="0" applyFont="1" applyAlignment="1" applyProtection="1">
      <alignment horizontal="center" vertical="center"/>
    </xf>
    <xf numFmtId="164" fontId="61" fillId="0" borderId="0" xfId="0" applyNumberFormat="1" applyFont="1" applyAlignment="1" applyProtection="1">
      <alignment horizontal="center" vertical="center"/>
    </xf>
    <xf numFmtId="164" fontId="20" fillId="0" borderId="31" xfId="20" applyNumberFormat="1" applyFont="1" applyBorder="1" applyAlignment="1" applyProtection="1">
      <alignment horizontal="center" vertical="center" wrapText="1"/>
    </xf>
    <xf numFmtId="0" fontId="9" fillId="0" borderId="1" xfId="0" applyFont="1" applyBorder="1" applyAlignment="1" applyProtection="1">
      <alignment horizontal="center" vertical="center"/>
    </xf>
    <xf numFmtId="0" fontId="20" fillId="18" borderId="31" xfId="20" applyFont="1" applyFill="1" applyBorder="1" applyAlignment="1" applyProtection="1">
      <alignment horizontal="center" vertical="center" wrapText="1"/>
    </xf>
    <xf numFmtId="0" fontId="20" fillId="0" borderId="31" xfId="34" applyFont="1" applyBorder="1" applyAlignment="1" applyProtection="1">
      <alignment horizontal="center" vertical="center" wrapText="1"/>
    </xf>
    <xf numFmtId="0" fontId="20" fillId="18" borderId="31" xfId="0" applyFont="1" applyFill="1" applyBorder="1" applyAlignment="1" applyProtection="1">
      <alignment horizontal="center" vertical="center" wrapText="1"/>
    </xf>
    <xf numFmtId="164" fontId="20" fillId="18" borderId="31" xfId="6" applyNumberFormat="1" applyFont="1" applyFill="1" applyBorder="1" applyAlignment="1" applyProtection="1">
      <alignment horizontal="center" vertical="center" wrapText="1"/>
    </xf>
    <xf numFmtId="164" fontId="20" fillId="18" borderId="31" xfId="20" applyNumberFormat="1" applyFont="1" applyFill="1" applyBorder="1" applyAlignment="1" applyProtection="1">
      <alignment horizontal="center" vertical="center" wrapText="1"/>
    </xf>
    <xf numFmtId="166" fontId="20" fillId="0" borderId="2" xfId="20" applyNumberFormat="1" applyFont="1" applyBorder="1" applyAlignment="1" applyProtection="1">
      <alignment horizontal="center" vertical="center" wrapText="1"/>
    </xf>
    <xf numFmtId="4" fontId="20" fillId="0" borderId="2" xfId="20" applyNumberFormat="1" applyFont="1" applyBorder="1" applyAlignment="1" applyProtection="1">
      <alignment horizontal="center" vertical="center" wrapText="1"/>
    </xf>
    <xf numFmtId="166" fontId="20" fillId="0" borderId="31" xfId="20" applyNumberFormat="1" applyFont="1" applyBorder="1" applyAlignment="1" applyProtection="1">
      <alignment horizontal="center" vertical="center" wrapText="1"/>
    </xf>
    <xf numFmtId="4" fontId="20" fillId="0" borderId="31" xfId="20" applyNumberFormat="1" applyFont="1" applyBorder="1" applyAlignment="1" applyProtection="1">
      <alignment horizontal="center" vertical="center" wrapText="1"/>
    </xf>
    <xf numFmtId="164" fontId="20" fillId="18" borderId="2" xfId="6" applyNumberFormat="1" applyFont="1" applyFill="1" applyBorder="1" applyAlignment="1" applyProtection="1">
      <alignment horizontal="center" vertical="center" wrapText="1"/>
    </xf>
    <xf numFmtId="164" fontId="20" fillId="18" borderId="6" xfId="6" applyNumberFormat="1" applyFont="1" applyFill="1" applyBorder="1" applyAlignment="1" applyProtection="1">
      <alignment horizontal="center" vertical="center" wrapText="1"/>
    </xf>
    <xf numFmtId="164" fontId="55" fillId="5" borderId="3" xfId="8" applyNumberFormat="1" applyFont="1" applyFill="1" applyBorder="1" applyAlignment="1" applyProtection="1">
      <alignment horizontal="center" vertical="center"/>
    </xf>
    <xf numFmtId="164" fontId="53" fillId="5" borderId="3" xfId="8" applyNumberFormat="1" applyFont="1" applyFill="1" applyBorder="1" applyAlignment="1" applyProtection="1">
      <alignment horizontal="center" vertical="center"/>
    </xf>
    <xf numFmtId="9" fontId="20" fillId="0" borderId="2" xfId="20" applyNumberFormat="1" applyFont="1" applyBorder="1" applyAlignment="1" applyProtection="1">
      <alignment horizontal="center" vertical="center" wrapText="1"/>
    </xf>
    <xf numFmtId="9" fontId="20" fillId="0" borderId="31" xfId="6" applyFont="1" applyBorder="1" applyAlignment="1" applyProtection="1">
      <alignment horizontal="center" vertical="center" wrapText="1"/>
    </xf>
    <xf numFmtId="10" fontId="39" fillId="5" borderId="3" xfId="8" applyNumberFormat="1" applyFont="1" applyFill="1" applyBorder="1" applyAlignment="1" applyProtection="1">
      <alignment horizontal="center" vertical="center"/>
    </xf>
    <xf numFmtId="9" fontId="39" fillId="5" borderId="3" xfId="8" applyNumberFormat="1" applyFont="1" applyFill="1" applyBorder="1" applyAlignment="1" applyProtection="1">
      <alignment horizontal="center" vertical="center"/>
    </xf>
    <xf numFmtId="164" fontId="20" fillId="18" borderId="2" xfId="34" applyNumberFormat="1" applyFont="1" applyFill="1" applyBorder="1" applyAlignment="1" applyProtection="1">
      <alignment horizontal="center" vertical="center" wrapText="1"/>
    </xf>
    <xf numFmtId="164" fontId="20" fillId="18" borderId="3" xfId="6" applyNumberFormat="1" applyFont="1" applyFill="1" applyBorder="1" applyAlignment="1" applyProtection="1">
      <alignment horizontal="center" vertical="center" wrapText="1"/>
    </xf>
    <xf numFmtId="10" fontId="20" fillId="18" borderId="3" xfId="6" applyNumberFormat="1" applyFont="1" applyFill="1" applyBorder="1" applyAlignment="1" applyProtection="1">
      <alignment horizontal="center" vertical="center" wrapText="1"/>
    </xf>
    <xf numFmtId="10" fontId="32" fillId="0" borderId="0" xfId="6" applyNumberFormat="1" applyFont="1" applyAlignment="1" applyProtection="1">
      <alignment horizontal="center" vertical="center"/>
    </xf>
    <xf numFmtId="164" fontId="20" fillId="3" borderId="31" xfId="6" applyNumberFormat="1" applyFont="1" applyFill="1" applyBorder="1" applyAlignment="1" applyProtection="1">
      <alignment horizontal="center" vertical="center" wrapText="1"/>
    </xf>
    <xf numFmtId="164" fontId="20" fillId="3" borderId="6" xfId="6" applyNumberFormat="1" applyFont="1" applyFill="1" applyBorder="1" applyAlignment="1" applyProtection="1">
      <alignment horizontal="center" vertical="center" wrapText="1"/>
    </xf>
    <xf numFmtId="10" fontId="20" fillId="3" borderId="3" xfId="6" applyNumberFormat="1" applyFont="1" applyFill="1" applyBorder="1" applyAlignment="1" applyProtection="1">
      <alignment horizontal="center" vertical="center" wrapText="1"/>
    </xf>
    <xf numFmtId="164" fontId="20" fillId="3" borderId="3" xfId="6" applyNumberFormat="1" applyFont="1" applyFill="1" applyBorder="1" applyAlignment="1" applyProtection="1">
      <alignment horizontal="center" vertical="center" wrapText="1"/>
    </xf>
    <xf numFmtId="9" fontId="20" fillId="0" borderId="2" xfId="34" applyNumberFormat="1" applyFont="1" applyBorder="1" applyAlignment="1" applyProtection="1">
      <alignment horizontal="center" vertical="center" wrapText="1"/>
    </xf>
    <xf numFmtId="4" fontId="45" fillId="18" borderId="2" xfId="0" applyNumberFormat="1" applyFont="1" applyFill="1" applyBorder="1" applyAlignment="1" applyProtection="1">
      <alignment horizontal="center" vertical="center" wrapText="1"/>
    </xf>
    <xf numFmtId="3" fontId="45" fillId="18" borderId="2" xfId="0" applyNumberFormat="1" applyFont="1" applyFill="1" applyBorder="1" applyAlignment="1" applyProtection="1">
      <alignment horizontal="center" vertical="center" wrapText="1"/>
    </xf>
    <xf numFmtId="166" fontId="45" fillId="18" borderId="2" xfId="0" applyNumberFormat="1" applyFont="1" applyFill="1" applyBorder="1" applyAlignment="1" applyProtection="1">
      <alignment horizontal="center" vertical="center" wrapText="1"/>
    </xf>
    <xf numFmtId="3" fontId="20" fillId="18" borderId="2" xfId="34" applyNumberFormat="1" applyFont="1" applyFill="1" applyBorder="1" applyAlignment="1" applyProtection="1">
      <alignment horizontal="center" vertical="center" wrapText="1"/>
    </xf>
    <xf numFmtId="164" fontId="21" fillId="18" borderId="31" xfId="34" applyNumberFormat="1" applyFont="1" applyFill="1" applyBorder="1" applyAlignment="1" applyProtection="1">
      <alignment horizontal="center" vertical="center" wrapText="1"/>
    </xf>
    <xf numFmtId="3" fontId="20" fillId="0" borderId="2" xfId="34" applyNumberFormat="1" applyFont="1" applyBorder="1" applyAlignment="1" applyProtection="1">
      <alignment horizontal="center" vertical="center" wrapText="1"/>
    </xf>
    <xf numFmtId="10" fontId="20" fillId="0" borderId="31" xfId="6" applyNumberFormat="1" applyFont="1" applyBorder="1" applyAlignment="1" applyProtection="1">
      <alignment horizontal="center" vertical="center" wrapText="1"/>
    </xf>
    <xf numFmtId="10" fontId="21" fillId="0" borderId="31" xfId="34" applyNumberFormat="1" applyFont="1" applyBorder="1" applyAlignment="1" applyProtection="1">
      <alignment horizontal="center" vertical="center" wrapText="1"/>
    </xf>
    <xf numFmtId="0" fontId="20" fillId="0" borderId="31" xfId="0" applyFont="1" applyFill="1" applyBorder="1" applyAlignment="1" applyProtection="1">
      <alignment horizontal="center" vertical="center" wrapText="1"/>
    </xf>
    <xf numFmtId="9" fontId="20" fillId="3" borderId="2" xfId="20" applyNumberFormat="1" applyFont="1" applyFill="1" applyBorder="1" applyAlignment="1" applyProtection="1">
      <alignment horizontal="center" vertical="center" wrapText="1"/>
    </xf>
    <xf numFmtId="164" fontId="20" fillId="3" borderId="2" xfId="20" applyNumberFormat="1" applyFont="1" applyFill="1" applyBorder="1" applyAlignment="1" applyProtection="1">
      <alignment horizontal="center" vertical="center" wrapText="1"/>
    </xf>
    <xf numFmtId="164" fontId="20" fillId="3" borderId="31" xfId="20" applyNumberFormat="1" applyFont="1" applyFill="1" applyBorder="1" applyAlignment="1" applyProtection="1">
      <alignment horizontal="center" vertical="center" wrapText="1"/>
    </xf>
    <xf numFmtId="1" fontId="39" fillId="3" borderId="3" xfId="5" applyNumberFormat="1" applyFont="1" applyFill="1" applyBorder="1" applyAlignment="1" applyProtection="1">
      <alignment horizontal="center" vertical="center" wrapText="1"/>
    </xf>
    <xf numFmtId="4" fontId="20" fillId="3" borderId="31" xfId="20" applyNumberFormat="1" applyFont="1" applyFill="1" applyBorder="1" applyAlignment="1" applyProtection="1">
      <alignment horizontal="center" vertical="center" wrapText="1"/>
    </xf>
    <xf numFmtId="0" fontId="62" fillId="0" borderId="53" xfId="0" applyFont="1" applyBorder="1" applyAlignment="1" applyProtection="1">
      <alignment horizontal="left" vertical="center"/>
    </xf>
    <xf numFmtId="0" fontId="62" fillId="0" borderId="52" xfId="0" applyFont="1" applyBorder="1" applyAlignment="1" applyProtection="1">
      <alignment horizontal="center" vertical="center"/>
    </xf>
    <xf numFmtId="0" fontId="62" fillId="0" borderId="51" xfId="0" applyFont="1" applyBorder="1" applyAlignment="1" applyProtection="1">
      <alignment horizontal="right" vertical="center"/>
    </xf>
    <xf numFmtId="0" fontId="62" fillId="0" borderId="1" xfId="0" applyFont="1" applyBorder="1" applyAlignment="1" applyProtection="1">
      <alignment vertical="center"/>
    </xf>
    <xf numFmtId="0" fontId="35" fillId="0" borderId="3" xfId="0" applyFont="1" applyBorder="1" applyAlignment="1">
      <alignment vertical="center"/>
    </xf>
    <xf numFmtId="0" fontId="35" fillId="0" borderId="3" xfId="0" applyFont="1" applyBorder="1" applyAlignment="1">
      <alignment vertical="center" wrapText="1"/>
    </xf>
    <xf numFmtId="0" fontId="35" fillId="0" borderId="5" xfId="0" applyFont="1" applyBorder="1" applyAlignment="1">
      <alignment horizontal="center" vertical="center"/>
    </xf>
    <xf numFmtId="0" fontId="35" fillId="0" borderId="5" xfId="0" applyFont="1" applyBorder="1" applyAlignment="1">
      <alignment vertical="center" wrapText="1"/>
    </xf>
    <xf numFmtId="0" fontId="35" fillId="0" borderId="5" xfId="0" applyFont="1" applyBorder="1" applyAlignment="1">
      <alignment horizontal="center" vertical="center" wrapText="1"/>
    </xf>
    <xf numFmtId="0" fontId="0" fillId="0" borderId="2" xfId="0" applyBorder="1" applyAlignment="1">
      <alignment horizontal="center" vertical="center"/>
    </xf>
    <xf numFmtId="0" fontId="8" fillId="7" borderId="2" xfId="0" applyFont="1" applyFill="1" applyBorder="1" applyAlignment="1">
      <alignment horizontal="justify" vertical="center"/>
    </xf>
    <xf numFmtId="0" fontId="0" fillId="0" borderId="2" xfId="0" applyBorder="1" applyAlignment="1">
      <alignment horizontal="justify" vertical="center" wrapText="1"/>
    </xf>
    <xf numFmtId="9" fontId="40" fillId="0" borderId="2" xfId="0" applyNumberFormat="1" applyFont="1" applyBorder="1" applyAlignment="1">
      <alignment horizontal="center" vertical="center"/>
    </xf>
    <xf numFmtId="1" fontId="8" fillId="0" borderId="2" xfId="0" applyNumberFormat="1" applyFont="1" applyBorder="1" applyAlignment="1">
      <alignment horizontal="center" vertical="center"/>
    </xf>
    <xf numFmtId="1" fontId="40" fillId="24" borderId="2" xfId="0" applyNumberFormat="1" applyFont="1" applyFill="1" applyBorder="1" applyAlignment="1" applyProtection="1">
      <alignment horizontal="center" vertical="center"/>
      <protection hidden="1"/>
    </xf>
    <xf numFmtId="1" fontId="40" fillId="0" borderId="2" xfId="0" applyNumberFormat="1" applyFont="1" applyBorder="1" applyAlignment="1">
      <alignment horizontal="center" vertical="center"/>
    </xf>
    <xf numFmtId="0" fontId="8" fillId="25" borderId="2" xfId="0" applyFont="1" applyFill="1" applyBorder="1" applyAlignment="1">
      <alignment horizontal="justify" vertical="center"/>
    </xf>
    <xf numFmtId="0" fontId="8" fillId="0" borderId="2" xfId="0" applyFont="1" applyBorder="1" applyAlignment="1">
      <alignment horizontal="center" vertical="center"/>
    </xf>
    <xf numFmtId="0" fontId="0" fillId="26" borderId="2" xfId="0" applyFill="1" applyBorder="1" applyAlignment="1">
      <alignment horizontal="justify" vertical="center"/>
    </xf>
    <xf numFmtId="0" fontId="0" fillId="7" borderId="2" xfId="0" applyFill="1" applyBorder="1" applyAlignment="1">
      <alignment horizontal="justify" vertical="center"/>
    </xf>
    <xf numFmtId="0" fontId="0" fillId="25" borderId="2" xfId="0" applyFill="1" applyBorder="1" applyAlignment="1">
      <alignment horizontal="justify" vertical="center"/>
    </xf>
    <xf numFmtId="0" fontId="0" fillId="0" borderId="2" xfId="0" applyBorder="1" applyAlignment="1">
      <alignment horizontal="justify" vertical="center"/>
    </xf>
    <xf numFmtId="0" fontId="0" fillId="0" borderId="0" xfId="0" applyAlignment="1">
      <alignment horizontal="center" vertical="center"/>
    </xf>
    <xf numFmtId="0" fontId="0" fillId="0" borderId="0" xfId="0" applyAlignment="1">
      <alignment horizontal="justify" vertical="center"/>
    </xf>
    <xf numFmtId="0" fontId="0" fillId="0" borderId="0" xfId="0" applyAlignment="1">
      <alignment horizontal="justify" vertical="center" wrapText="1"/>
    </xf>
    <xf numFmtId="9" fontId="0" fillId="0" borderId="2" xfId="0" applyNumberFormat="1" applyBorder="1" applyAlignment="1">
      <alignment horizontal="justify" vertical="center"/>
    </xf>
    <xf numFmtId="0" fontId="8" fillId="0" borderId="2" xfId="0" applyFont="1" applyBorder="1" applyAlignment="1">
      <alignment horizontal="justify" vertical="center"/>
    </xf>
    <xf numFmtId="3" fontId="0" fillId="0" borderId="2" xfId="0" applyNumberFormat="1" applyBorder="1" applyAlignment="1">
      <alignment horizontal="center" vertical="center"/>
    </xf>
    <xf numFmtId="9" fontId="0" fillId="0" borderId="2" xfId="0" applyNumberFormat="1" applyBorder="1" applyAlignment="1">
      <alignment horizontal="center" vertical="center"/>
    </xf>
    <xf numFmtId="4" fontId="0" fillId="0" borderId="2" xfId="0" applyNumberFormat="1" applyBorder="1" applyAlignment="1">
      <alignment horizontal="center" vertical="center"/>
    </xf>
    <xf numFmtId="0" fontId="8" fillId="0" borderId="2" xfId="0" applyFont="1" applyBorder="1" applyAlignment="1">
      <alignment horizontal="center" vertical="center" wrapText="1"/>
    </xf>
    <xf numFmtId="9" fontId="0" fillId="0" borderId="2" xfId="6" applyFont="1" applyBorder="1" applyAlignment="1">
      <alignment horizontal="center" vertical="center"/>
    </xf>
    <xf numFmtId="0" fontId="66" fillId="0" borderId="2" xfId="0" applyFont="1" applyBorder="1" applyAlignment="1">
      <alignment horizontal="justify" vertical="center"/>
    </xf>
    <xf numFmtId="3" fontId="8" fillId="0" borderId="2" xfId="0" applyNumberFormat="1" applyFont="1" applyBorder="1" applyAlignment="1" applyProtection="1">
      <alignment horizontal="center" vertical="center" wrapText="1"/>
    </xf>
    <xf numFmtId="1" fontId="0" fillId="0" borderId="2" xfId="0" applyNumberFormat="1" applyBorder="1" applyAlignment="1">
      <alignment horizontal="center" vertical="center"/>
    </xf>
    <xf numFmtId="0" fontId="66" fillId="0" borderId="2" xfId="0" applyFont="1" applyBorder="1" applyAlignment="1">
      <alignment horizontal="justify" vertical="center" wrapText="1"/>
    </xf>
    <xf numFmtId="0" fontId="0" fillId="3" borderId="2" xfId="0" applyFill="1" applyBorder="1" applyAlignment="1">
      <alignment horizontal="justify" vertical="center"/>
    </xf>
    <xf numFmtId="0" fontId="66" fillId="0" borderId="0" xfId="0" applyFont="1" applyAlignment="1">
      <alignment horizontal="justify" vertical="center"/>
    </xf>
    <xf numFmtId="0" fontId="8" fillId="0" borderId="1" xfId="9"/>
    <xf numFmtId="0" fontId="20" fillId="0" borderId="2" xfId="34" applyFont="1" applyBorder="1" applyAlignment="1" applyProtection="1">
      <alignment horizontal="left" vertical="center" wrapText="1"/>
    </xf>
    <xf numFmtId="0" fontId="23" fillId="0" borderId="6" xfId="34" applyFont="1" applyBorder="1" applyAlignment="1" applyProtection="1">
      <alignment horizontal="left" vertical="center" wrapText="1"/>
    </xf>
    <xf numFmtId="0" fontId="50" fillId="0" borderId="1" xfId="52" applyFont="1" applyAlignment="1" applyProtection="1">
      <alignment horizontal="center" vertical="center" wrapText="1"/>
      <protection hidden="1"/>
    </xf>
    <xf numFmtId="0" fontId="50" fillId="0" borderId="1" xfId="52" applyFont="1" applyFill="1" applyAlignment="1" applyProtection="1">
      <alignment horizontal="center" vertical="center" wrapText="1"/>
      <protection hidden="1"/>
    </xf>
    <xf numFmtId="0" fontId="67" fillId="0" borderId="1" xfId="52" applyFont="1" applyProtection="1">
      <protection hidden="1"/>
    </xf>
    <xf numFmtId="49" fontId="67" fillId="0" borderId="1" xfId="52" applyNumberFormat="1" applyFont="1" applyProtection="1">
      <protection hidden="1"/>
    </xf>
    <xf numFmtId="0" fontId="67" fillId="0" borderId="1" xfId="52" applyFont="1" applyAlignment="1" applyProtection="1">
      <alignment horizontal="center" vertical="center"/>
      <protection hidden="1"/>
    </xf>
    <xf numFmtId="0" fontId="67" fillId="0" borderId="1" xfId="52" applyFont="1" applyFill="1" applyAlignment="1" applyProtection="1">
      <alignment horizontal="left" vertical="center"/>
      <protection hidden="1"/>
    </xf>
    <xf numFmtId="0" fontId="4" fillId="0" borderId="1" xfId="52" applyProtection="1">
      <protection hidden="1"/>
    </xf>
    <xf numFmtId="0" fontId="68" fillId="0" borderId="1" xfId="9" applyFont="1" applyProtection="1">
      <protection hidden="1"/>
    </xf>
    <xf numFmtId="0" fontId="50" fillId="0" borderId="1" xfId="52" applyFont="1" applyProtection="1">
      <protection hidden="1"/>
    </xf>
    <xf numFmtId="0" fontId="67" fillId="0" borderId="1" xfId="52" applyFont="1" applyFill="1" applyBorder="1" applyProtection="1">
      <protection hidden="1"/>
    </xf>
    <xf numFmtId="0" fontId="67" fillId="0" borderId="1" xfId="52" applyFont="1" applyFill="1" applyBorder="1" applyAlignment="1" applyProtection="1">
      <alignment horizontal="center" vertical="center"/>
      <protection hidden="1"/>
    </xf>
    <xf numFmtId="0" fontId="24" fillId="0" borderId="0" xfId="0" applyFont="1" applyProtection="1">
      <protection hidden="1"/>
    </xf>
    <xf numFmtId="0" fontId="24" fillId="0" borderId="1" xfId="0" applyFont="1" applyBorder="1" applyAlignment="1" applyProtection="1">
      <alignment horizontal="center" vertical="center"/>
      <protection hidden="1"/>
    </xf>
    <xf numFmtId="0" fontId="24" fillId="0" borderId="1" xfId="0" applyFont="1" applyBorder="1" applyProtection="1">
      <protection hidden="1"/>
    </xf>
    <xf numFmtId="0" fontId="24" fillId="0" borderId="0" xfId="0" applyFont="1" applyAlignment="1" applyProtection="1">
      <alignment horizontal="justify" vertical="center"/>
      <protection hidden="1"/>
    </xf>
    <xf numFmtId="0" fontId="11" fillId="0" borderId="1" xfId="0" applyFont="1" applyBorder="1" applyAlignment="1" applyProtection="1">
      <alignment horizontal="justify" vertical="center"/>
      <protection hidden="1"/>
    </xf>
    <xf numFmtId="0" fontId="43" fillId="0" borderId="1" xfId="0" applyFont="1" applyBorder="1" applyAlignment="1" applyProtection="1">
      <alignment horizontal="justify" vertical="center"/>
      <protection hidden="1"/>
    </xf>
    <xf numFmtId="0" fontId="69" fillId="0" borderId="0" xfId="0" applyFont="1" applyProtection="1">
      <protection hidden="1"/>
    </xf>
    <xf numFmtId="0" fontId="24" fillId="0" borderId="0" xfId="0" applyFont="1" applyAlignment="1" applyProtection="1">
      <alignment horizontal="center" vertical="center"/>
      <protection hidden="1"/>
    </xf>
    <xf numFmtId="0" fontId="24" fillId="0" borderId="58" xfId="0" applyFont="1" applyBorder="1" applyProtection="1">
      <protection hidden="1"/>
    </xf>
    <xf numFmtId="0" fontId="24" fillId="0" borderId="5" xfId="0" applyFont="1" applyBorder="1" applyAlignment="1" applyProtection="1">
      <alignment horizontal="center" vertical="center"/>
      <protection hidden="1"/>
    </xf>
    <xf numFmtId="164" fontId="24" fillId="0" borderId="2" xfId="0" applyNumberFormat="1" applyFont="1" applyBorder="1" applyAlignment="1" applyProtection="1">
      <alignment horizontal="center" vertical="center" wrapText="1"/>
      <protection hidden="1"/>
    </xf>
    <xf numFmtId="164" fontId="24" fillId="0" borderId="1" xfId="0" applyNumberFormat="1" applyFont="1" applyBorder="1" applyAlignment="1" applyProtection="1">
      <alignment horizontal="center" vertical="center" wrapText="1"/>
      <protection hidden="1"/>
    </xf>
    <xf numFmtId="0" fontId="24" fillId="0" borderId="40" xfId="0" applyFont="1" applyBorder="1" applyProtection="1">
      <protection hidden="1"/>
    </xf>
    <xf numFmtId="0" fontId="24" fillId="0" borderId="59" xfId="0" applyFont="1" applyBorder="1" applyProtection="1">
      <protection hidden="1"/>
    </xf>
    <xf numFmtId="164" fontId="25" fillId="0" borderId="1" xfId="0" applyNumberFormat="1" applyFont="1" applyBorder="1" applyAlignment="1" applyProtection="1">
      <alignment horizontal="center" vertical="center" wrapText="1"/>
      <protection hidden="1"/>
    </xf>
    <xf numFmtId="0" fontId="20" fillId="0" borderId="0" xfId="0" applyFont="1" applyProtection="1">
      <protection hidden="1"/>
    </xf>
    <xf numFmtId="0" fontId="20" fillId="0" borderId="0" xfId="0" applyFont="1" applyAlignment="1" applyProtection="1">
      <alignment horizontal="center" vertical="center"/>
      <protection hidden="1"/>
    </xf>
    <xf numFmtId="0" fontId="20" fillId="0" borderId="0" xfId="0" applyFont="1" applyAlignment="1" applyProtection="1">
      <alignment horizontal="justify" vertical="center"/>
      <protection hidden="1"/>
    </xf>
    <xf numFmtId="0" fontId="11" fillId="28" borderId="0" xfId="0" applyFont="1" applyFill="1" applyProtection="1">
      <protection hidden="1"/>
    </xf>
    <xf numFmtId="3" fontId="24" fillId="0" borderId="2" xfId="0" applyNumberFormat="1" applyFont="1" applyBorder="1" applyAlignment="1" applyProtection="1">
      <alignment horizontal="center" vertical="center"/>
      <protection hidden="1"/>
    </xf>
    <xf numFmtId="0" fontId="24" fillId="0" borderId="2" xfId="0" applyFont="1" applyBorder="1" applyAlignment="1" applyProtection="1">
      <alignment horizontal="justify" vertical="center" wrapText="1"/>
      <protection hidden="1"/>
    </xf>
    <xf numFmtId="0" fontId="24" fillId="0" borderId="2" xfId="0" applyFont="1" applyBorder="1" applyAlignment="1" applyProtection="1">
      <alignment horizontal="center" vertical="center" wrapText="1"/>
      <protection hidden="1"/>
    </xf>
    <xf numFmtId="166" fontId="24" fillId="0" borderId="2" xfId="0" applyNumberFormat="1" applyFont="1" applyBorder="1" applyAlignment="1" applyProtection="1">
      <alignment horizontal="center" vertical="center"/>
      <protection hidden="1"/>
    </xf>
    <xf numFmtId="164" fontId="24" fillId="0" borderId="2" xfId="8" applyNumberFormat="1" applyFont="1" applyFill="1" applyBorder="1" applyAlignment="1" applyProtection="1">
      <alignment horizontal="center" vertical="center" wrapText="1"/>
      <protection hidden="1"/>
    </xf>
    <xf numFmtId="164" fontId="24" fillId="0" borderId="2" xfId="8" applyNumberFormat="1" applyFont="1" applyFill="1" applyBorder="1" applyAlignment="1" applyProtection="1">
      <alignment horizontal="center" vertical="center"/>
      <protection hidden="1"/>
    </xf>
    <xf numFmtId="164" fontId="25" fillId="0" borderId="2" xfId="0" applyNumberFormat="1" applyFont="1" applyBorder="1" applyAlignment="1" applyProtection="1">
      <alignment horizontal="center" vertical="center" wrapText="1"/>
      <protection hidden="1"/>
    </xf>
    <xf numFmtId="0" fontId="25" fillId="28" borderId="0" xfId="0" applyFont="1" applyFill="1" applyProtection="1">
      <protection hidden="1"/>
    </xf>
    <xf numFmtId="9" fontId="24" fillId="0" borderId="2" xfId="0" applyNumberFormat="1" applyFont="1" applyBorder="1" applyAlignment="1" applyProtection="1">
      <alignment horizontal="center" vertical="center" wrapText="1"/>
      <protection hidden="1"/>
    </xf>
    <xf numFmtId="9" fontId="40" fillId="0" borderId="2" xfId="0" applyNumberFormat="1" applyFont="1" applyBorder="1" applyAlignment="1" applyProtection="1">
      <alignment horizontal="center" vertical="center" wrapText="1"/>
      <protection hidden="1"/>
    </xf>
    <xf numFmtId="0" fontId="11" fillId="0" borderId="0" xfId="0" applyFont="1" applyProtection="1">
      <protection hidden="1"/>
    </xf>
    <xf numFmtId="164" fontId="24" fillId="3" borderId="2" xfId="0" applyNumberFormat="1" applyFont="1" applyFill="1" applyBorder="1" applyAlignment="1" applyProtection="1">
      <alignment horizontal="center" vertical="center" wrapText="1"/>
      <protection hidden="1"/>
    </xf>
    <xf numFmtId="164" fontId="24" fillId="0" borderId="0" xfId="0" applyNumberFormat="1" applyFont="1" applyProtection="1">
      <protection hidden="1"/>
    </xf>
    <xf numFmtId="9" fontId="25" fillId="0" borderId="1" xfId="0" applyNumberFormat="1" applyFont="1" applyBorder="1" applyAlignment="1" applyProtection="1">
      <alignment horizontal="center" vertical="center" wrapText="1"/>
      <protection hidden="1"/>
    </xf>
    <xf numFmtId="9" fontId="24" fillId="0" borderId="6" xfId="0" applyNumberFormat="1" applyFont="1" applyBorder="1" applyAlignment="1" applyProtection="1">
      <alignment horizontal="center" vertical="center" wrapText="1"/>
      <protection hidden="1"/>
    </xf>
    <xf numFmtId="166" fontId="24" fillId="0" borderId="2" xfId="51" applyNumberFormat="1" applyFont="1" applyFill="1" applyBorder="1" applyAlignment="1" applyProtection="1">
      <alignment horizontal="center" vertical="center"/>
      <protection hidden="1"/>
    </xf>
    <xf numFmtId="166" fontId="24" fillId="0" borderId="0" xfId="0" applyNumberFormat="1" applyFont="1" applyProtection="1">
      <protection hidden="1"/>
    </xf>
    <xf numFmtId="164" fontId="40" fillId="0" borderId="2" xfId="8" applyNumberFormat="1" applyFont="1" applyFill="1" applyBorder="1" applyAlignment="1" applyProtection="1">
      <alignment horizontal="center" vertical="center" wrapText="1"/>
      <protection hidden="1"/>
    </xf>
    <xf numFmtId="9" fontId="24" fillId="0" borderId="2" xfId="8" applyFont="1" applyFill="1" applyBorder="1" applyAlignment="1" applyProtection="1">
      <alignment horizontal="center" vertical="center" wrapText="1"/>
      <protection hidden="1"/>
    </xf>
    <xf numFmtId="164" fontId="40" fillId="0" borderId="2" xfId="0" applyNumberFormat="1" applyFont="1" applyBorder="1" applyAlignment="1" applyProtection="1">
      <alignment horizontal="center" vertical="center" wrapText="1"/>
      <protection hidden="1"/>
    </xf>
    <xf numFmtId="164" fontId="24" fillId="0" borderId="1" xfId="8" applyNumberFormat="1" applyFont="1" applyFill="1" applyProtection="1">
      <protection hidden="1"/>
    </xf>
    <xf numFmtId="9" fontId="24" fillId="0" borderId="1" xfId="8" applyFont="1" applyFill="1" applyProtection="1">
      <protection hidden="1"/>
    </xf>
    <xf numFmtId="43" fontId="24" fillId="0" borderId="0" xfId="5" applyFont="1" applyFill="1" applyProtection="1">
      <protection hidden="1"/>
    </xf>
    <xf numFmtId="10" fontId="25" fillId="0" borderId="2" xfId="0" applyNumberFormat="1" applyFont="1" applyBorder="1" applyAlignment="1" applyProtection="1">
      <alignment horizontal="center" vertical="center" wrapText="1"/>
      <protection hidden="1"/>
    </xf>
    <xf numFmtId="9" fontId="24" fillId="0" borderId="2" xfId="0" applyNumberFormat="1" applyFont="1" applyBorder="1" applyAlignment="1" applyProtection="1">
      <alignment horizontal="justify" vertical="center" wrapText="1"/>
      <protection hidden="1"/>
    </xf>
    <xf numFmtId="0" fontId="25" fillId="0" borderId="1" xfId="0" applyFont="1" applyBorder="1" applyAlignment="1" applyProtection="1">
      <alignment horizontal="center"/>
      <protection hidden="1"/>
    </xf>
    <xf numFmtId="3" fontId="24" fillId="0" borderId="2" xfId="51" applyNumberFormat="1" applyFont="1" applyFill="1" applyBorder="1" applyAlignment="1" applyProtection="1">
      <alignment horizontal="center" vertical="center"/>
      <protection hidden="1"/>
    </xf>
    <xf numFmtId="0" fontId="43" fillId="0" borderId="1" xfId="0" applyFont="1" applyBorder="1" applyAlignment="1" applyProtection="1">
      <protection hidden="1"/>
    </xf>
    <xf numFmtId="0" fontId="69" fillId="0" borderId="0" xfId="0" applyFont="1" applyAlignment="1" applyProtection="1">
      <alignment horizontal="justify" vertical="center"/>
      <protection hidden="1"/>
    </xf>
    <xf numFmtId="0" fontId="11" fillId="28" borderId="0" xfId="0" applyFont="1" applyFill="1" applyAlignment="1" applyProtection="1">
      <alignment horizontal="justify" vertical="center"/>
      <protection hidden="1"/>
    </xf>
    <xf numFmtId="0" fontId="25" fillId="28" borderId="0" xfId="0" applyFont="1" applyFill="1" applyAlignment="1" applyProtection="1">
      <alignment horizontal="justify" vertical="center"/>
      <protection hidden="1"/>
    </xf>
    <xf numFmtId="0" fontId="11" fillId="0" borderId="0" xfId="0" applyFont="1" applyAlignment="1" applyProtection="1">
      <alignment horizontal="justify" vertical="center"/>
      <protection hidden="1"/>
    </xf>
    <xf numFmtId="0" fontId="25" fillId="0" borderId="1" xfId="0" applyFont="1" applyBorder="1" applyAlignment="1" applyProtection="1">
      <alignment horizontal="justify" vertical="center"/>
      <protection hidden="1"/>
    </xf>
    <xf numFmtId="9" fontId="24" fillId="0" borderId="2" xfId="6" applyFont="1" applyBorder="1" applyAlignment="1" applyProtection="1">
      <alignment horizontal="center" vertical="center"/>
      <protection hidden="1"/>
    </xf>
    <xf numFmtId="3" fontId="24" fillId="0" borderId="55" xfId="0" applyNumberFormat="1" applyFont="1" applyBorder="1" applyAlignment="1" applyProtection="1">
      <alignment horizontal="center" vertical="center"/>
      <protection hidden="1"/>
    </xf>
    <xf numFmtId="0" fontId="14" fillId="0" borderId="1" xfId="0" applyFont="1" applyBorder="1" applyAlignment="1" applyProtection="1">
      <alignment vertical="center"/>
      <protection hidden="1"/>
    </xf>
    <xf numFmtId="0" fontId="11" fillId="0" borderId="1" xfId="0" applyFont="1" applyBorder="1" applyAlignment="1" applyProtection="1">
      <alignment vertical="center"/>
      <protection hidden="1"/>
    </xf>
    <xf numFmtId="164" fontId="40" fillId="3" borderId="2" xfId="0" applyNumberFormat="1" applyFont="1" applyFill="1" applyBorder="1" applyAlignment="1" applyProtection="1">
      <alignment horizontal="center" vertical="center" wrapText="1"/>
      <protection hidden="1"/>
    </xf>
    <xf numFmtId="0" fontId="20" fillId="0" borderId="1" xfId="0" applyFont="1" applyBorder="1" applyProtection="1">
      <protection hidden="1"/>
    </xf>
    <xf numFmtId="9" fontId="24" fillId="0" borderId="2" xfId="6" applyFont="1" applyFill="1" applyBorder="1" applyAlignment="1" applyProtection="1">
      <alignment horizontal="center" vertical="center"/>
      <protection hidden="1"/>
    </xf>
    <xf numFmtId="9" fontId="40" fillId="0" borderId="2" xfId="8" applyFont="1" applyFill="1" applyBorder="1" applyAlignment="1" applyProtection="1">
      <alignment horizontal="center" vertical="center" wrapText="1"/>
      <protection hidden="1"/>
    </xf>
    <xf numFmtId="4" fontId="24" fillId="0" borderId="2" xfId="51" applyNumberFormat="1" applyFont="1" applyFill="1" applyBorder="1" applyAlignment="1" applyProtection="1">
      <alignment horizontal="center" vertical="center"/>
      <protection hidden="1"/>
    </xf>
    <xf numFmtId="0" fontId="24" fillId="0" borderId="0" xfId="0" applyFont="1"/>
    <xf numFmtId="0" fontId="24" fillId="0" borderId="1" xfId="0" applyFont="1" applyBorder="1" applyAlignment="1">
      <alignment horizontal="center" vertical="center"/>
    </xf>
    <xf numFmtId="0" fontId="24" fillId="0" borderId="0" xfId="0" applyFont="1" applyAlignment="1">
      <alignment horizontal="center" vertical="center"/>
    </xf>
    <xf numFmtId="0" fontId="70" fillId="0" borderId="0" xfId="0" applyFont="1"/>
    <xf numFmtId="0" fontId="25" fillId="0" borderId="1" xfId="0" applyFont="1" applyBorder="1" applyAlignment="1">
      <alignment horizontal="center" vertical="center" wrapText="1"/>
    </xf>
    <xf numFmtId="0" fontId="24" fillId="0" borderId="2" xfId="0" applyFont="1" applyBorder="1"/>
    <xf numFmtId="164" fontId="24" fillId="0" borderId="2" xfId="0"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164" fontId="24" fillId="0" borderId="1" xfId="0" applyNumberFormat="1" applyFont="1" applyBorder="1" applyAlignment="1">
      <alignment horizontal="center" vertical="center" wrapText="1"/>
    </xf>
    <xf numFmtId="0" fontId="24" fillId="0" borderId="3" xfId="0" applyFont="1" applyBorder="1"/>
    <xf numFmtId="0" fontId="25" fillId="0" borderId="60" xfId="0" applyFont="1" applyBorder="1"/>
    <xf numFmtId="9" fontId="25" fillId="0" borderId="1" xfId="0" applyNumberFormat="1" applyFont="1" applyBorder="1" applyAlignment="1">
      <alignment horizontal="center" vertical="center" wrapText="1"/>
    </xf>
    <xf numFmtId="0" fontId="20" fillId="0" borderId="0" xfId="0" applyFont="1"/>
    <xf numFmtId="0" fontId="20" fillId="0" borderId="0" xfId="0" applyFont="1" applyAlignment="1">
      <alignment horizontal="center" vertical="center"/>
    </xf>
    <xf numFmtId="0" fontId="25" fillId="25" borderId="2" xfId="0" applyFont="1" applyFill="1" applyBorder="1" applyAlignment="1">
      <alignment horizontal="center" vertical="center" wrapText="1"/>
    </xf>
    <xf numFmtId="0" fontId="25" fillId="25" borderId="41" xfId="0" applyFont="1" applyFill="1" applyBorder="1" applyAlignment="1">
      <alignment horizontal="center" vertical="center" wrapText="1"/>
    </xf>
    <xf numFmtId="0" fontId="24" fillId="0" borderId="40" xfId="0" applyFont="1" applyBorder="1"/>
    <xf numFmtId="1" fontId="24" fillId="30" borderId="2" xfId="0" applyNumberFormat="1" applyFont="1" applyFill="1" applyBorder="1" applyAlignment="1">
      <alignment horizontal="center" vertical="center" wrapText="1"/>
    </xf>
    <xf numFmtId="1" fontId="24" fillId="30" borderId="41" xfId="0" applyNumberFormat="1" applyFont="1" applyFill="1" applyBorder="1" applyAlignment="1">
      <alignment horizontal="center" vertical="center" wrapText="1"/>
    </xf>
    <xf numFmtId="0" fontId="25" fillId="0" borderId="56" xfId="0" applyFont="1" applyBorder="1"/>
    <xf numFmtId="1" fontId="25" fillId="30" borderId="57" xfId="0" applyNumberFormat="1" applyFont="1" applyFill="1" applyBorder="1" applyAlignment="1">
      <alignment horizontal="center" vertical="center" wrapText="1"/>
    </xf>
    <xf numFmtId="1" fontId="25" fillId="30" borderId="63" xfId="0" applyNumberFormat="1" applyFont="1" applyFill="1" applyBorder="1" applyAlignment="1">
      <alignment horizontal="center" vertical="center" wrapText="1"/>
    </xf>
    <xf numFmtId="0" fontId="43" fillId="0" borderId="1" xfId="0" applyFont="1" applyBorder="1" applyAlignment="1">
      <alignment horizontal="center" vertical="center"/>
    </xf>
    <xf numFmtId="1" fontId="24" fillId="0" borderId="6" xfId="0" applyNumberFormat="1" applyFont="1" applyBorder="1" applyAlignment="1">
      <alignment horizontal="center" vertical="center"/>
    </xf>
    <xf numFmtId="1" fontId="24" fillId="0" borderId="0" xfId="0" applyNumberFormat="1" applyFont="1" applyAlignment="1">
      <alignment horizontal="center" vertical="center"/>
    </xf>
    <xf numFmtId="1" fontId="24" fillId="31" borderId="2" xfId="0" applyNumberFormat="1" applyFont="1" applyFill="1" applyBorder="1" applyAlignment="1">
      <alignment horizontal="center" vertical="center" wrapText="1"/>
    </xf>
    <xf numFmtId="1" fontId="24" fillId="32" borderId="2" xfId="0" applyNumberFormat="1" applyFont="1" applyFill="1" applyBorder="1" applyAlignment="1">
      <alignment horizontal="center" vertical="center" wrapText="1"/>
    </xf>
    <xf numFmtId="0" fontId="52" fillId="0" borderId="0" xfId="0" applyFont="1" applyAlignment="1" applyProtection="1">
      <alignment vertical="center" wrapText="1"/>
      <protection hidden="1"/>
    </xf>
    <xf numFmtId="0" fontId="25" fillId="0" borderId="1" xfId="0" applyFont="1" applyBorder="1" applyAlignment="1" applyProtection="1">
      <alignment horizontal="center" vertical="center"/>
      <protection hidden="1"/>
    </xf>
    <xf numFmtId="0" fontId="70" fillId="0" borderId="2" xfId="0" applyFont="1" applyBorder="1" applyProtection="1">
      <protection hidden="1"/>
    </xf>
    <xf numFmtId="0" fontId="35" fillId="0" borderId="2" xfId="0" applyFont="1" applyBorder="1" applyAlignment="1">
      <alignment horizontal="justify" vertical="center"/>
    </xf>
    <xf numFmtId="0" fontId="11" fillId="0" borderId="2" xfId="0" applyFont="1" applyBorder="1" applyAlignment="1">
      <alignment horizontal="center" vertical="center"/>
    </xf>
    <xf numFmtId="0" fontId="69" fillId="0" borderId="2" xfId="0" applyFont="1" applyBorder="1" applyAlignment="1" applyProtection="1">
      <alignment horizontal="center" vertical="center"/>
      <protection hidden="1"/>
    </xf>
    <xf numFmtId="0" fontId="0" fillId="0" borderId="2" xfId="0" applyBorder="1" applyAlignment="1">
      <alignment horizontal="center" vertical="center" wrapText="1"/>
    </xf>
    <xf numFmtId="0" fontId="11" fillId="0" borderId="8" xfId="0" applyFont="1" applyFill="1" applyBorder="1" applyAlignment="1">
      <alignment horizontal="center" vertical="center"/>
    </xf>
    <xf numFmtId="0" fontId="0" fillId="0" borderId="1" xfId="0" applyBorder="1"/>
    <xf numFmtId="0" fontId="24" fillId="0" borderId="2" xfId="0" applyFont="1" applyBorder="1" applyProtection="1">
      <protection hidden="1"/>
    </xf>
    <xf numFmtId="0" fontId="24" fillId="0" borderId="2" xfId="0" applyFont="1" applyBorder="1" applyAlignment="1" applyProtection="1">
      <alignment horizontal="center" vertical="center"/>
      <protection hidden="1"/>
    </xf>
    <xf numFmtId="0" fontId="25" fillId="0" borderId="2" xfId="0" applyFont="1" applyBorder="1"/>
    <xf numFmtId="1" fontId="25" fillId="30" borderId="2" xfId="0" applyNumberFormat="1" applyFont="1" applyFill="1" applyBorder="1" applyAlignment="1">
      <alignment horizontal="center" vertical="center" wrapText="1"/>
    </xf>
    <xf numFmtId="1" fontId="25" fillId="31" borderId="2" xfId="0" applyNumberFormat="1" applyFont="1" applyFill="1" applyBorder="1" applyAlignment="1">
      <alignment horizontal="center" vertical="center" wrapText="1"/>
    </xf>
    <xf numFmtId="1" fontId="25" fillId="32" borderId="2" xfId="0" applyNumberFormat="1" applyFont="1" applyFill="1" applyBorder="1" applyAlignment="1">
      <alignment horizontal="center" vertical="center" wrapText="1"/>
    </xf>
    <xf numFmtId="0" fontId="11" fillId="8" borderId="2" xfId="0" applyFont="1" applyFill="1" applyBorder="1" applyAlignment="1" applyProtection="1">
      <alignment horizontal="center" vertical="center" wrapText="1"/>
    </xf>
    <xf numFmtId="0" fontId="12" fillId="9" borderId="2" xfId="1" applyFont="1" applyFill="1" applyBorder="1" applyAlignment="1" applyProtection="1">
      <alignment horizontal="center" vertical="center" wrapText="1"/>
    </xf>
    <xf numFmtId="0" fontId="25" fillId="29" borderId="2" xfId="0" applyFont="1" applyFill="1" applyBorder="1" applyAlignment="1" applyProtection="1">
      <alignment horizontal="center" vertical="center" wrapText="1"/>
      <protection hidden="1"/>
    </xf>
    <xf numFmtId="0" fontId="25" fillId="0" borderId="2" xfId="0" applyFont="1" applyBorder="1" applyAlignment="1" applyProtection="1">
      <alignment horizontal="center"/>
      <protection hidden="1"/>
    </xf>
    <xf numFmtId="0" fontId="14" fillId="0" borderId="1" xfId="0" applyFont="1" applyBorder="1" applyAlignment="1" applyProtection="1">
      <alignment horizontal="center" vertical="center"/>
      <protection hidden="1"/>
    </xf>
    <xf numFmtId="0" fontId="11" fillId="0" borderId="1" xfId="0" applyFont="1" applyBorder="1" applyAlignment="1" applyProtection="1">
      <alignment horizontal="center" vertical="center"/>
      <protection hidden="1"/>
    </xf>
    <xf numFmtId="0" fontId="43" fillId="0" borderId="1" xfId="0" applyFont="1" applyBorder="1" applyAlignment="1" applyProtection="1">
      <alignment horizontal="center"/>
      <protection hidden="1"/>
    </xf>
    <xf numFmtId="0" fontId="11" fillId="0" borderId="1" xfId="0" applyFont="1" applyBorder="1" applyAlignment="1">
      <alignment horizontal="center" vertical="center"/>
    </xf>
    <xf numFmtId="0" fontId="25" fillId="25" borderId="2" xfId="0" applyFont="1" applyFill="1" applyBorder="1" applyAlignment="1">
      <alignment horizontal="center" vertical="center" wrapText="1"/>
    </xf>
    <xf numFmtId="0" fontId="12" fillId="0" borderId="2" xfId="1" applyFont="1" applyFill="1" applyBorder="1" applyAlignment="1" applyProtection="1">
      <alignment horizontal="center" vertical="center" wrapText="1"/>
    </xf>
    <xf numFmtId="0" fontId="20" fillId="0" borderId="3" xfId="0" applyFont="1" applyBorder="1" applyAlignment="1" applyProtection="1">
      <alignment horizontal="center" vertical="center" wrapText="1"/>
    </xf>
    <xf numFmtId="0" fontId="9" fillId="0" borderId="1" xfId="1" applyFont="1" applyBorder="1" applyAlignment="1" applyProtection="1">
      <alignment horizontal="left" vertical="center"/>
    </xf>
    <xf numFmtId="0" fontId="47" fillId="9" borderId="2" xfId="0" applyFont="1" applyFill="1" applyBorder="1" applyAlignment="1">
      <alignment horizontal="center" vertical="center" wrapText="1"/>
    </xf>
    <xf numFmtId="0" fontId="25" fillId="9" borderId="2" xfId="0" applyFont="1" applyFill="1" applyBorder="1" applyAlignment="1">
      <alignment horizontal="center" vertical="center"/>
    </xf>
    <xf numFmtId="0" fontId="25" fillId="9" borderId="2" xfId="0" applyFont="1" applyFill="1" applyBorder="1" applyAlignment="1">
      <alignment horizontal="center" vertical="center" wrapText="1"/>
    </xf>
    <xf numFmtId="164" fontId="8" fillId="0" borderId="2" xfId="0" applyNumberFormat="1" applyFont="1" applyFill="1" applyBorder="1" applyAlignment="1" applyProtection="1">
      <alignment horizontal="justify" vertical="center" wrapText="1"/>
      <protection hidden="1"/>
    </xf>
    <xf numFmtId="164" fontId="24" fillId="0" borderId="2" xfId="6" applyNumberFormat="1" applyFont="1" applyFill="1" applyBorder="1" applyAlignment="1" applyProtection="1">
      <alignment horizontal="center" vertical="center"/>
      <protection hidden="1"/>
    </xf>
    <xf numFmtId="0" fontId="9" fillId="0" borderId="1" xfId="1" applyFont="1" applyBorder="1" applyAlignment="1" applyProtection="1">
      <alignment horizontal="left" vertical="center"/>
    </xf>
    <xf numFmtId="0" fontId="20" fillId="0" borderId="1" xfId="1" applyFont="1" applyBorder="1" applyAlignment="1" applyProtection="1">
      <alignment horizontal="left" vertical="center"/>
    </xf>
    <xf numFmtId="164" fontId="22" fillId="4" borderId="9" xfId="3" applyNumberFormat="1" applyFont="1" applyFill="1" applyBorder="1" applyAlignment="1" applyProtection="1">
      <alignment horizontal="center" vertical="center"/>
    </xf>
    <xf numFmtId="164" fontId="24" fillId="0" borderId="0" xfId="6" applyNumberFormat="1" applyFont="1" applyProtection="1">
      <protection hidden="1"/>
    </xf>
    <xf numFmtId="10" fontId="24" fillId="0" borderId="0" xfId="6" applyNumberFormat="1" applyFont="1" applyProtection="1">
      <protection hidden="1"/>
    </xf>
    <xf numFmtId="43" fontId="24" fillId="0" borderId="0" xfId="5" applyFont="1" applyProtection="1">
      <protection hidden="1"/>
    </xf>
    <xf numFmtId="164" fontId="40" fillId="0" borderId="2" xfId="0" applyNumberFormat="1" applyFont="1" applyBorder="1" applyAlignment="1" applyProtection="1">
      <alignment horizontal="justify" vertical="center" wrapText="1"/>
      <protection hidden="1"/>
    </xf>
    <xf numFmtId="164" fontId="25" fillId="0" borderId="1" xfId="0" applyNumberFormat="1" applyFont="1" applyBorder="1" applyAlignment="1" applyProtection="1">
      <alignment horizontal="justify" vertical="center" wrapText="1"/>
      <protection hidden="1"/>
    </xf>
    <xf numFmtId="164" fontId="40" fillId="0" borderId="1" xfId="0" applyNumberFormat="1" applyFont="1" applyBorder="1" applyAlignment="1" applyProtection="1">
      <alignment horizontal="justify" vertical="center" wrapText="1"/>
      <protection hidden="1"/>
    </xf>
    <xf numFmtId="0" fontId="20" fillId="0" borderId="3" xfId="0" applyFont="1" applyBorder="1" applyAlignment="1" applyProtection="1">
      <alignment horizontal="center" vertical="center" wrapText="1"/>
    </xf>
    <xf numFmtId="0" fontId="20" fillId="0" borderId="3" xfId="0" applyFont="1" applyBorder="1" applyAlignment="1">
      <alignment horizontal="justify" vertical="center" wrapText="1"/>
    </xf>
    <xf numFmtId="9" fontId="22" fillId="4" borderId="49" xfId="3" applyFont="1" applyFill="1" applyBorder="1" applyAlignment="1" applyProtection="1">
      <alignment horizontal="center" vertical="center"/>
    </xf>
    <xf numFmtId="0" fontId="24" fillId="32" borderId="0" xfId="0" applyFont="1" applyFill="1"/>
    <xf numFmtId="0" fontId="67" fillId="0" borderId="0" xfId="0" applyFont="1"/>
    <xf numFmtId="0" fontId="24" fillId="23" borderId="0" xfId="0" applyFont="1" applyFill="1"/>
    <xf numFmtId="0" fontId="24" fillId="33" borderId="0" xfId="0" applyFont="1" applyFill="1"/>
    <xf numFmtId="0" fontId="20" fillId="3" borderId="65" xfId="34" applyFont="1" applyFill="1" applyBorder="1" applyAlignment="1" applyProtection="1">
      <alignment horizontal="left" vertical="center" wrapText="1"/>
    </xf>
    <xf numFmtId="0" fontId="20" fillId="3" borderId="65" xfId="34" applyFont="1" applyFill="1" applyBorder="1" applyAlignment="1" applyProtection="1">
      <alignment horizontal="center" vertical="center" wrapText="1"/>
    </xf>
    <xf numFmtId="9" fontId="20" fillId="3" borderId="2" xfId="0" applyNumberFormat="1" applyFont="1" applyFill="1" applyBorder="1" applyAlignment="1" applyProtection="1">
      <alignment horizontal="center" vertical="center" wrapText="1"/>
    </xf>
    <xf numFmtId="9" fontId="20" fillId="0" borderId="3" xfId="0" applyNumberFormat="1" applyFont="1" applyBorder="1" applyAlignment="1">
      <alignment horizontal="center" vertical="center" wrapText="1"/>
    </xf>
    <xf numFmtId="0" fontId="20" fillId="0" borderId="65" xfId="0" applyFont="1" applyBorder="1" applyAlignment="1">
      <alignment horizontal="justify" vertical="center" wrapText="1"/>
    </xf>
    <xf numFmtId="0" fontId="20" fillId="0" borderId="6" xfId="34" applyFont="1" applyBorder="1" applyAlignment="1">
      <alignment horizontal="justify" vertical="center" wrapText="1"/>
    </xf>
    <xf numFmtId="9" fontId="39" fillId="11" borderId="3" xfId="8" applyFont="1" applyFill="1" applyBorder="1" applyAlignment="1" applyProtection="1">
      <alignment horizontal="center" vertical="center"/>
    </xf>
    <xf numFmtId="0" fontId="20" fillId="2" borderId="3" xfId="1" applyFont="1" applyFill="1" applyBorder="1" applyAlignment="1" applyProtection="1">
      <alignment horizontal="center" vertical="center" wrapText="1"/>
      <protection locked="0"/>
    </xf>
    <xf numFmtId="0" fontId="20" fillId="0" borderId="2" xfId="34" applyFont="1" applyBorder="1" applyAlignment="1" applyProtection="1">
      <alignment horizontal="justify" vertical="center" wrapText="1"/>
      <protection locked="0"/>
    </xf>
    <xf numFmtId="0" fontId="20" fillId="3" borderId="6" xfId="34" applyFont="1" applyFill="1" applyBorder="1" applyAlignment="1" applyProtection="1">
      <alignment horizontal="left" vertical="center" wrapText="1"/>
      <protection locked="0"/>
    </xf>
    <xf numFmtId="0" fontId="20" fillId="3" borderId="6" xfId="34" applyFont="1" applyFill="1" applyBorder="1" applyAlignment="1" applyProtection="1">
      <alignment horizontal="center" vertical="center" wrapText="1"/>
      <protection locked="0"/>
    </xf>
    <xf numFmtId="0" fontId="20" fillId="0" borderId="3" xfId="34" applyFont="1" applyBorder="1" applyAlignment="1" applyProtection="1">
      <alignment horizontal="center" vertical="center" wrapText="1"/>
      <protection locked="0"/>
    </xf>
    <xf numFmtId="166" fontId="39" fillId="0" borderId="3" xfId="5" applyNumberFormat="1" applyFont="1" applyBorder="1" applyAlignment="1" applyProtection="1">
      <alignment horizontal="center" vertical="center" wrapText="1"/>
    </xf>
    <xf numFmtId="10" fontId="20" fillId="0" borderId="3" xfId="6" applyNumberFormat="1" applyFont="1" applyFill="1" applyBorder="1" applyAlignment="1" applyProtection="1">
      <alignment horizontal="center" vertical="center" wrapText="1"/>
    </xf>
    <xf numFmtId="0" fontId="23" fillId="0" borderId="0" xfId="0" applyFont="1" applyAlignment="1">
      <alignment vertical="center"/>
    </xf>
    <xf numFmtId="3" fontId="20" fillId="0" borderId="2" xfId="20" applyNumberFormat="1" applyFont="1" applyFill="1" applyBorder="1" applyAlignment="1" applyProtection="1">
      <alignment horizontal="center" vertical="center" wrapText="1"/>
    </xf>
    <xf numFmtId="4" fontId="20" fillId="18" borderId="2" xfId="0" applyNumberFormat="1" applyFont="1" applyFill="1" applyBorder="1" applyAlignment="1" applyProtection="1">
      <alignment horizontal="center" vertical="center" wrapText="1"/>
    </xf>
    <xf numFmtId="166" fontId="20" fillId="18" borderId="2" xfId="0" applyNumberFormat="1" applyFont="1" applyFill="1" applyBorder="1" applyAlignment="1" applyProtection="1">
      <alignment horizontal="center" vertical="center" wrapText="1"/>
    </xf>
    <xf numFmtId="164" fontId="56" fillId="5" borderId="3" xfId="6" applyNumberFormat="1" applyFont="1" applyFill="1" applyBorder="1" applyAlignment="1" applyProtection="1">
      <alignment horizontal="center" vertical="center"/>
    </xf>
    <xf numFmtId="10" fontId="20" fillId="18" borderId="6" xfId="6" applyNumberFormat="1" applyFont="1" applyFill="1" applyBorder="1" applyAlignment="1" applyProtection="1">
      <alignment horizontal="center" vertical="center" wrapText="1"/>
    </xf>
    <xf numFmtId="0" fontId="43" fillId="0" borderId="1" xfId="0" applyFont="1" applyBorder="1" applyAlignment="1">
      <alignment horizontal="center"/>
    </xf>
    <xf numFmtId="0" fontId="47" fillId="9" borderId="5" xfId="0" applyFont="1" applyFill="1" applyBorder="1" applyAlignment="1">
      <alignment horizontal="center" vertical="center" wrapText="1"/>
    </xf>
    <xf numFmtId="1" fontId="24" fillId="24" borderId="6" xfId="0" applyNumberFormat="1" applyFont="1" applyFill="1" applyBorder="1" applyAlignment="1">
      <alignment horizontal="center" vertical="center" wrapText="1"/>
    </xf>
    <xf numFmtId="1" fontId="25" fillId="24" borderId="6" xfId="0" applyNumberFormat="1" applyFont="1" applyFill="1" applyBorder="1" applyAlignment="1">
      <alignment horizontal="center" vertical="center" wrapText="1"/>
    </xf>
    <xf numFmtId="1" fontId="24" fillId="33" borderId="2" xfId="0" applyNumberFormat="1" applyFont="1" applyFill="1" applyBorder="1" applyAlignment="1">
      <alignment horizontal="center" vertical="center" wrapText="1"/>
    </xf>
    <xf numFmtId="1" fontId="25" fillId="33" borderId="2" xfId="0" applyNumberFormat="1" applyFont="1" applyFill="1" applyBorder="1" applyAlignment="1">
      <alignment horizontal="center" vertical="center" wrapText="1"/>
    </xf>
    <xf numFmtId="1" fontId="20" fillId="30" borderId="2" xfId="0" applyNumberFormat="1" applyFont="1" applyFill="1" applyBorder="1" applyAlignment="1">
      <alignment horizontal="center" vertical="center" wrapText="1"/>
    </xf>
    <xf numFmtId="10" fontId="21" fillId="0" borderId="3" xfId="6" applyNumberFormat="1" applyFont="1" applyBorder="1" applyAlignment="1" applyProtection="1">
      <alignment horizontal="center" vertical="center" wrapText="1"/>
    </xf>
    <xf numFmtId="10" fontId="56" fillId="5" borderId="3" xfId="6" applyNumberFormat="1" applyFont="1" applyFill="1" applyBorder="1" applyAlignment="1" applyProtection="1">
      <alignment horizontal="center" vertical="center"/>
    </xf>
    <xf numFmtId="10" fontId="20" fillId="0" borderId="2" xfId="20" applyNumberFormat="1" applyFont="1" applyBorder="1" applyAlignment="1" applyProtection="1">
      <alignment horizontal="center" vertical="center" wrapText="1"/>
    </xf>
    <xf numFmtId="10" fontId="24" fillId="0" borderId="2" xfId="6" applyNumberFormat="1" applyFont="1" applyBorder="1" applyAlignment="1" applyProtection="1">
      <alignment horizontal="center" vertical="center"/>
      <protection hidden="1"/>
    </xf>
    <xf numFmtId="10" fontId="24" fillId="0" borderId="2" xfId="0" applyNumberFormat="1" applyFont="1" applyBorder="1" applyAlignment="1" applyProtection="1">
      <alignment horizontal="center" vertical="center"/>
      <protection hidden="1"/>
    </xf>
    <xf numFmtId="0" fontId="60" fillId="0" borderId="0" xfId="0" applyFont="1"/>
    <xf numFmtId="0" fontId="60" fillId="0" borderId="0" xfId="0" applyFont="1" applyAlignment="1">
      <alignment horizontal="center" vertical="center"/>
    </xf>
    <xf numFmtId="9" fontId="60" fillId="0" borderId="1" xfId="0" applyNumberFormat="1" applyFont="1" applyBorder="1"/>
    <xf numFmtId="0" fontId="60" fillId="0" borderId="1" xfId="0" applyFont="1" applyBorder="1"/>
    <xf numFmtId="0" fontId="60" fillId="0" borderId="1" xfId="0" applyFont="1" applyBorder="1" applyAlignment="1">
      <alignment horizontal="center" vertical="center"/>
    </xf>
    <xf numFmtId="1" fontId="60" fillId="0" borderId="1" xfId="0" applyNumberFormat="1" applyFont="1" applyBorder="1" applyAlignment="1">
      <alignment horizontal="center" vertical="center"/>
    </xf>
    <xf numFmtId="0" fontId="71" fillId="35" borderId="68" xfId="0" applyFont="1" applyFill="1" applyBorder="1" applyAlignment="1">
      <alignment horizontal="center" vertical="center" wrapText="1" readingOrder="1"/>
    </xf>
    <xf numFmtId="1" fontId="72" fillId="0" borderId="69" xfId="0" applyNumberFormat="1" applyFont="1" applyBorder="1" applyAlignment="1">
      <alignment horizontal="center" vertical="center" wrapText="1" readingOrder="1"/>
    </xf>
    <xf numFmtId="1" fontId="72" fillId="0" borderId="68" xfId="0" applyNumberFormat="1" applyFont="1" applyBorder="1" applyAlignment="1">
      <alignment horizontal="center" vertical="center" wrapText="1" readingOrder="1"/>
    </xf>
    <xf numFmtId="0" fontId="72" fillId="0" borderId="68" xfId="0" applyFont="1" applyBorder="1" applyAlignment="1">
      <alignment horizontal="justify" vertical="center" wrapText="1" readingOrder="1"/>
    </xf>
    <xf numFmtId="9" fontId="74" fillId="35" borderId="68" xfId="0" applyNumberFormat="1" applyFont="1" applyFill="1" applyBorder="1" applyAlignment="1">
      <alignment horizontal="center" vertical="center" wrapText="1" readingOrder="1"/>
    </xf>
    <xf numFmtId="0" fontId="71" fillId="35" borderId="68" xfId="0" applyFont="1" applyFill="1" applyBorder="1" applyAlignment="1">
      <alignment horizontal="right" vertical="center" wrapText="1" readingOrder="1"/>
    </xf>
    <xf numFmtId="0" fontId="71" fillId="0" borderId="1" xfId="0" applyFont="1" applyFill="1" applyBorder="1" applyAlignment="1">
      <alignment horizontal="right" vertical="center" wrapText="1" readingOrder="1"/>
    </xf>
    <xf numFmtId="0" fontId="74" fillId="0" borderId="1" xfId="0" applyFont="1" applyFill="1" applyBorder="1" applyAlignment="1">
      <alignment horizontal="center" vertical="center" wrapText="1" readingOrder="1"/>
    </xf>
    <xf numFmtId="9" fontId="74" fillId="0" borderId="1" xfId="0" applyNumberFormat="1" applyFont="1" applyFill="1" applyBorder="1" applyAlignment="1">
      <alignment horizontal="center" vertical="center" wrapText="1" readingOrder="1"/>
    </xf>
    <xf numFmtId="0" fontId="24" fillId="0" borderId="0" xfId="0" applyFont="1" applyFill="1"/>
    <xf numFmtId="0" fontId="24" fillId="0" borderId="0" xfId="0" applyFont="1" applyFill="1" applyAlignment="1">
      <alignment horizontal="center" vertical="center"/>
    </xf>
    <xf numFmtId="1" fontId="74" fillId="35" borderId="68" xfId="0" applyNumberFormat="1" applyFont="1" applyFill="1" applyBorder="1" applyAlignment="1">
      <alignment horizontal="center" vertical="center" wrapText="1" readingOrder="1"/>
    </xf>
    <xf numFmtId="164" fontId="25" fillId="0" borderId="1" xfId="0" applyNumberFormat="1" applyFont="1" applyFill="1" applyBorder="1" applyAlignment="1" applyProtection="1">
      <alignment horizontal="center" vertical="center" wrapText="1"/>
      <protection hidden="1"/>
    </xf>
    <xf numFmtId="164" fontId="24" fillId="0" borderId="1" xfId="0" applyNumberFormat="1" applyFont="1" applyFill="1" applyBorder="1" applyAlignment="1" applyProtection="1">
      <alignment horizontal="center" vertical="center" wrapText="1"/>
      <protection hidden="1"/>
    </xf>
    <xf numFmtId="0" fontId="24" fillId="0" borderId="0" xfId="0" applyFont="1" applyFill="1" applyProtection="1">
      <protection hidden="1"/>
    </xf>
    <xf numFmtId="0" fontId="24" fillId="0" borderId="0" xfId="0" applyFont="1" applyFill="1" applyAlignment="1" applyProtection="1">
      <alignment horizontal="justify" vertical="center"/>
      <protection hidden="1"/>
    </xf>
    <xf numFmtId="0" fontId="76" fillId="0" borderId="1" xfId="0" applyFont="1" applyFill="1" applyBorder="1" applyAlignment="1" applyProtection="1">
      <alignment horizontal="center" vertical="center" wrapText="1"/>
      <protection hidden="1"/>
    </xf>
    <xf numFmtId="0" fontId="25" fillId="0" borderId="1" xfId="0" applyFont="1" applyFill="1" applyBorder="1" applyAlignment="1" applyProtection="1">
      <alignment horizontal="center" vertical="center"/>
      <protection hidden="1"/>
    </xf>
    <xf numFmtId="0" fontId="72" fillId="0" borderId="69" xfId="0" applyFont="1" applyBorder="1" applyAlignment="1">
      <alignment horizontal="justify" vertical="center" wrapText="1" readingOrder="1"/>
    </xf>
    <xf numFmtId="0" fontId="29" fillId="34" borderId="57" xfId="0" applyFont="1" applyFill="1" applyBorder="1" applyAlignment="1" applyProtection="1">
      <alignment horizontal="center" vertical="center" wrapText="1"/>
      <protection hidden="1"/>
    </xf>
    <xf numFmtId="0" fontId="29" fillId="34" borderId="63" xfId="0" applyFont="1" applyFill="1" applyBorder="1" applyAlignment="1" applyProtection="1">
      <alignment horizontal="center" vertical="center"/>
      <protection hidden="1"/>
    </xf>
    <xf numFmtId="0" fontId="14" fillId="11" borderId="60" xfId="0" applyFont="1" applyFill="1" applyBorder="1" applyAlignment="1" applyProtection="1">
      <alignment horizontal="center" vertical="center"/>
      <protection hidden="1"/>
    </xf>
    <xf numFmtId="0" fontId="11" fillId="11" borderId="61" xfId="0" applyFont="1" applyFill="1" applyBorder="1" applyAlignment="1" applyProtection="1">
      <alignment horizontal="center" vertical="center"/>
      <protection hidden="1"/>
    </xf>
    <xf numFmtId="164" fontId="11" fillId="11" borderId="61" xfId="0" applyNumberFormat="1" applyFont="1" applyFill="1" applyBorder="1" applyAlignment="1" applyProtection="1">
      <alignment horizontal="center" vertical="center" wrapText="1"/>
      <protection hidden="1"/>
    </xf>
    <xf numFmtId="0" fontId="14" fillId="11" borderId="60" xfId="0" applyFont="1" applyFill="1" applyBorder="1" applyAlignment="1" applyProtection="1">
      <alignment horizontal="center" vertical="center" wrapText="1"/>
      <protection hidden="1"/>
    </xf>
    <xf numFmtId="164" fontId="20" fillId="0" borderId="31" xfId="6" applyNumberFormat="1" applyFont="1" applyFill="1" applyBorder="1" applyAlignment="1" applyProtection="1">
      <alignment horizontal="center" vertical="center" wrapText="1"/>
    </xf>
    <xf numFmtId="166" fontId="24" fillId="0" borderId="0" xfId="0" applyNumberFormat="1" applyFont="1" applyAlignment="1" applyProtection="1">
      <alignment horizontal="center" vertical="center"/>
      <protection hidden="1"/>
    </xf>
    <xf numFmtId="9" fontId="24" fillId="0" borderId="0" xfId="6" applyFont="1" applyAlignment="1" applyProtection="1">
      <alignment horizontal="center" vertical="center"/>
      <protection hidden="1"/>
    </xf>
    <xf numFmtId="10" fontId="24" fillId="0" borderId="0" xfId="0" applyNumberFormat="1" applyFont="1" applyAlignment="1" applyProtection="1">
      <alignment vertical="center"/>
      <protection hidden="1"/>
    </xf>
    <xf numFmtId="10" fontId="24" fillId="0" borderId="0" xfId="6" applyNumberFormat="1" applyFont="1" applyAlignment="1" applyProtection="1">
      <alignment horizontal="center" vertical="center"/>
      <protection hidden="1"/>
    </xf>
    <xf numFmtId="164" fontId="24" fillId="0" borderId="0" xfId="0" applyNumberFormat="1" applyFont="1" applyAlignment="1">
      <alignment horizontal="center" vertical="center"/>
    </xf>
    <xf numFmtId="0" fontId="75" fillId="34" borderId="70" xfId="0" applyFont="1" applyFill="1" applyBorder="1" applyAlignment="1">
      <alignment horizontal="center" vertical="center" wrapText="1" readingOrder="1"/>
    </xf>
    <xf numFmtId="9" fontId="72" fillId="0" borderId="71" xfId="0" applyNumberFormat="1" applyFont="1" applyBorder="1" applyAlignment="1">
      <alignment horizontal="center" vertical="center" wrapText="1" readingOrder="1"/>
    </xf>
    <xf numFmtId="9" fontId="72" fillId="0" borderId="72" xfId="0" applyNumberFormat="1" applyFont="1" applyBorder="1" applyAlignment="1">
      <alignment horizontal="center" vertical="center" wrapText="1" readingOrder="1"/>
    </xf>
    <xf numFmtId="9" fontId="73" fillId="0" borderId="72" xfId="0" applyNumberFormat="1" applyFont="1" applyBorder="1" applyAlignment="1">
      <alignment horizontal="center" vertical="center" wrapText="1" readingOrder="1"/>
    </xf>
    <xf numFmtId="0" fontId="75" fillId="34" borderId="73" xfId="0" applyFont="1" applyFill="1" applyBorder="1" applyAlignment="1">
      <alignment horizontal="center" vertical="center" wrapText="1" readingOrder="1"/>
    </xf>
    <xf numFmtId="9" fontId="74" fillId="35" borderId="69" xfId="0" applyNumberFormat="1" applyFont="1" applyFill="1" applyBorder="1" applyAlignment="1">
      <alignment horizontal="center" vertical="center" wrapText="1" readingOrder="1"/>
    </xf>
    <xf numFmtId="0" fontId="75" fillId="34" borderId="74" xfId="0" applyFont="1" applyFill="1" applyBorder="1" applyAlignment="1">
      <alignment horizontal="center" vertical="center" wrapText="1" readingOrder="1"/>
    </xf>
    <xf numFmtId="9" fontId="72" fillId="0" borderId="2" xfId="0" applyNumberFormat="1" applyFont="1" applyBorder="1" applyAlignment="1">
      <alignment horizontal="center" vertical="center" wrapText="1" readingOrder="1"/>
    </xf>
    <xf numFmtId="9" fontId="73" fillId="0" borderId="2" xfId="0" applyNumberFormat="1" applyFont="1" applyBorder="1" applyAlignment="1">
      <alignment horizontal="center" vertical="center" wrapText="1" readingOrder="1"/>
    </xf>
    <xf numFmtId="0" fontId="11" fillId="8" borderId="2" xfId="0" applyFont="1" applyFill="1" applyBorder="1" applyAlignment="1">
      <alignment horizontal="center" vertical="center" wrapText="1"/>
    </xf>
    <xf numFmtId="0" fontId="9" fillId="0" borderId="1" xfId="1" applyFont="1" applyAlignment="1">
      <alignment horizontal="left" vertical="center"/>
    </xf>
    <xf numFmtId="0" fontId="12" fillId="0" borderId="2" xfId="1" applyFont="1" applyBorder="1" applyAlignment="1">
      <alignment horizontal="center" vertical="center" wrapText="1"/>
    </xf>
    <xf numFmtId="0" fontId="12" fillId="9" borderId="2" xfId="1" applyFont="1" applyFill="1" applyBorder="1" applyAlignment="1">
      <alignment horizontal="center" vertical="center" wrapText="1"/>
    </xf>
    <xf numFmtId="164" fontId="24" fillId="0" borderId="0" xfId="0" applyNumberFormat="1" applyFont="1"/>
    <xf numFmtId="10" fontId="77" fillId="0" borderId="31" xfId="6" applyNumberFormat="1" applyFont="1" applyFill="1" applyBorder="1" applyAlignment="1" applyProtection="1">
      <alignment horizontal="center" vertical="center" wrapText="1"/>
    </xf>
    <xf numFmtId="164" fontId="77" fillId="0" borderId="31" xfId="6" applyNumberFormat="1" applyFont="1" applyFill="1" applyBorder="1" applyAlignment="1" applyProtection="1">
      <alignment horizontal="center" vertical="center" wrapText="1"/>
    </xf>
    <xf numFmtId="10" fontId="77" fillId="0" borderId="31" xfId="6" applyNumberFormat="1" applyFont="1" applyBorder="1" applyAlignment="1" applyProtection="1">
      <alignment horizontal="center" vertical="center" wrapText="1"/>
    </xf>
    <xf numFmtId="164" fontId="77" fillId="18" borderId="2" xfId="6" applyNumberFormat="1" applyFont="1" applyFill="1" applyBorder="1" applyAlignment="1" applyProtection="1">
      <alignment horizontal="center" vertical="center" wrapText="1"/>
    </xf>
    <xf numFmtId="164" fontId="77" fillId="0" borderId="31" xfId="6" applyNumberFormat="1" applyFont="1" applyBorder="1" applyAlignment="1" applyProtection="1">
      <alignment horizontal="center" vertical="center" wrapText="1"/>
    </xf>
    <xf numFmtId="164" fontId="77" fillId="3" borderId="31" xfId="6" applyNumberFormat="1" applyFont="1" applyFill="1" applyBorder="1" applyAlignment="1" applyProtection="1">
      <alignment horizontal="center" vertical="center" wrapText="1"/>
    </xf>
    <xf numFmtId="164" fontId="77" fillId="18" borderId="31" xfId="6" applyNumberFormat="1" applyFont="1" applyFill="1" applyBorder="1" applyAlignment="1" applyProtection="1">
      <alignment horizontal="center" vertical="center" wrapText="1"/>
    </xf>
    <xf numFmtId="164" fontId="77" fillId="18" borderId="3" xfId="6" applyNumberFormat="1" applyFont="1" applyFill="1" applyBorder="1" applyAlignment="1" applyProtection="1">
      <alignment horizontal="center" vertical="center" wrapText="1"/>
    </xf>
    <xf numFmtId="10" fontId="77" fillId="18" borderId="3" xfId="6" applyNumberFormat="1" applyFont="1" applyFill="1" applyBorder="1" applyAlignment="1" applyProtection="1">
      <alignment horizontal="center" vertical="center" wrapText="1"/>
    </xf>
    <xf numFmtId="10" fontId="77" fillId="3" borderId="3" xfId="6" applyNumberFormat="1" applyFont="1" applyFill="1" applyBorder="1" applyAlignment="1" applyProtection="1">
      <alignment horizontal="center" vertical="center" wrapText="1"/>
    </xf>
    <xf numFmtId="164" fontId="77" fillId="3" borderId="3" xfId="6" applyNumberFormat="1" applyFont="1" applyFill="1" applyBorder="1" applyAlignment="1" applyProtection="1">
      <alignment horizontal="center" vertical="center" wrapText="1"/>
    </xf>
    <xf numFmtId="9" fontId="20" fillId="0" borderId="2" xfId="8" applyNumberFormat="1" applyFont="1" applyBorder="1" applyAlignment="1" applyProtection="1">
      <alignment horizontal="center" vertical="center" wrapText="1"/>
    </xf>
    <xf numFmtId="164" fontId="24" fillId="0" borderId="0" xfId="6" applyNumberFormat="1" applyFont="1" applyFill="1" applyProtection="1">
      <protection hidden="1"/>
    </xf>
    <xf numFmtId="3" fontId="24" fillId="0" borderId="1" xfId="51" applyNumberFormat="1" applyFont="1" applyFill="1" applyBorder="1" applyAlignment="1" applyProtection="1">
      <alignment horizontal="center" vertical="center"/>
      <protection hidden="1"/>
    </xf>
    <xf numFmtId="10" fontId="21" fillId="0" borderId="4" xfId="20" applyNumberFormat="1" applyFont="1" applyBorder="1" applyAlignment="1" applyProtection="1">
      <alignment horizontal="center" vertical="center" wrapText="1"/>
    </xf>
    <xf numFmtId="0" fontId="9" fillId="0" borderId="0" xfId="0" applyFont="1" applyAlignment="1">
      <alignment horizontal="center" vertical="center"/>
    </xf>
    <xf numFmtId="0" fontId="62" fillId="0" borderId="51" xfId="0" applyFont="1" applyBorder="1" applyAlignment="1">
      <alignment horizontal="right" vertical="center"/>
    </xf>
    <xf numFmtId="0" fontId="62" fillId="0" borderId="52" xfId="0" applyFont="1" applyBorder="1" applyAlignment="1">
      <alignment horizontal="center" vertical="center"/>
    </xf>
    <xf numFmtId="0" fontId="62" fillId="0" borderId="53" xfId="0" applyFont="1" applyBorder="1" applyAlignment="1">
      <alignment horizontal="left" vertical="center"/>
    </xf>
    <xf numFmtId="0" fontId="62" fillId="0" borderId="1" xfId="0" applyFont="1" applyBorder="1" applyAlignment="1">
      <alignment vertical="center"/>
    </xf>
    <xf numFmtId="0" fontId="9" fillId="0" borderId="1" xfId="0" applyFont="1" applyBorder="1" applyAlignment="1">
      <alignment horizontal="center" vertical="center"/>
    </xf>
    <xf numFmtId="0" fontId="11" fillId="38" borderId="2" xfId="0" applyFont="1" applyFill="1" applyBorder="1" applyAlignment="1">
      <alignment horizontal="center" vertical="center" wrapText="1"/>
    </xf>
    <xf numFmtId="3" fontId="20" fillId="0" borderId="2" xfId="0" applyNumberFormat="1" applyFont="1" applyBorder="1" applyAlignment="1">
      <alignment horizontal="center" vertical="center" wrapText="1"/>
    </xf>
    <xf numFmtId="3" fontId="39" fillId="0" borderId="55" xfId="5" applyNumberFormat="1" applyFont="1" applyBorder="1" applyAlignment="1" applyProtection="1">
      <alignment horizontal="center" vertical="center" wrapText="1"/>
    </xf>
    <xf numFmtId="3" fontId="20" fillId="0" borderId="2" xfId="34" applyNumberFormat="1" applyFont="1" applyBorder="1" applyAlignment="1">
      <alignment horizontal="center" vertical="center" wrapText="1"/>
    </xf>
    <xf numFmtId="164" fontId="20" fillId="0" borderId="65" xfId="8" applyNumberFormat="1" applyFont="1" applyBorder="1" applyAlignment="1" applyProtection="1">
      <alignment horizontal="center" vertical="center" wrapText="1"/>
    </xf>
    <xf numFmtId="164" fontId="20" fillId="0" borderId="65" xfId="34" applyNumberFormat="1" applyFont="1" applyBorder="1" applyAlignment="1">
      <alignment horizontal="center" vertical="center" wrapText="1"/>
    </xf>
    <xf numFmtId="164" fontId="20" fillId="0" borderId="65" xfId="8" applyNumberFormat="1" applyFont="1" applyFill="1" applyBorder="1" applyAlignment="1" applyProtection="1">
      <alignment horizontal="center" vertical="center" wrapText="1"/>
    </xf>
    <xf numFmtId="164" fontId="20" fillId="0" borderId="2" xfId="8" applyNumberFormat="1" applyFont="1" applyBorder="1" applyAlignment="1" applyProtection="1">
      <alignment horizontal="center" vertical="center" wrapText="1"/>
    </xf>
    <xf numFmtId="9" fontId="20" fillId="0" borderId="55" xfId="8" applyFont="1" applyBorder="1" applyAlignment="1" applyProtection="1">
      <alignment horizontal="center" vertical="center" wrapText="1"/>
    </xf>
    <xf numFmtId="0" fontId="20" fillId="18" borderId="2" xfId="0" applyFont="1" applyFill="1" applyBorder="1" applyAlignment="1">
      <alignment horizontal="justify" vertical="center" wrapText="1"/>
    </xf>
    <xf numFmtId="3" fontId="20" fillId="18" borderId="2" xfId="0" applyNumberFormat="1" applyFont="1" applyFill="1" applyBorder="1" applyAlignment="1">
      <alignment horizontal="center" vertical="center" wrapText="1"/>
    </xf>
    <xf numFmtId="0" fontId="20" fillId="18" borderId="65" xfId="0" applyFont="1" applyFill="1" applyBorder="1" applyAlignment="1">
      <alignment horizontal="justify" vertical="center" wrapText="1"/>
    </xf>
    <xf numFmtId="0" fontId="20" fillId="18" borderId="6" xfId="34" applyFont="1" applyFill="1" applyBorder="1" applyAlignment="1">
      <alignment horizontal="justify" vertical="center" wrapText="1"/>
    </xf>
    <xf numFmtId="3" fontId="39" fillId="18" borderId="55" xfId="5" applyNumberFormat="1" applyFont="1" applyFill="1" applyBorder="1" applyAlignment="1" applyProtection="1">
      <alignment horizontal="center" vertical="center" wrapText="1"/>
    </xf>
    <xf numFmtId="3" fontId="20" fillId="18" borderId="2" xfId="34" applyNumberFormat="1" applyFont="1" applyFill="1" applyBorder="1" applyAlignment="1">
      <alignment horizontal="center" vertical="center" wrapText="1"/>
    </xf>
    <xf numFmtId="164" fontId="20" fillId="18" borderId="65" xfId="8" applyNumberFormat="1" applyFont="1" applyFill="1" applyBorder="1" applyAlignment="1" applyProtection="1">
      <alignment horizontal="center" vertical="center" wrapText="1"/>
    </xf>
    <xf numFmtId="164" fontId="20" fillId="18" borderId="65" xfId="34" applyNumberFormat="1" applyFont="1" applyFill="1" applyBorder="1" applyAlignment="1">
      <alignment horizontal="center" vertical="center" wrapText="1"/>
    </xf>
    <xf numFmtId="166" fontId="20" fillId="0" borderId="2" xfId="34" applyNumberFormat="1" applyFont="1" applyBorder="1" applyAlignment="1">
      <alignment horizontal="center" vertical="center" wrapText="1"/>
    </xf>
    <xf numFmtId="0" fontId="20" fillId="0" borderId="2" xfId="0" applyFont="1" applyBorder="1" applyAlignment="1">
      <alignment horizontal="center" vertical="center" wrapText="1"/>
    </xf>
    <xf numFmtId="0" fontId="39" fillId="0" borderId="2" xfId="0" applyFont="1" applyBorder="1" applyAlignment="1">
      <alignment horizontal="justify" vertical="top" wrapText="1" readingOrder="1"/>
    </xf>
    <xf numFmtId="1" fontId="39" fillId="0" borderId="2" xfId="0" applyNumberFormat="1" applyFont="1" applyBorder="1" applyAlignment="1">
      <alignment horizontal="center" vertical="center" wrapText="1" readingOrder="1"/>
    </xf>
    <xf numFmtId="9" fontId="39" fillId="0" borderId="2" xfId="0" applyNumberFormat="1" applyFont="1" applyBorder="1" applyAlignment="1">
      <alignment horizontal="center" vertical="center" wrapText="1" readingOrder="1"/>
    </xf>
    <xf numFmtId="4" fontId="20" fillId="0" borderId="2" xfId="34" applyNumberFormat="1" applyFont="1" applyBorder="1" applyAlignment="1">
      <alignment horizontal="center" vertical="center" wrapText="1"/>
    </xf>
    <xf numFmtId="164" fontId="20" fillId="18" borderId="2" xfId="8" applyNumberFormat="1" applyFont="1" applyFill="1" applyBorder="1" applyAlignment="1" applyProtection="1">
      <alignment horizontal="center" vertical="center" wrapText="1"/>
    </xf>
    <xf numFmtId="164" fontId="20" fillId="18" borderId="6" xfId="8" applyNumberFormat="1" applyFont="1" applyFill="1" applyBorder="1" applyAlignment="1" applyProtection="1">
      <alignment horizontal="center" vertical="center" wrapText="1"/>
    </xf>
    <xf numFmtId="9" fontId="39" fillId="0" borderId="55" xfId="5" applyNumberFormat="1" applyFont="1" applyBorder="1" applyAlignment="1" applyProtection="1">
      <alignment horizontal="center" vertical="center" wrapText="1"/>
    </xf>
    <xf numFmtId="164" fontId="20" fillId="3" borderId="65" xfId="34" applyNumberFormat="1" applyFont="1" applyFill="1" applyBorder="1" applyAlignment="1">
      <alignment horizontal="center" vertical="center" wrapText="1"/>
    </xf>
    <xf numFmtId="1" fontId="39" fillId="0" borderId="55" xfId="5" applyNumberFormat="1" applyFont="1" applyBorder="1" applyAlignment="1" applyProtection="1">
      <alignment horizontal="center" vertical="center" wrapText="1"/>
    </xf>
    <xf numFmtId="1" fontId="39" fillId="3" borderId="55" xfId="5" applyNumberFormat="1" applyFont="1" applyFill="1" applyBorder="1" applyAlignment="1" applyProtection="1">
      <alignment horizontal="center" vertical="center" wrapText="1"/>
    </xf>
    <xf numFmtId="9" fontId="39" fillId="18" borderId="55" xfId="5" applyNumberFormat="1" applyFont="1" applyFill="1" applyBorder="1" applyAlignment="1" applyProtection="1">
      <alignment horizontal="center" vertical="center" wrapText="1"/>
    </xf>
    <xf numFmtId="164" fontId="20" fillId="18" borderId="2" xfId="34" applyNumberFormat="1" applyFont="1" applyFill="1" applyBorder="1" applyAlignment="1">
      <alignment horizontal="center" vertical="center" wrapText="1"/>
    </xf>
    <xf numFmtId="9" fontId="20" fillId="18" borderId="2" xfId="34" applyNumberFormat="1" applyFont="1" applyFill="1" applyBorder="1" applyAlignment="1">
      <alignment horizontal="center" vertical="center" wrapText="1"/>
    </xf>
    <xf numFmtId="164" fontId="20" fillId="18" borderId="55" xfId="8" applyNumberFormat="1" applyFont="1" applyFill="1" applyBorder="1" applyAlignment="1" applyProtection="1">
      <alignment horizontal="center" vertical="center" wrapText="1"/>
    </xf>
    <xf numFmtId="10" fontId="20" fillId="18" borderId="55" xfId="8" applyNumberFormat="1" applyFont="1" applyFill="1" applyBorder="1" applyAlignment="1" applyProtection="1">
      <alignment horizontal="center" vertical="center" wrapText="1"/>
    </xf>
    <xf numFmtId="1" fontId="39" fillId="18" borderId="55" xfId="5" applyNumberFormat="1" applyFont="1" applyFill="1" applyBorder="1" applyAlignment="1" applyProtection="1">
      <alignment horizontal="center" vertical="center" wrapText="1"/>
    </xf>
    <xf numFmtId="10" fontId="20" fillId="3" borderId="55" xfId="8" applyNumberFormat="1" applyFont="1" applyFill="1" applyBorder="1" applyAlignment="1" applyProtection="1">
      <alignment horizontal="center" vertical="center" wrapText="1"/>
    </xf>
    <xf numFmtId="164" fontId="20" fillId="3" borderId="55" xfId="8" applyNumberFormat="1" applyFont="1" applyFill="1" applyBorder="1" applyAlignment="1" applyProtection="1">
      <alignment horizontal="center" vertical="center" wrapText="1"/>
    </xf>
    <xf numFmtId="9" fontId="20" fillId="0" borderId="55" xfId="8" applyFont="1" applyBorder="1" applyAlignment="1" applyProtection="1">
      <alignment horizontal="center" vertical="center" wrapText="1"/>
    </xf>
    <xf numFmtId="0" fontId="20" fillId="0" borderId="55" xfId="0" applyFont="1" applyBorder="1" applyAlignment="1">
      <alignment horizontal="justify" vertical="center" wrapText="1"/>
    </xf>
    <xf numFmtId="0" fontId="39" fillId="18" borderId="2" xfId="0" applyFont="1" applyFill="1" applyBorder="1" applyAlignment="1">
      <alignment horizontal="justify" vertical="top" wrapText="1" readingOrder="1"/>
    </xf>
    <xf numFmtId="9" fontId="39" fillId="18" borderId="2" xfId="0" applyNumberFormat="1" applyFont="1" applyFill="1" applyBorder="1" applyAlignment="1">
      <alignment horizontal="center" vertical="center" wrapText="1" readingOrder="1"/>
    </xf>
    <xf numFmtId="0" fontId="42" fillId="0" borderId="5" xfId="0" applyFont="1" applyBorder="1" applyAlignment="1">
      <alignment horizontal="justify" vertical="top" wrapText="1"/>
    </xf>
    <xf numFmtId="9" fontId="42" fillId="0" borderId="5" xfId="0" applyNumberFormat="1" applyFont="1" applyBorder="1" applyAlignment="1">
      <alignment horizontal="center" vertical="center" wrapText="1"/>
    </xf>
    <xf numFmtId="10" fontId="20" fillId="0" borderId="65" xfId="8" applyNumberFormat="1" applyFont="1" applyBorder="1" applyAlignment="1" applyProtection="1">
      <alignment horizontal="center" vertical="center" wrapText="1"/>
    </xf>
    <xf numFmtId="0" fontId="42" fillId="0" borderId="2" xfId="0" applyFont="1" applyBorder="1" applyAlignment="1">
      <alignment horizontal="justify" vertical="top" wrapText="1"/>
    </xf>
    <xf numFmtId="0" fontId="42" fillId="3" borderId="2" xfId="0" applyFont="1" applyFill="1" applyBorder="1" applyAlignment="1">
      <alignment horizontal="justify" vertical="top" wrapText="1"/>
    </xf>
    <xf numFmtId="0" fontId="14" fillId="12" borderId="7" xfId="1" applyFont="1" applyFill="1" applyBorder="1" applyAlignment="1">
      <alignment vertical="center"/>
    </xf>
    <xf numFmtId="0" fontId="14" fillId="12" borderId="11" xfId="1" applyFont="1" applyFill="1" applyBorder="1" applyAlignment="1">
      <alignment vertical="center"/>
    </xf>
    <xf numFmtId="0" fontId="14" fillId="12" borderId="11" xfId="1" applyFont="1" applyFill="1" applyBorder="1" applyAlignment="1">
      <alignment horizontal="center" vertical="center"/>
    </xf>
    <xf numFmtId="164" fontId="14" fillId="12" borderId="11" xfId="1" applyNumberFormat="1" applyFont="1" applyFill="1" applyBorder="1" applyAlignment="1">
      <alignment horizontal="center" vertical="center"/>
    </xf>
    <xf numFmtId="0" fontId="62" fillId="0" borderId="1" xfId="0" applyFont="1" applyBorder="1" applyAlignment="1">
      <alignment horizontal="center" vertical="center"/>
    </xf>
    <xf numFmtId="0" fontId="62" fillId="0" borderId="1" xfId="0" applyFont="1" applyBorder="1" applyAlignment="1">
      <alignment horizontal="left" vertical="center"/>
    </xf>
    <xf numFmtId="0" fontId="24" fillId="39" borderId="0" xfId="0" applyFont="1" applyFill="1"/>
    <xf numFmtId="0" fontId="25" fillId="11" borderId="2" xfId="0" applyFont="1" applyFill="1" applyBorder="1" applyAlignment="1">
      <alignment horizontal="center" vertical="center"/>
    </xf>
    <xf numFmtId="3" fontId="24" fillId="0" borderId="2" xfId="6" applyNumberFormat="1" applyFont="1" applyFill="1" applyBorder="1" applyAlignment="1" applyProtection="1">
      <alignment horizontal="center" vertical="center" wrapText="1"/>
    </xf>
    <xf numFmtId="0" fontId="24" fillId="0" borderId="2" xfId="0" applyFont="1" applyBorder="1" applyAlignment="1">
      <alignment horizontal="justify" vertical="center" wrapText="1"/>
    </xf>
    <xf numFmtId="9" fontId="24" fillId="0" borderId="2" xfId="6" applyFont="1" applyBorder="1" applyAlignment="1" applyProtection="1">
      <alignment horizontal="center" vertical="center" wrapText="1"/>
    </xf>
    <xf numFmtId="0" fontId="20" fillId="0" borderId="2" xfId="0" applyFont="1" applyBorder="1" applyAlignment="1">
      <alignment horizontal="justify" vertical="center" wrapText="1" readingOrder="1"/>
    </xf>
    <xf numFmtId="9" fontId="24" fillId="0" borderId="6" xfId="6" applyFont="1" applyFill="1" applyBorder="1" applyAlignment="1" applyProtection="1">
      <alignment horizontal="center" vertical="center" wrapText="1"/>
    </xf>
    <xf numFmtId="1" fontId="24" fillId="0" borderId="2" xfId="6" applyNumberFormat="1" applyFont="1" applyFill="1" applyBorder="1" applyAlignment="1" applyProtection="1">
      <alignment horizontal="center" vertical="center" wrapText="1"/>
    </xf>
    <xf numFmtId="0" fontId="20" fillId="5" borderId="2" xfId="0" applyFont="1" applyFill="1" applyBorder="1" applyAlignment="1">
      <alignment horizontal="justify" vertical="center" wrapText="1" readingOrder="1"/>
    </xf>
    <xf numFmtId="1" fontId="24" fillId="5" borderId="2" xfId="6" applyNumberFormat="1" applyFont="1" applyFill="1" applyBorder="1" applyAlignment="1" applyProtection="1">
      <alignment horizontal="center" vertical="center" wrapText="1"/>
    </xf>
    <xf numFmtId="9" fontId="24" fillId="5" borderId="6" xfId="6" applyFont="1" applyFill="1" applyBorder="1" applyAlignment="1" applyProtection="1">
      <alignment horizontal="center" vertical="center" wrapText="1"/>
    </xf>
    <xf numFmtId="0" fontId="24" fillId="5" borderId="2" xfId="0" applyFont="1" applyFill="1" applyBorder="1" applyAlignment="1">
      <alignment horizontal="justify" vertical="center" wrapText="1"/>
    </xf>
    <xf numFmtId="1" fontId="24" fillId="0" borderId="2" xfId="0" applyNumberFormat="1" applyFont="1" applyBorder="1" applyAlignment="1">
      <alignment horizontal="center" vertical="center" wrapText="1"/>
    </xf>
    <xf numFmtId="9" fontId="24" fillId="0" borderId="2" xfId="6" applyFont="1" applyFill="1" applyBorder="1" applyAlignment="1" applyProtection="1">
      <alignment horizontal="center" vertical="center" wrapText="1"/>
    </xf>
    <xf numFmtId="9" fontId="20" fillId="5" borderId="2" xfId="0" applyNumberFormat="1" applyFont="1" applyFill="1" applyBorder="1" applyAlignment="1">
      <alignment horizontal="center" vertical="center" wrapText="1" readingOrder="1"/>
    </xf>
    <xf numFmtId="164" fontId="24" fillId="5" borderId="2" xfId="6" applyNumberFormat="1" applyFont="1" applyFill="1" applyBorder="1" applyAlignment="1" applyProtection="1">
      <alignment horizontal="center" vertical="center" wrapText="1"/>
    </xf>
    <xf numFmtId="9" fontId="24" fillId="5" borderId="2" xfId="6" applyFont="1" applyFill="1" applyBorder="1" applyAlignment="1" applyProtection="1">
      <alignment horizontal="center" vertical="center" wrapText="1"/>
    </xf>
    <xf numFmtId="0" fontId="24" fillId="0" borderId="5" xfId="0" applyFont="1" applyBorder="1" applyAlignment="1">
      <alignment horizontal="justify" vertical="center" wrapText="1"/>
    </xf>
    <xf numFmtId="0" fontId="24" fillId="3" borderId="2" xfId="0" applyFont="1" applyFill="1" applyBorder="1" applyAlignment="1">
      <alignment horizontal="justify" vertical="center" wrapText="1"/>
    </xf>
    <xf numFmtId="9" fontId="24" fillId="3" borderId="2" xfId="6" applyFont="1" applyFill="1" applyBorder="1" applyAlignment="1" applyProtection="1">
      <alignment horizontal="center" vertical="center" wrapText="1"/>
    </xf>
    <xf numFmtId="0" fontId="79" fillId="9" borderId="2" xfId="0" applyFont="1" applyFill="1" applyBorder="1" applyAlignment="1">
      <alignment horizontal="center"/>
    </xf>
    <xf numFmtId="0" fontId="79" fillId="9" borderId="2" xfId="0" applyFont="1" applyFill="1" applyBorder="1" applyAlignment="1">
      <alignment horizontal="center" vertical="center"/>
    </xf>
    <xf numFmtId="169" fontId="24" fillId="39" borderId="0" xfId="0" applyNumberFormat="1" applyFont="1" applyFill="1"/>
    <xf numFmtId="0" fontId="25" fillId="39" borderId="7" xfId="0" applyFont="1" applyFill="1" applyBorder="1"/>
    <xf numFmtId="0" fontId="25" fillId="39" borderId="2" xfId="0" applyFont="1" applyFill="1" applyBorder="1" applyAlignment="1">
      <alignment wrapText="1"/>
    </xf>
    <xf numFmtId="1" fontId="24" fillId="5" borderId="2" xfId="0" applyNumberFormat="1" applyFont="1" applyFill="1" applyBorder="1" applyAlignment="1">
      <alignment horizontal="center" vertical="center" wrapText="1"/>
    </xf>
    <xf numFmtId="0" fontId="24" fillId="9" borderId="2" xfId="0" applyFont="1" applyFill="1" applyBorder="1" applyAlignment="1">
      <alignment vertical="center" wrapText="1"/>
    </xf>
    <xf numFmtId="14" fontId="24" fillId="39" borderId="6" xfId="0" applyNumberFormat="1" applyFont="1" applyFill="1" applyBorder="1" applyAlignment="1">
      <alignment horizontal="center" vertical="center" wrapText="1"/>
    </xf>
    <xf numFmtId="0" fontId="24" fillId="39" borderId="1" xfId="0" applyFont="1" applyFill="1" applyBorder="1" applyAlignment="1">
      <alignment horizontal="center" vertical="center" wrapText="1"/>
    </xf>
    <xf numFmtId="0" fontId="24" fillId="39" borderId="6" xfId="0" applyFont="1" applyFill="1" applyBorder="1" applyAlignment="1">
      <alignment horizontal="center" vertical="center" wrapText="1"/>
    </xf>
    <xf numFmtId="9" fontId="39" fillId="0" borderId="55" xfId="6" applyFont="1" applyBorder="1" applyAlignment="1" applyProtection="1">
      <alignment horizontal="center" vertical="center" wrapText="1"/>
    </xf>
    <xf numFmtId="166" fontId="39" fillId="0" borderId="55" xfId="5" applyNumberFormat="1" applyFont="1" applyBorder="1" applyAlignment="1" applyProtection="1">
      <alignment horizontal="center" vertical="center" wrapText="1"/>
    </xf>
    <xf numFmtId="164" fontId="20" fillId="0" borderId="65" xfId="34" applyNumberFormat="1" applyFont="1" applyFill="1" applyBorder="1" applyAlignment="1">
      <alignment horizontal="center" vertical="center" wrapText="1"/>
    </xf>
    <xf numFmtId="0" fontId="9" fillId="0" borderId="0" xfId="0" applyFont="1" applyFill="1" applyAlignment="1">
      <alignment vertical="center"/>
    </xf>
    <xf numFmtId="9" fontId="20" fillId="0" borderId="2" xfId="6" applyFont="1" applyBorder="1" applyAlignment="1">
      <alignment horizontal="center" vertical="center" wrapText="1"/>
    </xf>
    <xf numFmtId="0" fontId="39" fillId="0" borderId="55" xfId="0" applyFont="1" applyBorder="1" applyAlignment="1">
      <alignment horizontal="justify" vertical="top" wrapText="1"/>
    </xf>
    <xf numFmtId="0" fontId="39" fillId="2" borderId="2" xfId="1" applyFont="1" applyFill="1" applyBorder="1" applyAlignment="1">
      <alignment horizontal="justify" vertical="top" wrapText="1"/>
    </xf>
    <xf numFmtId="0" fontId="39" fillId="0" borderId="2" xfId="0" applyFont="1" applyBorder="1" applyAlignment="1">
      <alignment horizontal="justify" vertical="top" wrapText="1"/>
    </xf>
    <xf numFmtId="9" fontId="20" fillId="0" borderId="2" xfId="8" applyNumberFormat="1" applyFont="1" applyFill="1" applyBorder="1" applyAlignment="1" applyProtection="1">
      <alignment horizontal="center" vertical="center" wrapText="1"/>
    </xf>
    <xf numFmtId="3" fontId="20" fillId="0" borderId="55" xfId="5" applyNumberFormat="1" applyFont="1" applyBorder="1" applyAlignment="1" applyProtection="1">
      <alignment horizontal="justify" vertical="center" wrapText="1"/>
    </xf>
    <xf numFmtId="9" fontId="20" fillId="18" borderId="2" xfId="6" applyFont="1" applyFill="1" applyBorder="1" applyAlignment="1">
      <alignment horizontal="center" vertical="center" wrapText="1"/>
    </xf>
    <xf numFmtId="164" fontId="20" fillId="0" borderId="2" xfId="6" applyNumberFormat="1" applyFont="1" applyBorder="1" applyAlignment="1">
      <alignment horizontal="center" vertical="center" wrapText="1"/>
    </xf>
    <xf numFmtId="10" fontId="20" fillId="0" borderId="2" xfId="6" applyNumberFormat="1" applyFont="1" applyBorder="1" applyAlignment="1">
      <alignment horizontal="center" vertical="center" wrapText="1"/>
    </xf>
    <xf numFmtId="3" fontId="24" fillId="18" borderId="2" xfId="34" applyNumberFormat="1" applyFont="1" applyFill="1" applyBorder="1" applyAlignment="1">
      <alignment horizontal="center" vertical="center" wrapText="1"/>
    </xf>
    <xf numFmtId="164" fontId="24" fillId="18" borderId="2" xfId="8" applyNumberFormat="1" applyFont="1" applyFill="1" applyBorder="1" applyAlignment="1" applyProtection="1">
      <alignment horizontal="center" vertical="center" wrapText="1"/>
    </xf>
    <xf numFmtId="9" fontId="20" fillId="0" borderId="2" xfId="6" applyNumberFormat="1" applyFont="1" applyBorder="1" applyAlignment="1">
      <alignment horizontal="center" vertical="center" wrapText="1"/>
    </xf>
    <xf numFmtId="10" fontId="20" fillId="18" borderId="2" xfId="34" applyNumberFormat="1" applyFont="1" applyFill="1" applyBorder="1" applyAlignment="1">
      <alignment horizontal="center" vertical="center" wrapText="1"/>
    </xf>
    <xf numFmtId="2" fontId="39" fillId="18" borderId="55" xfId="5" applyNumberFormat="1" applyFont="1" applyFill="1" applyBorder="1" applyAlignment="1" applyProtection="1">
      <alignment horizontal="center" vertical="center" wrapText="1"/>
    </xf>
    <xf numFmtId="4" fontId="20" fillId="18" borderId="2" xfId="34" applyNumberFormat="1" applyFont="1" applyFill="1" applyBorder="1" applyAlignment="1">
      <alignment horizontal="center" vertical="center" wrapText="1"/>
    </xf>
    <xf numFmtId="9" fontId="20" fillId="0" borderId="65" xfId="6" applyFont="1" applyBorder="1" applyAlignment="1" applyProtection="1">
      <alignment horizontal="center" vertical="center" wrapText="1"/>
    </xf>
    <xf numFmtId="4" fontId="20" fillId="0" borderId="65" xfId="8" applyNumberFormat="1" applyFont="1" applyBorder="1" applyAlignment="1" applyProtection="1">
      <alignment horizontal="center" vertical="center" wrapText="1"/>
    </xf>
    <xf numFmtId="4" fontId="20" fillId="18" borderId="65" xfId="8" applyNumberFormat="1" applyFont="1" applyFill="1" applyBorder="1" applyAlignment="1" applyProtection="1">
      <alignment horizontal="center" vertical="center" wrapText="1"/>
    </xf>
    <xf numFmtId="3" fontId="20" fillId="0" borderId="2" xfId="34" applyNumberFormat="1" applyFont="1" applyFill="1" applyBorder="1" applyAlignment="1">
      <alignment horizontal="center" vertical="center" wrapText="1"/>
    </xf>
    <xf numFmtId="10" fontId="21" fillId="0" borderId="2" xfId="20" applyNumberFormat="1" applyFont="1" applyBorder="1" applyAlignment="1" applyProtection="1">
      <alignment horizontal="center" vertical="center" wrapText="1"/>
    </xf>
    <xf numFmtId="0" fontId="39" fillId="0" borderId="55" xfId="0" applyFont="1" applyBorder="1" applyAlignment="1">
      <alignment horizontal="justify" vertical="top" wrapText="1" readingOrder="1"/>
    </xf>
    <xf numFmtId="0" fontId="39" fillId="18" borderId="55" xfId="0" applyFont="1" applyFill="1" applyBorder="1" applyAlignment="1">
      <alignment horizontal="justify" vertical="top" wrapText="1" readingOrder="1"/>
    </xf>
    <xf numFmtId="0" fontId="28" fillId="0" borderId="1" xfId="0" applyFont="1" applyBorder="1" applyAlignment="1">
      <alignment horizontal="center" vertical="center" wrapText="1"/>
    </xf>
    <xf numFmtId="0" fontId="39" fillId="0" borderId="2" xfId="0" applyFont="1" applyBorder="1" applyAlignment="1">
      <alignment horizontal="justify" vertical="top" wrapText="1" readingOrder="1"/>
    </xf>
    <xf numFmtId="10" fontId="21" fillId="0" borderId="3" xfId="20" applyNumberFormat="1" applyFont="1" applyBorder="1" applyAlignment="1" applyProtection="1">
      <alignment horizontal="center" vertical="center" wrapText="1"/>
    </xf>
    <xf numFmtId="164" fontId="21" fillId="18" borderId="4" xfId="20" applyNumberFormat="1" applyFont="1" applyFill="1" applyBorder="1" applyAlignment="1" applyProtection="1">
      <alignment horizontal="center" vertical="center" wrapText="1"/>
    </xf>
    <xf numFmtId="164" fontId="21" fillId="0" borderId="3" xfId="20" applyNumberFormat="1" applyFont="1" applyBorder="1" applyAlignment="1" applyProtection="1">
      <alignment horizontal="center" vertical="center" wrapText="1"/>
    </xf>
    <xf numFmtId="0" fontId="14" fillId="12" borderId="2" xfId="1" applyFont="1" applyFill="1" applyBorder="1" applyAlignment="1" applyProtection="1">
      <alignment vertical="center"/>
    </xf>
    <xf numFmtId="164" fontId="14" fillId="12" borderId="2" xfId="1" applyNumberFormat="1" applyFont="1" applyFill="1" applyBorder="1" applyAlignment="1" applyProtection="1">
      <alignment horizontal="center" vertical="center"/>
    </xf>
    <xf numFmtId="0" fontId="28" fillId="0" borderId="1" xfId="0" applyFont="1" applyBorder="1" applyAlignment="1">
      <alignment horizontal="center" vertical="center" wrapText="1"/>
    </xf>
    <xf numFmtId="3" fontId="20" fillId="18" borderId="65" xfId="34" applyNumberFormat="1" applyFont="1" applyFill="1" applyBorder="1" applyAlignment="1">
      <alignment horizontal="center" vertical="center" wrapText="1"/>
    </xf>
    <xf numFmtId="9" fontId="20" fillId="18" borderId="65" xfId="6" applyFont="1" applyFill="1" applyBorder="1" applyAlignment="1">
      <alignment horizontal="center" vertical="center" wrapText="1"/>
    </xf>
    <xf numFmtId="14" fontId="76" fillId="34" borderId="6" xfId="0" applyNumberFormat="1" applyFont="1" applyFill="1" applyBorder="1" applyAlignment="1">
      <alignment horizontal="center" vertical="center"/>
    </xf>
    <xf numFmtId="4" fontId="20" fillId="0" borderId="2" xfId="34" applyNumberFormat="1" applyFont="1" applyFill="1" applyBorder="1" applyAlignment="1">
      <alignment horizontal="center" vertical="center" wrapText="1"/>
    </xf>
    <xf numFmtId="10" fontId="21" fillId="0" borderId="8" xfId="20" applyNumberFormat="1" applyFont="1" applyBorder="1" applyAlignment="1" applyProtection="1">
      <alignment horizontal="center" vertical="center" wrapText="1"/>
    </xf>
    <xf numFmtId="164" fontId="21" fillId="18" borderId="67" xfId="34" applyNumberFormat="1" applyFont="1" applyFill="1" applyBorder="1" applyAlignment="1" applyProtection="1">
      <alignment horizontal="center" vertical="center" wrapText="1"/>
    </xf>
    <xf numFmtId="10" fontId="21" fillId="0" borderId="67" xfId="34" applyNumberFormat="1" applyFont="1" applyBorder="1" applyAlignment="1" applyProtection="1">
      <alignment horizontal="center" vertical="center" wrapText="1"/>
    </xf>
    <xf numFmtId="164" fontId="21" fillId="18" borderId="2" xfId="20" applyNumberFormat="1" applyFont="1" applyFill="1" applyBorder="1" applyAlignment="1" applyProtection="1">
      <alignment horizontal="center" vertical="center" wrapText="1"/>
    </xf>
    <xf numFmtId="164" fontId="21" fillId="18" borderId="2" xfId="34" applyNumberFormat="1" applyFont="1" applyFill="1" applyBorder="1" applyAlignment="1" applyProtection="1">
      <alignment horizontal="center" vertical="center" wrapText="1"/>
    </xf>
    <xf numFmtId="10" fontId="21" fillId="0" borderId="2" xfId="34" applyNumberFormat="1" applyFont="1" applyBorder="1" applyAlignment="1" applyProtection="1">
      <alignment horizontal="center" vertical="center" wrapText="1"/>
    </xf>
    <xf numFmtId="164" fontId="21" fillId="0" borderId="1" xfId="0" applyNumberFormat="1" applyFont="1" applyFill="1" applyBorder="1" applyAlignment="1" applyProtection="1">
      <alignment horizontal="center" vertical="center" wrapText="1"/>
    </xf>
    <xf numFmtId="0" fontId="21" fillId="0" borderId="1" xfId="0" applyFont="1" applyFill="1" applyBorder="1" applyAlignment="1" applyProtection="1">
      <alignment horizontal="center" vertical="center" wrapText="1"/>
    </xf>
    <xf numFmtId="164" fontId="21" fillId="0" borderId="1" xfId="34" applyNumberFormat="1" applyFont="1" applyFill="1" applyBorder="1" applyAlignment="1" applyProtection="1">
      <alignment horizontal="center" vertical="center" wrapText="1"/>
    </xf>
    <xf numFmtId="0" fontId="21" fillId="0" borderId="1" xfId="34" applyFont="1" applyFill="1" applyBorder="1" applyAlignment="1" applyProtection="1">
      <alignment horizontal="center" vertical="center" wrapText="1"/>
    </xf>
    <xf numFmtId="10" fontId="21" fillId="0" borderId="1" xfId="34" applyNumberFormat="1" applyFont="1" applyFill="1" applyBorder="1" applyAlignment="1" applyProtection="1">
      <alignment horizontal="center" vertical="center" wrapText="1"/>
    </xf>
    <xf numFmtId="10" fontId="14" fillId="0" borderId="1" xfId="1" applyNumberFormat="1" applyFont="1" applyFill="1" applyBorder="1" applyAlignment="1">
      <alignment horizontal="center" vertical="center"/>
    </xf>
    <xf numFmtId="0" fontId="14"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0" fontId="21" fillId="0" borderId="1" xfId="20" applyNumberFormat="1" applyFont="1" applyFill="1" applyBorder="1" applyAlignment="1" applyProtection="1">
      <alignment horizontal="center" vertical="center" wrapText="1"/>
    </xf>
    <xf numFmtId="164" fontId="21" fillId="0" borderId="1" xfId="20" applyNumberFormat="1" applyFont="1" applyFill="1" applyBorder="1" applyAlignment="1" applyProtection="1">
      <alignment horizontal="center" vertical="center" wrapText="1"/>
    </xf>
    <xf numFmtId="164" fontId="21" fillId="0" borderId="1" xfId="6" applyNumberFormat="1" applyFont="1" applyFill="1" applyBorder="1" applyAlignment="1" applyProtection="1">
      <alignment horizontal="center" vertical="center" wrapText="1"/>
    </xf>
    <xf numFmtId="0" fontId="21" fillId="0" borderId="1" xfId="20" applyFont="1" applyFill="1" applyBorder="1" applyAlignment="1" applyProtection="1">
      <alignment horizontal="center" vertical="center" wrapText="1"/>
    </xf>
    <xf numFmtId="164" fontId="14" fillId="12" borderId="50" xfId="1" applyNumberFormat="1" applyFont="1" applyFill="1" applyBorder="1" applyAlignment="1">
      <alignment horizontal="center" vertical="center"/>
    </xf>
    <xf numFmtId="164" fontId="14" fillId="12" borderId="51" xfId="1" applyNumberFormat="1" applyFont="1" applyFill="1" applyBorder="1" applyAlignment="1">
      <alignment horizontal="center" vertical="center"/>
    </xf>
    <xf numFmtId="10" fontId="21" fillId="0" borderId="54" xfId="20" applyNumberFormat="1" applyFont="1" applyBorder="1" applyAlignment="1" applyProtection="1">
      <alignment horizontal="center" vertical="center" wrapText="1"/>
    </xf>
    <xf numFmtId="10" fontId="21" fillId="0" borderId="7" xfId="20" applyNumberFormat="1" applyFont="1" applyBorder="1" applyAlignment="1" applyProtection="1">
      <alignment horizontal="center" vertical="center" wrapText="1"/>
    </xf>
    <xf numFmtId="164" fontId="21" fillId="18" borderId="54" xfId="6" applyNumberFormat="1" applyFont="1" applyFill="1" applyBorder="1" applyAlignment="1" applyProtection="1">
      <alignment horizontal="center" vertical="center" wrapText="1"/>
    </xf>
    <xf numFmtId="164" fontId="21" fillId="0" borderId="54" xfId="20" applyNumberFormat="1" applyFont="1" applyBorder="1" applyAlignment="1" applyProtection="1">
      <alignment horizontal="center" vertical="center" wrapText="1"/>
    </xf>
    <xf numFmtId="164" fontId="21" fillId="18" borderId="54" xfId="34" applyNumberFormat="1" applyFont="1" applyFill="1" applyBorder="1" applyAlignment="1" applyProtection="1">
      <alignment horizontal="center" vertical="center" wrapText="1"/>
    </xf>
    <xf numFmtId="164" fontId="21" fillId="18" borderId="54" xfId="0" applyNumberFormat="1" applyFont="1" applyFill="1" applyBorder="1" applyAlignment="1" applyProtection="1">
      <alignment horizontal="center" vertical="center" wrapText="1"/>
    </xf>
    <xf numFmtId="0" fontId="14" fillId="12" borderId="75" xfId="1" applyFont="1" applyFill="1" applyBorder="1" applyAlignment="1">
      <alignment vertical="center"/>
    </xf>
    <xf numFmtId="164" fontId="14" fillId="12" borderId="27" xfId="1" applyNumberFormat="1" applyFont="1" applyFill="1" applyBorder="1" applyAlignment="1">
      <alignment horizontal="center" vertical="center"/>
    </xf>
    <xf numFmtId="0" fontId="81" fillId="0" borderId="2" xfId="0" applyFont="1" applyBorder="1" applyAlignment="1">
      <alignment horizontal="right" vertical="center"/>
    </xf>
    <xf numFmtId="0" fontId="81" fillId="0" borderId="2" xfId="0" applyFont="1" applyBorder="1" applyAlignment="1">
      <alignment horizontal="center" vertical="center"/>
    </xf>
    <xf numFmtId="0" fontId="14" fillId="8" borderId="75" xfId="0" applyFont="1" applyFill="1" applyBorder="1" applyAlignment="1">
      <alignment horizontal="center" vertical="center" wrapText="1"/>
    </xf>
    <xf numFmtId="0" fontId="39" fillId="0" borderId="1" xfId="0" applyFont="1" applyBorder="1" applyAlignment="1">
      <alignment vertical="center"/>
    </xf>
    <xf numFmtId="164" fontId="21" fillId="0" borderId="54" xfId="34" applyNumberFormat="1" applyFont="1" applyBorder="1" applyAlignment="1" applyProtection="1">
      <alignment horizontal="center" vertical="center" wrapText="1"/>
    </xf>
    <xf numFmtId="0" fontId="15" fillId="0" borderId="0" xfId="0" applyFont="1" applyAlignment="1" applyProtection="1">
      <alignment vertical="center"/>
      <protection hidden="1"/>
    </xf>
    <xf numFmtId="0" fontId="9" fillId="0" borderId="0" xfId="0" applyFont="1" applyAlignment="1" applyProtection="1">
      <alignment vertical="center"/>
      <protection hidden="1"/>
    </xf>
    <xf numFmtId="0" fontId="25" fillId="24" borderId="2" xfId="0" applyFont="1" applyFill="1" applyBorder="1" applyAlignment="1">
      <alignment horizontal="center" vertical="center"/>
    </xf>
    <xf numFmtId="0" fontId="25" fillId="24" borderId="2" xfId="0" applyFont="1" applyFill="1" applyBorder="1" applyAlignment="1">
      <alignment horizontal="center" vertical="center" wrapText="1"/>
    </xf>
    <xf numFmtId="0" fontId="81" fillId="0" borderId="1" xfId="0" applyFont="1" applyBorder="1" applyAlignment="1">
      <alignment horizontal="center" vertical="center"/>
    </xf>
    <xf numFmtId="0" fontId="14" fillId="12" borderId="1" xfId="1" applyFont="1" applyFill="1" applyBorder="1" applyAlignment="1">
      <alignment vertical="center"/>
    </xf>
    <xf numFmtId="3" fontId="39" fillId="0" borderId="55" xfId="0" applyNumberFormat="1" applyFont="1" applyBorder="1" applyAlignment="1">
      <alignment horizontal="justify" vertical="center" wrapText="1" readingOrder="1"/>
    </xf>
    <xf numFmtId="3" fontId="39" fillId="0" borderId="55" xfId="0" applyNumberFormat="1" applyFont="1" applyBorder="1" applyAlignment="1">
      <alignment horizontal="center" vertical="center" wrapText="1" readingOrder="1"/>
    </xf>
    <xf numFmtId="3" fontId="39" fillId="18" borderId="55" xfId="0" applyNumberFormat="1" applyFont="1" applyFill="1" applyBorder="1" applyAlignment="1">
      <alignment horizontal="center" vertical="center" wrapText="1" readingOrder="1"/>
    </xf>
    <xf numFmtId="9" fontId="39" fillId="0" borderId="55" xfId="6" applyFont="1" applyBorder="1" applyAlignment="1">
      <alignment horizontal="center" vertical="center" wrapText="1" readingOrder="1"/>
    </xf>
    <xf numFmtId="9" fontId="39" fillId="18" borderId="55" xfId="6" applyFont="1" applyFill="1" applyBorder="1" applyAlignment="1">
      <alignment horizontal="center" vertical="center" wrapText="1" readingOrder="1"/>
    </xf>
    <xf numFmtId="3" fontId="39" fillId="18" borderId="55" xfId="0" applyNumberFormat="1" applyFont="1" applyFill="1" applyBorder="1" applyAlignment="1">
      <alignment horizontal="justify" vertical="center" wrapText="1" readingOrder="1"/>
    </xf>
    <xf numFmtId="9" fontId="39" fillId="0" borderId="55" xfId="6" applyFont="1" applyBorder="1" applyAlignment="1">
      <alignment horizontal="justify" vertical="center" wrapText="1" readingOrder="1"/>
    </xf>
    <xf numFmtId="9" fontId="39" fillId="18" borderId="55" xfId="6" applyFont="1" applyFill="1" applyBorder="1" applyAlignment="1">
      <alignment horizontal="justify" vertical="center" wrapText="1" readingOrder="1"/>
    </xf>
    <xf numFmtId="164" fontId="37" fillId="12" borderId="78" xfId="1" applyNumberFormat="1" applyFont="1" applyFill="1" applyBorder="1" applyAlignment="1">
      <alignment horizontal="center" vertical="center"/>
    </xf>
    <xf numFmtId="0" fontId="82" fillId="0" borderId="40" xfId="0" applyFont="1" applyBorder="1" applyAlignment="1">
      <alignment horizontal="justify" vertical="center" wrapText="1"/>
    </xf>
    <xf numFmtId="10" fontId="21" fillId="0" borderId="41" xfId="20" applyNumberFormat="1" applyFont="1" applyBorder="1" applyAlignment="1" applyProtection="1">
      <alignment horizontal="center" vertical="center" wrapText="1"/>
    </xf>
    <xf numFmtId="0" fontId="82" fillId="18" borderId="40" xfId="0" applyFont="1" applyFill="1" applyBorder="1" applyAlignment="1">
      <alignment horizontal="justify" vertical="center" wrapText="1"/>
    </xf>
    <xf numFmtId="164" fontId="21" fillId="18" borderId="41" xfId="20" applyNumberFormat="1" applyFont="1" applyFill="1" applyBorder="1" applyAlignment="1" applyProtection="1">
      <alignment horizontal="center" vertical="center" wrapText="1"/>
    </xf>
    <xf numFmtId="164" fontId="21" fillId="0" borderId="41" xfId="20" applyNumberFormat="1" applyFont="1" applyBorder="1" applyAlignment="1" applyProtection="1">
      <alignment horizontal="center" vertical="center" wrapText="1"/>
    </xf>
    <xf numFmtId="164" fontId="21" fillId="18" borderId="41" xfId="6" applyNumberFormat="1" applyFont="1" applyFill="1" applyBorder="1" applyAlignment="1" applyProtection="1">
      <alignment horizontal="center" vertical="center" wrapText="1"/>
    </xf>
    <xf numFmtId="164" fontId="21" fillId="0" borderId="41" xfId="34" applyNumberFormat="1" applyFont="1" applyBorder="1" applyAlignment="1" applyProtection="1">
      <alignment horizontal="center" vertical="center" wrapText="1"/>
    </xf>
    <xf numFmtId="0" fontId="37" fillId="12" borderId="35" xfId="1" applyFont="1" applyFill="1" applyBorder="1" applyAlignment="1">
      <alignment horizontal="right" vertical="center"/>
    </xf>
    <xf numFmtId="0" fontId="84" fillId="3" borderId="1" xfId="0" applyFont="1" applyFill="1" applyBorder="1" applyAlignment="1">
      <alignment vertical="center"/>
    </xf>
    <xf numFmtId="0" fontId="85" fillId="3" borderId="1" xfId="0" applyFont="1" applyFill="1" applyBorder="1" applyAlignment="1">
      <alignment vertical="center"/>
    </xf>
    <xf numFmtId="0" fontId="84" fillId="3" borderId="1" xfId="0" applyFont="1" applyFill="1" applyBorder="1" applyAlignment="1" applyProtection="1">
      <alignment vertical="center"/>
      <protection hidden="1"/>
    </xf>
    <xf numFmtId="0" fontId="85" fillId="3" borderId="1" xfId="0" applyFont="1" applyFill="1" applyBorder="1" applyAlignment="1" applyProtection="1">
      <alignment vertical="center"/>
      <protection hidden="1"/>
    </xf>
    <xf numFmtId="0" fontId="58" fillId="3" borderId="1" xfId="0" applyFont="1" applyFill="1" applyBorder="1" applyAlignment="1" applyProtection="1">
      <alignment horizontal="justify" vertical="top" wrapText="1" readingOrder="1"/>
      <protection hidden="1"/>
    </xf>
    <xf numFmtId="164" fontId="57" fillId="3" borderId="1" xfId="20" applyNumberFormat="1" applyFont="1" applyFill="1" applyBorder="1" applyAlignment="1" applyProtection="1">
      <alignment horizontal="center" vertical="center" wrapText="1"/>
      <protection hidden="1"/>
    </xf>
    <xf numFmtId="164" fontId="59" fillId="3" borderId="1" xfId="0" applyNumberFormat="1" applyFont="1" applyFill="1" applyBorder="1" applyAlignment="1" applyProtection="1">
      <alignment horizontal="center" vertical="center"/>
      <protection hidden="1"/>
    </xf>
    <xf numFmtId="10" fontId="85" fillId="3" borderId="1" xfId="0" applyNumberFormat="1" applyFont="1" applyFill="1" applyBorder="1" applyAlignment="1">
      <alignment vertical="center"/>
    </xf>
    <xf numFmtId="164" fontId="39" fillId="0" borderId="55" xfId="6" applyNumberFormat="1" applyFont="1" applyBorder="1" applyAlignment="1">
      <alignment horizontal="center" vertical="center" wrapText="1" readingOrder="1"/>
    </xf>
    <xf numFmtId="4" fontId="39" fillId="0" borderId="55" xfId="0" applyNumberFormat="1" applyFont="1" applyBorder="1" applyAlignment="1">
      <alignment horizontal="center" vertical="center" wrapText="1" readingOrder="1"/>
    </xf>
    <xf numFmtId="164" fontId="39" fillId="0" borderId="4" xfId="6" applyNumberFormat="1" applyFont="1" applyBorder="1" applyAlignment="1">
      <alignment horizontal="center" vertical="center" wrapText="1" readingOrder="1"/>
    </xf>
    <xf numFmtId="9" fontId="39" fillId="0" borderId="54" xfId="6" applyFont="1" applyBorder="1" applyAlignment="1">
      <alignment horizontal="center" vertical="center" wrapText="1" readingOrder="1"/>
    </xf>
    <xf numFmtId="9" fontId="39" fillId="18" borderId="54" xfId="6" applyFont="1" applyFill="1" applyBorder="1" applyAlignment="1">
      <alignment horizontal="center" vertical="center" wrapText="1" readingOrder="1"/>
    </xf>
    <xf numFmtId="9" fontId="39" fillId="0" borderId="2" xfId="6" applyFont="1" applyBorder="1" applyAlignment="1">
      <alignment horizontal="center" vertical="center" wrapText="1" readingOrder="1"/>
    </xf>
    <xf numFmtId="164" fontId="39" fillId="0" borderId="2" xfId="6" applyNumberFormat="1" applyFont="1" applyBorder="1" applyAlignment="1">
      <alignment horizontal="center" vertical="center" wrapText="1" readingOrder="1"/>
    </xf>
    <xf numFmtId="9" fontId="39" fillId="18" borderId="2" xfId="6" applyFont="1" applyFill="1" applyBorder="1" applyAlignment="1">
      <alignment horizontal="center" vertical="center" wrapText="1" readingOrder="1"/>
    </xf>
    <xf numFmtId="9" fontId="39" fillId="18" borderId="4" xfId="6" applyFont="1" applyFill="1" applyBorder="1" applyAlignment="1">
      <alignment horizontal="center" vertical="center" wrapText="1" readingOrder="1"/>
    </xf>
    <xf numFmtId="164" fontId="39" fillId="18" borderId="55" xfId="6" applyNumberFormat="1" applyFont="1" applyFill="1" applyBorder="1" applyAlignment="1">
      <alignment horizontal="center" vertical="center" wrapText="1" readingOrder="1"/>
    </xf>
    <xf numFmtId="0" fontId="39" fillId="18" borderId="75" xfId="0" applyFont="1" applyFill="1" applyBorder="1" applyAlignment="1">
      <alignment horizontal="justify" vertical="top" wrapText="1" readingOrder="1"/>
    </xf>
    <xf numFmtId="9" fontId="39" fillId="18" borderId="55" xfId="6" applyFont="1" applyFill="1" applyBorder="1" applyAlignment="1">
      <alignment horizontal="center" vertical="center" wrapText="1" readingOrder="1"/>
    </xf>
    <xf numFmtId="0" fontId="39" fillId="0" borderId="55" xfId="0" applyFont="1" applyBorder="1" applyAlignment="1">
      <alignment horizontal="justify" vertical="top" wrapText="1" readingOrder="1"/>
    </xf>
    <xf numFmtId="0" fontId="39" fillId="0" borderId="4" xfId="0" applyFont="1" applyBorder="1" applyAlignment="1">
      <alignment horizontal="justify" vertical="top" wrapText="1" readingOrder="1"/>
    </xf>
    <xf numFmtId="0" fontId="39" fillId="0" borderId="5" xfId="0" applyFont="1" applyBorder="1" applyAlignment="1">
      <alignment horizontal="justify" vertical="top" wrapText="1" readingOrder="1"/>
    </xf>
    <xf numFmtId="0" fontId="39" fillId="0" borderId="2" xfId="0" applyFont="1" applyBorder="1" applyAlignment="1">
      <alignment horizontal="justify" vertical="top" wrapText="1" readingOrder="1"/>
    </xf>
    <xf numFmtId="0" fontId="28" fillId="0" borderId="1" xfId="0" applyFont="1" applyBorder="1" applyAlignment="1">
      <alignment horizontal="center" vertical="center" wrapText="1"/>
    </xf>
    <xf numFmtId="0" fontId="20" fillId="0" borderId="2" xfId="0" applyFont="1" applyFill="1" applyBorder="1" applyAlignment="1">
      <alignment horizontal="justify" vertical="center" wrapText="1"/>
    </xf>
    <xf numFmtId="0" fontId="28" fillId="0" borderId="1" xfId="0" applyFont="1" applyBorder="1" applyAlignment="1">
      <alignment vertical="center" wrapText="1"/>
    </xf>
    <xf numFmtId="0" fontId="28" fillId="0" borderId="51" xfId="0" applyFont="1" applyBorder="1" applyAlignment="1">
      <alignment horizontal="center" vertical="center" wrapText="1"/>
    </xf>
    <xf numFmtId="0" fontId="86" fillId="0" borderId="51" xfId="0" applyFont="1" applyBorder="1" applyAlignment="1">
      <alignment horizontal="center" vertical="center" wrapText="1"/>
    </xf>
    <xf numFmtId="3" fontId="39" fillId="0" borderId="55" xfId="57" applyNumberFormat="1" applyFont="1" applyBorder="1" applyAlignment="1" applyProtection="1">
      <alignment horizontal="center" vertical="center" wrapText="1"/>
    </xf>
    <xf numFmtId="0" fontId="44" fillId="0" borderId="55" xfId="7" applyNumberFormat="1" applyFont="1" applyBorder="1" applyAlignment="1" applyProtection="1">
      <alignment horizontal="center" vertical="center" wrapText="1"/>
    </xf>
    <xf numFmtId="0" fontId="20" fillId="0" borderId="3" xfId="0" applyFont="1" applyBorder="1" applyAlignment="1" applyProtection="1">
      <alignment horizontal="center" vertical="center" wrapText="1"/>
    </xf>
    <xf numFmtId="164" fontId="21" fillId="0" borderId="3" xfId="6" applyNumberFormat="1" applyFont="1" applyBorder="1" applyAlignment="1" applyProtection="1">
      <alignment horizontal="center" vertical="center" wrapText="1"/>
    </xf>
    <xf numFmtId="164" fontId="21" fillId="0" borderId="3" xfId="6" applyNumberFormat="1" applyFont="1" applyFill="1" applyBorder="1" applyAlignment="1" applyProtection="1">
      <alignment horizontal="center" vertical="center" wrapText="1"/>
    </xf>
    <xf numFmtId="4" fontId="20" fillId="0" borderId="2" xfId="20" applyNumberFormat="1" applyFont="1" applyFill="1" applyBorder="1" applyAlignment="1" applyProtection="1">
      <alignment horizontal="center" vertical="center" wrapText="1"/>
    </xf>
    <xf numFmtId="10" fontId="20" fillId="18" borderId="2" xfId="34" applyNumberFormat="1" applyFont="1" applyFill="1" applyBorder="1" applyAlignment="1" applyProtection="1">
      <alignment horizontal="center" vertical="center" wrapText="1"/>
    </xf>
    <xf numFmtId="164" fontId="24" fillId="0" borderId="0" xfId="6" applyNumberFormat="1" applyFont="1" applyFill="1" applyAlignment="1" applyProtection="1">
      <alignment horizontal="center" vertical="center"/>
      <protection hidden="1"/>
    </xf>
    <xf numFmtId="166" fontId="24" fillId="0" borderId="0" xfId="0" applyNumberFormat="1" applyFont="1" applyFill="1" applyAlignment="1" applyProtection="1">
      <alignment horizontal="center" vertical="center"/>
      <protection hidden="1"/>
    </xf>
    <xf numFmtId="166" fontId="24" fillId="0" borderId="0" xfId="0" applyNumberFormat="1" applyFont="1" applyFill="1" applyProtection="1">
      <protection hidden="1"/>
    </xf>
    <xf numFmtId="4" fontId="24" fillId="0" borderId="0" xfId="0" applyNumberFormat="1" applyFont="1" applyAlignment="1" applyProtection="1">
      <alignment horizontal="center" vertical="center"/>
      <protection hidden="1"/>
    </xf>
    <xf numFmtId="10" fontId="24" fillId="0" borderId="2" xfId="8" applyNumberFormat="1" applyFont="1" applyFill="1" applyBorder="1" applyAlignment="1" applyProtection="1">
      <alignment horizontal="center" vertical="center"/>
      <protection hidden="1"/>
    </xf>
    <xf numFmtId="164" fontId="24" fillId="0" borderId="0" xfId="6" applyNumberFormat="1" applyFont="1" applyAlignment="1" applyProtection="1">
      <alignment horizontal="center" vertical="center"/>
      <protection hidden="1"/>
    </xf>
    <xf numFmtId="164" fontId="72" fillId="0" borderId="2" xfId="0" applyNumberFormat="1" applyFont="1" applyBorder="1" applyAlignment="1">
      <alignment horizontal="center" vertical="center" wrapText="1" readingOrder="1"/>
    </xf>
    <xf numFmtId="164" fontId="73" fillId="0" borderId="2" xfId="0" applyNumberFormat="1" applyFont="1" applyBorder="1" applyAlignment="1">
      <alignment horizontal="center" vertical="center" wrapText="1" readingOrder="1"/>
    </xf>
    <xf numFmtId="0" fontId="24" fillId="44" borderId="0" xfId="0" applyFont="1" applyFill="1"/>
    <xf numFmtId="0" fontId="25" fillId="0" borderId="1" xfId="0" applyFont="1" applyBorder="1"/>
    <xf numFmtId="1" fontId="24" fillId="0" borderId="1" xfId="0" applyNumberFormat="1" applyFont="1" applyBorder="1" applyAlignment="1">
      <alignment horizontal="center" vertical="center"/>
    </xf>
    <xf numFmtId="1" fontId="25" fillId="0" borderId="1" xfId="0" applyNumberFormat="1" applyFont="1" applyFill="1" applyBorder="1" applyAlignment="1">
      <alignment horizontal="center" vertical="center" wrapText="1"/>
    </xf>
    <xf numFmtId="0" fontId="88" fillId="0" borderId="1" xfId="0" applyFont="1" applyFill="1" applyBorder="1" applyAlignment="1">
      <alignment horizontal="center" vertical="center" wrapText="1"/>
    </xf>
    <xf numFmtId="1" fontId="88" fillId="0" borderId="1" xfId="0" applyNumberFormat="1" applyFont="1" applyBorder="1" applyAlignment="1">
      <alignment horizontal="center" vertical="center"/>
    </xf>
    <xf numFmtId="0" fontId="87" fillId="0" borderId="1" xfId="0" applyFont="1" applyBorder="1" applyAlignment="1">
      <alignment horizontal="center" vertical="center"/>
    </xf>
    <xf numFmtId="9" fontId="87" fillId="0" borderId="1" xfId="6" applyFont="1" applyBorder="1" applyAlignment="1">
      <alignment horizontal="center" vertical="center"/>
    </xf>
    <xf numFmtId="0" fontId="87" fillId="0" borderId="1" xfId="0" applyFont="1" applyBorder="1"/>
    <xf numFmtId="3" fontId="39" fillId="0" borderId="55" xfId="0" applyNumberFormat="1" applyFont="1" applyFill="1" applyBorder="1" applyAlignment="1">
      <alignment horizontal="center" vertical="center" wrapText="1" readingOrder="1"/>
    </xf>
    <xf numFmtId="9" fontId="39" fillId="0" borderId="55" xfId="6" applyFont="1" applyFill="1" applyBorder="1" applyAlignment="1">
      <alignment horizontal="center" vertical="center" wrapText="1" readingOrder="1"/>
    </xf>
    <xf numFmtId="9" fontId="20" fillId="3" borderId="2" xfId="6" applyFont="1" applyFill="1" applyBorder="1" applyAlignment="1">
      <alignment horizontal="center" vertical="center" wrapText="1"/>
    </xf>
    <xf numFmtId="0" fontId="89" fillId="0" borderId="2" xfId="0" applyFont="1" applyBorder="1" applyAlignment="1">
      <alignment horizontal="center" vertical="center"/>
    </xf>
    <xf numFmtId="0" fontId="44" fillId="0" borderId="55" xfId="7" applyNumberFormat="1" applyFont="1" applyFill="1" applyBorder="1" applyAlignment="1" applyProtection="1">
      <alignment horizontal="center" vertical="center" wrapText="1"/>
      <protection locked="0"/>
    </xf>
    <xf numFmtId="0" fontId="44" fillId="0" borderId="55" xfId="7" applyNumberFormat="1" applyFont="1" applyBorder="1" applyAlignment="1" applyProtection="1">
      <alignment horizontal="center" vertical="center" wrapText="1"/>
      <protection locked="0"/>
    </xf>
    <xf numFmtId="3" fontId="39" fillId="0" borderId="55" xfId="57" applyNumberFormat="1" applyFont="1" applyFill="1" applyBorder="1" applyAlignment="1" applyProtection="1">
      <alignment horizontal="center" vertical="center" wrapText="1"/>
      <protection locked="0"/>
    </xf>
    <xf numFmtId="3" fontId="39" fillId="18" borderId="55" xfId="57" applyNumberFormat="1" applyFont="1" applyFill="1" applyBorder="1" applyAlignment="1" applyProtection="1">
      <alignment horizontal="center" vertical="center" wrapText="1"/>
    </xf>
    <xf numFmtId="3" fontId="39" fillId="0" borderId="2" xfId="57" applyNumberFormat="1" applyFont="1" applyFill="1" applyBorder="1" applyAlignment="1" applyProtection="1">
      <alignment horizontal="center" vertical="center" wrapText="1"/>
    </xf>
    <xf numFmtId="0" fontId="20" fillId="0" borderId="55" xfId="0" applyFont="1" applyBorder="1" applyAlignment="1" applyProtection="1">
      <alignment horizontal="center" vertical="center" wrapText="1"/>
    </xf>
    <xf numFmtId="0" fontId="39" fillId="0" borderId="55" xfId="7" applyNumberFormat="1" applyFont="1" applyBorder="1" applyAlignment="1" applyProtection="1">
      <alignment horizontal="center" vertical="center" wrapText="1"/>
    </xf>
    <xf numFmtId="0" fontId="69" fillId="0" borderId="0" xfId="0" applyFont="1" applyFill="1" applyProtection="1">
      <protection hidden="1"/>
    </xf>
    <xf numFmtId="3" fontId="24" fillId="0" borderId="2" xfId="0" applyNumberFormat="1" applyFont="1" applyFill="1" applyBorder="1" applyAlignment="1" applyProtection="1">
      <alignment horizontal="center" vertical="center" wrapText="1"/>
      <protection locked="0"/>
    </xf>
    <xf numFmtId="3" fontId="24" fillId="5" borderId="2" xfId="0" applyNumberFormat="1" applyFont="1" applyFill="1" applyBorder="1" applyAlignment="1" applyProtection="1">
      <alignment horizontal="center" vertical="center" wrapText="1"/>
      <protection locked="0"/>
    </xf>
    <xf numFmtId="164" fontId="20" fillId="23" borderId="65" xfId="8" applyNumberFormat="1" applyFont="1" applyFill="1" applyBorder="1" applyAlignment="1" applyProtection="1">
      <alignment horizontal="center" vertical="center" wrapText="1"/>
    </xf>
    <xf numFmtId="0" fontId="25" fillId="9" borderId="46" xfId="0" applyFont="1" applyFill="1" applyBorder="1" applyAlignment="1">
      <alignment horizontal="center" vertical="center"/>
    </xf>
    <xf numFmtId="0" fontId="9" fillId="0" borderId="0" xfId="0" applyFont="1" applyFill="1" applyAlignment="1" applyProtection="1">
      <alignment vertical="center"/>
    </xf>
    <xf numFmtId="164" fontId="20" fillId="0" borderId="2" xfId="6" applyNumberFormat="1" applyFont="1" applyFill="1" applyBorder="1" applyAlignment="1" applyProtection="1">
      <alignment horizontal="center" vertical="center" wrapText="1"/>
    </xf>
    <xf numFmtId="164" fontId="20" fillId="0" borderId="2" xfId="20" applyNumberFormat="1" applyFont="1" applyBorder="1" applyAlignment="1" applyProtection="1">
      <alignment horizontal="center" vertical="center" wrapText="1"/>
    </xf>
    <xf numFmtId="9" fontId="21" fillId="7" borderId="3" xfId="6" applyNumberFormat="1" applyFont="1" applyFill="1" applyBorder="1" applyAlignment="1" applyProtection="1">
      <alignment horizontal="center" vertical="center"/>
    </xf>
    <xf numFmtId="164" fontId="24" fillId="0" borderId="2" xfId="6" applyNumberFormat="1" applyFont="1" applyBorder="1" applyAlignment="1" applyProtection="1">
      <alignment horizontal="center" vertical="center"/>
      <protection hidden="1"/>
    </xf>
    <xf numFmtId="0" fontId="90" fillId="0" borderId="0" xfId="0" applyFont="1" applyAlignment="1">
      <alignment vertical="center"/>
    </xf>
    <xf numFmtId="0" fontId="91" fillId="0" borderId="0" xfId="0" applyFont="1" applyAlignment="1">
      <alignment vertical="center"/>
    </xf>
    <xf numFmtId="0" fontId="90" fillId="3" borderId="1" xfId="0" applyFont="1" applyFill="1" applyBorder="1" applyAlignment="1">
      <alignment vertical="center"/>
    </xf>
    <xf numFmtId="0" fontId="91" fillId="3" borderId="1" xfId="0" applyFont="1" applyFill="1" applyBorder="1" applyAlignment="1">
      <alignment vertical="center"/>
    </xf>
    <xf numFmtId="0" fontId="39" fillId="0" borderId="55" xfId="0" applyFont="1" applyBorder="1" applyAlignment="1">
      <alignment horizontal="justify" vertical="center" wrapText="1" readingOrder="1"/>
    </xf>
    <xf numFmtId="0" fontId="39" fillId="18" borderId="55" xfId="0" applyFont="1" applyFill="1" applyBorder="1" applyAlignment="1">
      <alignment horizontal="justify" vertical="center" wrapText="1" readingOrder="1"/>
    </xf>
    <xf numFmtId="0" fontId="39" fillId="0" borderId="2" xfId="0" applyFont="1" applyBorder="1" applyAlignment="1">
      <alignment horizontal="justify" vertical="center" wrapText="1" readingOrder="1"/>
    </xf>
    <xf numFmtId="0" fontId="39" fillId="18" borderId="2" xfId="0" applyFont="1" applyFill="1" applyBorder="1" applyAlignment="1">
      <alignment horizontal="justify" vertical="center" wrapText="1" readingOrder="1"/>
    </xf>
    <xf numFmtId="0" fontId="42" fillId="0" borderId="2" xfId="0" applyFont="1" applyBorder="1" applyAlignment="1">
      <alignment horizontal="justify" vertical="center" wrapText="1"/>
    </xf>
    <xf numFmtId="0" fontId="42" fillId="3" borderId="2" xfId="0" applyFont="1" applyFill="1" applyBorder="1" applyAlignment="1">
      <alignment horizontal="justify" vertical="center" wrapText="1"/>
    </xf>
    <xf numFmtId="0" fontId="78" fillId="39" borderId="67" xfId="0" applyFont="1" applyFill="1" applyBorder="1" applyAlignment="1">
      <alignment vertical="center"/>
    </xf>
    <xf numFmtId="0" fontId="78" fillId="39" borderId="1" xfId="0" applyFont="1" applyFill="1" applyBorder="1" applyAlignment="1">
      <alignment vertical="center"/>
    </xf>
    <xf numFmtId="0" fontId="78" fillId="39" borderId="47" xfId="0" applyFont="1" applyFill="1" applyBorder="1" applyAlignment="1">
      <alignment vertical="center"/>
    </xf>
    <xf numFmtId="168" fontId="24" fillId="39" borderId="76" xfId="0" applyNumberFormat="1" applyFont="1" applyFill="1" applyBorder="1" applyAlignment="1">
      <alignment horizontal="left"/>
    </xf>
    <xf numFmtId="168" fontId="24" fillId="39" borderId="83" xfId="0" applyNumberFormat="1" applyFont="1" applyFill="1" applyBorder="1"/>
    <xf numFmtId="0" fontId="25" fillId="39" borderId="6" xfId="0" applyFont="1" applyFill="1" applyBorder="1" applyAlignment="1">
      <alignment horizontal="left"/>
    </xf>
    <xf numFmtId="164" fontId="52" fillId="9" borderId="2" xfId="6" applyNumberFormat="1" applyFont="1" applyFill="1" applyBorder="1" applyAlignment="1" applyProtection="1">
      <alignment horizontal="center"/>
    </xf>
    <xf numFmtId="0" fontId="25" fillId="15" borderId="2" xfId="0" applyFont="1" applyFill="1" applyBorder="1" applyAlignment="1">
      <alignment vertical="center" wrapText="1"/>
    </xf>
    <xf numFmtId="0" fontId="25" fillId="3" borderId="55" xfId="23" applyFont="1" applyFill="1" applyBorder="1" applyAlignment="1">
      <alignment horizontal="left"/>
    </xf>
    <xf numFmtId="0" fontId="25" fillId="3" borderId="80" xfId="23" applyFont="1" applyFill="1" applyBorder="1" applyAlignment="1">
      <alignment horizontal="left"/>
    </xf>
    <xf numFmtId="0" fontId="24" fillId="3" borderId="75" xfId="23" applyFont="1" applyFill="1" applyBorder="1" applyAlignment="1">
      <alignment horizontal="left"/>
    </xf>
    <xf numFmtId="0" fontId="24" fillId="3" borderId="81" xfId="23" applyFont="1" applyFill="1" applyBorder="1" applyAlignment="1">
      <alignment horizontal="center"/>
    </xf>
    <xf numFmtId="0" fontId="25" fillId="9" borderId="2" xfId="23" applyFont="1" applyFill="1" applyBorder="1" applyAlignment="1">
      <alignment horizontal="center" vertical="center"/>
    </xf>
    <xf numFmtId="9" fontId="20" fillId="0" borderId="2" xfId="20" applyNumberFormat="1" applyFont="1" applyFill="1" applyBorder="1" applyAlignment="1" applyProtection="1">
      <alignment horizontal="center" vertical="center" wrapText="1"/>
    </xf>
    <xf numFmtId="9" fontId="25" fillId="0" borderId="62" xfId="0" applyNumberFormat="1" applyFont="1" applyBorder="1" applyAlignment="1">
      <alignment horizontal="center" vertical="center" wrapText="1"/>
    </xf>
    <xf numFmtId="164" fontId="20" fillId="18" borderId="2" xfId="0" applyNumberFormat="1" applyFont="1" applyFill="1" applyBorder="1" applyAlignment="1" applyProtection="1">
      <alignment horizontal="center" vertical="center" wrapText="1"/>
    </xf>
    <xf numFmtId="164" fontId="39" fillId="18" borderId="3" xfId="6" applyNumberFormat="1" applyFont="1" applyFill="1" applyBorder="1" applyAlignment="1" applyProtection="1">
      <alignment horizontal="center" vertical="center"/>
    </xf>
    <xf numFmtId="0" fontId="20" fillId="0" borderId="3" xfId="0" applyFont="1" applyBorder="1" applyAlignment="1" applyProtection="1">
      <alignment horizontal="center" vertical="center" wrapText="1"/>
    </xf>
    <xf numFmtId="0" fontId="25" fillId="29" borderId="2" xfId="0" applyFont="1" applyFill="1" applyBorder="1" applyAlignment="1" applyProtection="1">
      <alignment horizontal="center" vertical="center" wrapText="1"/>
      <protection hidden="1"/>
    </xf>
    <xf numFmtId="0" fontId="25" fillId="27" borderId="2" xfId="0" applyFont="1" applyFill="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0" fontId="24" fillId="18" borderId="2" xfId="0" applyFont="1" applyFill="1" applyBorder="1" applyAlignment="1" applyProtection="1">
      <alignment horizontal="justify" vertical="center" wrapText="1"/>
    </xf>
    <xf numFmtId="9" fontId="24" fillId="18" borderId="2" xfId="6" applyFont="1" applyFill="1" applyBorder="1" applyAlignment="1" applyProtection="1">
      <alignment horizontal="center" vertical="center" wrapText="1"/>
    </xf>
    <xf numFmtId="9" fontId="24" fillId="18" borderId="2" xfId="0" applyNumberFormat="1" applyFont="1" applyFill="1" applyBorder="1" applyAlignment="1" applyProtection="1">
      <alignment horizontal="center" vertical="center" wrapText="1"/>
    </xf>
    <xf numFmtId="0" fontId="24" fillId="18" borderId="3" xfId="0" applyFont="1" applyFill="1" applyBorder="1" applyAlignment="1" applyProtection="1">
      <alignment horizontal="center" vertical="center" wrapText="1"/>
    </xf>
    <xf numFmtId="0" fontId="24" fillId="18" borderId="2" xfId="0" applyNumberFormat="1" applyFont="1" applyFill="1" applyBorder="1" applyAlignment="1" applyProtection="1">
      <alignment horizontal="justify" vertical="center" wrapText="1"/>
    </xf>
    <xf numFmtId="0" fontId="24" fillId="18" borderId="2" xfId="20" applyFont="1" applyFill="1" applyBorder="1" applyAlignment="1" applyProtection="1">
      <alignment horizontal="justify" vertical="center" wrapText="1"/>
    </xf>
    <xf numFmtId="0" fontId="24" fillId="18" borderId="2" xfId="0" applyNumberFormat="1" applyFont="1" applyFill="1" applyBorder="1" applyAlignment="1" applyProtection="1">
      <alignment horizontal="center" vertical="center" wrapText="1"/>
    </xf>
    <xf numFmtId="0" fontId="20" fillId="0" borderId="55" xfId="0" applyFont="1" applyBorder="1" applyAlignment="1" applyProtection="1">
      <alignment horizontal="justify" vertical="center" wrapText="1"/>
    </xf>
    <xf numFmtId="0" fontId="20" fillId="0" borderId="65" xfId="0" applyFont="1" applyBorder="1" applyAlignment="1" applyProtection="1">
      <alignment horizontal="justify" vertical="center" wrapText="1"/>
    </xf>
    <xf numFmtId="0" fontId="20" fillId="0" borderId="55" xfId="36" applyNumberFormat="1" applyFont="1" applyBorder="1" applyAlignment="1" applyProtection="1">
      <alignment horizontal="center" vertical="center" wrapText="1"/>
    </xf>
    <xf numFmtId="9" fontId="42" fillId="18" borderId="2" xfId="5" applyNumberFormat="1" applyFont="1" applyFill="1" applyBorder="1" applyAlignment="1" applyProtection="1">
      <alignment horizontal="center" vertical="center" wrapText="1"/>
    </xf>
    <xf numFmtId="9" fontId="21" fillId="0" borderId="55" xfId="8" applyFont="1" applyBorder="1" applyAlignment="1" applyProtection="1">
      <alignment horizontal="center" vertical="center" wrapText="1"/>
    </xf>
    <xf numFmtId="10" fontId="21" fillId="0" borderId="55" xfId="8" applyNumberFormat="1" applyFont="1" applyBorder="1" applyAlignment="1" applyProtection="1">
      <alignment horizontal="center" vertical="center" wrapText="1"/>
    </xf>
    <xf numFmtId="164" fontId="21" fillId="0" borderId="55" xfId="8" applyNumberFormat="1" applyFont="1" applyBorder="1" applyAlignment="1" applyProtection="1">
      <alignment horizontal="center" vertical="center" wrapText="1"/>
    </xf>
    <xf numFmtId="0" fontId="21" fillId="0" borderId="55" xfId="57" applyNumberFormat="1" applyFont="1" applyBorder="1" applyAlignment="1" applyProtection="1">
      <alignment horizontal="center" vertical="center" wrapText="1"/>
    </xf>
    <xf numFmtId="9" fontId="21" fillId="0" borderId="55" xfId="8" applyFont="1" applyFill="1" applyBorder="1" applyAlignment="1" applyProtection="1">
      <alignment horizontal="center" vertical="center" wrapText="1"/>
    </xf>
    <xf numFmtId="10" fontId="21" fillId="0" borderId="55" xfId="8" applyNumberFormat="1" applyFont="1" applyFill="1" applyBorder="1" applyAlignment="1" applyProtection="1">
      <alignment horizontal="center" vertical="center" wrapText="1"/>
    </xf>
    <xf numFmtId="0" fontId="21" fillId="0" borderId="55" xfId="57" applyNumberFormat="1" applyFont="1" applyFill="1" applyBorder="1" applyAlignment="1" applyProtection="1">
      <alignment horizontal="center" vertical="center" wrapText="1"/>
    </xf>
    <xf numFmtId="0" fontId="39" fillId="0" borderId="55" xfId="36" applyNumberFormat="1" applyFont="1" applyBorder="1" applyAlignment="1" applyProtection="1">
      <alignment horizontal="center" vertical="center" wrapText="1"/>
    </xf>
    <xf numFmtId="0" fontId="21" fillId="0" borderId="55" xfId="57" applyNumberFormat="1" applyFont="1" applyBorder="1" applyAlignment="1" applyProtection="1">
      <alignment horizontal="center" vertical="center" wrapText="1"/>
      <protection locked="0"/>
    </xf>
    <xf numFmtId="0" fontId="21" fillId="0" borderId="55" xfId="57" applyNumberFormat="1" applyFont="1" applyFill="1" applyBorder="1" applyAlignment="1" applyProtection="1">
      <alignment horizontal="center" vertical="center" wrapText="1"/>
      <protection locked="0"/>
    </xf>
    <xf numFmtId="0" fontId="39" fillId="0" borderId="55" xfId="36" applyNumberFormat="1" applyFont="1" applyFill="1" applyBorder="1" applyAlignment="1" applyProtection="1">
      <alignment horizontal="center" vertical="center" wrapText="1"/>
    </xf>
    <xf numFmtId="9" fontId="39" fillId="0" borderId="55" xfId="8" applyFont="1" applyBorder="1" applyAlignment="1" applyProtection="1">
      <alignment horizontal="center" vertical="center" wrapText="1"/>
    </xf>
    <xf numFmtId="0" fontId="20" fillId="0" borderId="6" xfId="34" applyFont="1" applyBorder="1" applyAlignment="1">
      <alignment horizontal="center" vertical="center" wrapText="1"/>
    </xf>
    <xf numFmtId="3" fontId="20" fillId="0" borderId="6" xfId="34" applyNumberFormat="1" applyFont="1" applyBorder="1" applyAlignment="1">
      <alignment horizontal="center" vertical="center" wrapText="1"/>
    </xf>
    <xf numFmtId="0" fontId="20" fillId="0" borderId="55" xfId="0" applyFont="1" applyBorder="1" applyAlignment="1">
      <alignment horizontal="center" vertical="center" wrapText="1"/>
    </xf>
    <xf numFmtId="0" fontId="20" fillId="0" borderId="2" xfId="34" applyFont="1" applyBorder="1" applyAlignment="1">
      <alignment horizontal="justify" vertical="center" wrapText="1"/>
    </xf>
    <xf numFmtId="9" fontId="44" fillId="0" borderId="55" xfId="8" applyFont="1" applyBorder="1" applyAlignment="1" applyProtection="1">
      <alignment horizontal="center" vertical="center" wrapText="1"/>
    </xf>
    <xf numFmtId="0" fontId="44" fillId="0" borderId="55" xfId="7" applyNumberFormat="1" applyFont="1" applyFill="1" applyBorder="1" applyAlignment="1" applyProtection="1">
      <alignment horizontal="center" vertical="center" wrapText="1"/>
    </xf>
    <xf numFmtId="0" fontId="21" fillId="0" borderId="55" xfId="7" applyNumberFormat="1" applyFont="1" applyBorder="1" applyAlignment="1" applyProtection="1">
      <alignment horizontal="center" vertical="center" wrapText="1"/>
    </xf>
    <xf numFmtId="0" fontId="21" fillId="0" borderId="55" xfId="7" applyNumberFormat="1" applyFont="1" applyFill="1" applyBorder="1" applyAlignment="1" applyProtection="1">
      <alignment horizontal="center" vertical="center" wrapText="1"/>
    </xf>
    <xf numFmtId="0" fontId="21" fillId="0" borderId="55" xfId="0" applyFont="1" applyBorder="1" applyAlignment="1">
      <alignment horizontal="center" vertical="center" wrapText="1"/>
    </xf>
    <xf numFmtId="9" fontId="39" fillId="0" borderId="55" xfId="7" applyNumberFormat="1" applyFont="1" applyBorder="1" applyAlignment="1" applyProtection="1">
      <alignment horizontal="center" vertical="center" wrapText="1"/>
    </xf>
    <xf numFmtId="2" fontId="39" fillId="0" borderId="55" xfId="7" applyNumberFormat="1" applyFont="1" applyBorder="1" applyAlignment="1" applyProtection="1">
      <alignment horizontal="center" vertical="center" wrapText="1"/>
    </xf>
    <xf numFmtId="2" fontId="39" fillId="0" borderId="55" xfId="8" applyNumberFormat="1" applyFont="1" applyBorder="1" applyAlignment="1" applyProtection="1">
      <alignment horizontal="center" vertical="center" wrapText="1"/>
    </xf>
    <xf numFmtId="10" fontId="39" fillId="0" borderId="55" xfId="7" applyNumberFormat="1" applyFont="1" applyBorder="1" applyAlignment="1" applyProtection="1">
      <alignment horizontal="center" vertical="center" wrapText="1"/>
    </xf>
    <xf numFmtId="164" fontId="39" fillId="0" borderId="55" xfId="8" applyNumberFormat="1" applyFont="1" applyBorder="1" applyAlignment="1" applyProtection="1">
      <alignment horizontal="center" vertical="center" wrapText="1"/>
    </xf>
    <xf numFmtId="0" fontId="39" fillId="0" borderId="55" xfId="7" applyNumberFormat="1" applyFont="1" applyFill="1" applyBorder="1" applyAlignment="1" applyProtection="1">
      <alignment horizontal="center" vertical="center" wrapText="1"/>
    </xf>
    <xf numFmtId="2" fontId="39" fillId="0" borderId="55" xfId="7" applyNumberFormat="1" applyFont="1" applyFill="1" applyBorder="1" applyAlignment="1" applyProtection="1">
      <alignment horizontal="center" vertical="center" wrapText="1"/>
    </xf>
    <xf numFmtId="9" fontId="58" fillId="0" borderId="55" xfId="8" applyFont="1" applyBorder="1" applyAlignment="1" applyProtection="1">
      <alignment horizontal="center" vertical="center" wrapText="1"/>
    </xf>
    <xf numFmtId="10" fontId="39" fillId="3" borderId="55" xfId="36" applyNumberFormat="1" applyFont="1" applyFill="1" applyBorder="1" applyAlignment="1" applyProtection="1">
      <alignment horizontal="center" vertical="center" wrapText="1"/>
    </xf>
    <xf numFmtId="10" fontId="39" fillId="0" borderId="55" xfId="36" applyNumberFormat="1" applyFont="1" applyBorder="1" applyAlignment="1" applyProtection="1">
      <alignment horizontal="center" vertical="center" wrapText="1"/>
    </xf>
    <xf numFmtId="10" fontId="39" fillId="0" borderId="55" xfId="8" applyNumberFormat="1" applyFont="1" applyBorder="1" applyAlignment="1" applyProtection="1">
      <alignment horizontal="center" vertical="center" wrapText="1"/>
    </xf>
    <xf numFmtId="0" fontId="39" fillId="0" borderId="55" xfId="37" applyNumberFormat="1" applyFont="1" applyBorder="1" applyAlignment="1" applyProtection="1">
      <alignment horizontal="center" vertical="center" wrapText="1"/>
    </xf>
    <xf numFmtId="0" fontId="39" fillId="0" borderId="55" xfId="38" applyNumberFormat="1" applyFont="1" applyBorder="1" applyAlignment="1" applyProtection="1">
      <alignment horizontal="center" vertical="center" wrapText="1"/>
    </xf>
    <xf numFmtId="10" fontId="39" fillId="0" borderId="55" xfId="36" applyNumberFormat="1" applyFont="1" applyFill="1" applyBorder="1" applyAlignment="1" applyProtection="1">
      <alignment horizontal="center" vertical="center" wrapText="1"/>
    </xf>
    <xf numFmtId="0" fontId="39" fillId="0" borderId="55" xfId="39" applyNumberFormat="1" applyFont="1" applyBorder="1" applyAlignment="1" applyProtection="1">
      <alignment horizontal="center" vertical="center" wrapText="1"/>
    </xf>
    <xf numFmtId="0" fontId="39" fillId="0" borderId="55" xfId="39" applyNumberFormat="1" applyFont="1" applyFill="1" applyBorder="1" applyAlignment="1" applyProtection="1">
      <alignment horizontal="center" vertical="center" wrapText="1"/>
    </xf>
    <xf numFmtId="0" fontId="39" fillId="0" borderId="55" xfId="40" applyNumberFormat="1" applyFont="1" applyBorder="1" applyAlignment="1" applyProtection="1">
      <alignment horizontal="center" vertical="center" wrapText="1"/>
    </xf>
    <xf numFmtId="3" fontId="39" fillId="7" borderId="3" xfId="8" applyNumberFormat="1" applyFont="1" applyFill="1" applyBorder="1" applyAlignment="1" applyProtection="1">
      <alignment horizontal="center" vertical="center"/>
    </xf>
    <xf numFmtId="164" fontId="39" fillId="0" borderId="55" xfId="8" applyNumberFormat="1" applyFont="1" applyFill="1" applyBorder="1" applyAlignment="1" applyProtection="1">
      <alignment horizontal="center" vertical="center" wrapText="1"/>
    </xf>
    <xf numFmtId="9" fontId="39" fillId="0" borderId="55" xfId="8" applyFont="1" applyFill="1" applyBorder="1" applyAlignment="1" applyProtection="1">
      <alignment horizontal="center" vertical="center" wrapText="1"/>
    </xf>
    <xf numFmtId="9" fontId="39" fillId="7" borderId="55" xfId="8" applyFont="1" applyFill="1" applyBorder="1" applyAlignment="1" applyProtection="1">
      <alignment horizontal="center" vertical="center"/>
    </xf>
    <xf numFmtId="0" fontId="20" fillId="0" borderId="6" xfId="34" applyFont="1" applyBorder="1" applyAlignment="1">
      <alignment horizontal="left" vertical="center" wrapText="1"/>
    </xf>
    <xf numFmtId="9" fontId="39" fillId="0" borderId="55" xfId="36" applyNumberFormat="1" applyFont="1" applyBorder="1" applyAlignment="1" applyProtection="1">
      <alignment horizontal="center" vertical="center" wrapText="1"/>
    </xf>
    <xf numFmtId="9" fontId="20" fillId="0" borderId="55" xfId="7" applyNumberFormat="1" applyFont="1" applyBorder="1" applyAlignment="1" applyProtection="1">
      <alignment horizontal="center" vertical="center" wrapText="1"/>
    </xf>
    <xf numFmtId="0" fontId="20" fillId="0" borderId="55" xfId="7" applyNumberFormat="1" applyFont="1" applyBorder="1" applyAlignment="1" applyProtection="1">
      <alignment horizontal="center" vertical="center" wrapText="1"/>
    </xf>
    <xf numFmtId="0" fontId="20" fillId="0" borderId="55" xfId="7" applyNumberFormat="1" applyFont="1" applyFill="1" applyBorder="1" applyAlignment="1" applyProtection="1">
      <alignment horizontal="center" vertical="center" wrapText="1"/>
    </xf>
    <xf numFmtId="0" fontId="14" fillId="0" borderId="0" xfId="0" applyFont="1"/>
    <xf numFmtId="0" fontId="93" fillId="25" borderId="2" xfId="0" applyFont="1" applyFill="1" applyBorder="1" applyAlignment="1">
      <alignment horizontal="justify" vertical="center"/>
    </xf>
    <xf numFmtId="0" fontId="25" fillId="29" borderId="2" xfId="0" applyFont="1" applyFill="1" applyBorder="1" applyAlignment="1" applyProtection="1">
      <alignment horizontal="center" vertical="center" wrapText="1"/>
      <protection hidden="1"/>
    </xf>
    <xf numFmtId="0" fontId="25" fillId="27" borderId="2" xfId="0" applyFont="1" applyFill="1" applyBorder="1" applyAlignment="1" applyProtection="1">
      <alignment horizontal="center" vertical="center" wrapText="1"/>
      <protection hidden="1"/>
    </xf>
    <xf numFmtId="0" fontId="25" fillId="29" borderId="2" xfId="0" applyFont="1" applyFill="1" applyBorder="1" applyAlignment="1" applyProtection="1">
      <alignment horizontal="center" vertical="center"/>
      <protection hidden="1"/>
    </xf>
    <xf numFmtId="0" fontId="25" fillId="0" borderId="1" xfId="0" applyFont="1" applyFill="1" applyBorder="1" applyAlignment="1" applyProtection="1">
      <alignment horizontal="center" vertical="center" wrapText="1"/>
      <protection hidden="1"/>
    </xf>
    <xf numFmtId="0" fontId="25" fillId="29" borderId="2" xfId="0" applyFont="1" applyFill="1" applyBorder="1" applyAlignment="1" applyProtection="1">
      <alignment horizontal="center" vertical="center" wrapText="1"/>
      <protection hidden="1"/>
    </xf>
    <xf numFmtId="0" fontId="25" fillId="27" borderId="2" xfId="0" applyFont="1" applyFill="1" applyBorder="1" applyAlignment="1" applyProtection="1">
      <alignment horizontal="center" vertical="center" wrapText="1"/>
      <protection hidden="1"/>
    </xf>
    <xf numFmtId="0" fontId="25" fillId="29" borderId="2" xfId="0" applyFont="1" applyFill="1" applyBorder="1" applyAlignment="1" applyProtection="1">
      <alignment horizontal="center" vertical="center"/>
      <protection hidden="1"/>
    </xf>
    <xf numFmtId="14" fontId="94" fillId="0" borderId="0" xfId="0" applyNumberFormat="1" applyFont="1" applyAlignment="1">
      <alignment horizontal="center"/>
    </xf>
    <xf numFmtId="0" fontId="25" fillId="29" borderId="2" xfId="0" applyFont="1" applyFill="1" applyBorder="1" applyAlignment="1" applyProtection="1">
      <alignment horizontal="center" vertical="center" wrapText="1"/>
      <protection hidden="1"/>
    </xf>
    <xf numFmtId="0" fontId="25" fillId="29" borderId="2" xfId="0" applyFont="1" applyFill="1" applyBorder="1" applyAlignment="1" applyProtection="1">
      <alignment horizontal="center" vertical="center" wrapText="1"/>
      <protection hidden="1"/>
    </xf>
    <xf numFmtId="0" fontId="69" fillId="0" borderId="0" xfId="0" applyFont="1" applyAlignment="1" applyProtection="1">
      <alignment horizontal="right"/>
      <protection hidden="1"/>
    </xf>
    <xf numFmtId="10" fontId="21" fillId="0" borderId="3" xfId="8" applyNumberFormat="1" applyFont="1" applyBorder="1" applyAlignment="1" applyProtection="1">
      <alignment horizontal="center" vertical="center" wrapText="1"/>
    </xf>
    <xf numFmtId="9" fontId="39" fillId="7" borderId="3" xfId="8" applyNumberFormat="1" applyFont="1" applyFill="1" applyBorder="1" applyAlignment="1" applyProtection="1">
      <alignment horizontal="center" vertical="center"/>
    </xf>
    <xf numFmtId="164" fontId="39" fillId="0" borderId="55" xfId="36" applyNumberFormat="1" applyFont="1" applyBorder="1" applyAlignment="1" applyProtection="1">
      <alignment horizontal="center" vertical="center" wrapText="1"/>
    </xf>
    <xf numFmtId="164" fontId="20" fillId="0" borderId="55" xfId="7" applyNumberFormat="1" applyFont="1" applyBorder="1" applyAlignment="1" applyProtection="1">
      <alignment horizontal="center" vertical="center" wrapText="1"/>
    </xf>
    <xf numFmtId="4" fontId="95" fillId="7" borderId="3" xfId="8" applyNumberFormat="1" applyFont="1" applyFill="1" applyBorder="1" applyAlignment="1" applyProtection="1">
      <alignment horizontal="center" vertical="center"/>
    </xf>
    <xf numFmtId="3" fontId="95" fillId="7" borderId="3" xfId="8" applyNumberFormat="1" applyFont="1" applyFill="1" applyBorder="1" applyAlignment="1" applyProtection="1">
      <alignment horizontal="center" vertical="center"/>
    </xf>
    <xf numFmtId="9" fontId="53" fillId="5" borderId="3" xfId="8" applyFont="1" applyFill="1" applyBorder="1" applyAlignment="1" applyProtection="1">
      <alignment horizontal="center" vertical="center"/>
    </xf>
    <xf numFmtId="9" fontId="57" fillId="0" borderId="3" xfId="8" applyFont="1" applyFill="1" applyBorder="1" applyAlignment="1" applyProtection="1">
      <alignment horizontal="center" vertical="center"/>
    </xf>
    <xf numFmtId="164" fontId="57" fillId="0" borderId="3" xfId="8" applyNumberFormat="1" applyFont="1" applyFill="1" applyBorder="1" applyAlignment="1" applyProtection="1">
      <alignment horizontal="center" vertical="center"/>
    </xf>
    <xf numFmtId="164" fontId="95" fillId="7" borderId="3" xfId="6" applyNumberFormat="1" applyFont="1" applyFill="1" applyBorder="1" applyAlignment="1" applyProtection="1">
      <alignment horizontal="center" vertical="center"/>
    </xf>
    <xf numFmtId="3" fontId="96" fillId="7" borderId="3" xfId="0" applyNumberFormat="1" applyFont="1" applyFill="1" applyBorder="1" applyAlignment="1" applyProtection="1">
      <alignment horizontal="center" vertical="center"/>
    </xf>
    <xf numFmtId="9" fontId="57" fillId="0" borderId="3" xfId="6" applyFont="1" applyFill="1" applyBorder="1" applyAlignment="1" applyProtection="1">
      <alignment horizontal="center" vertical="center"/>
    </xf>
    <xf numFmtId="164" fontId="57" fillId="0" borderId="3" xfId="6" applyNumberFormat="1" applyFont="1" applyFill="1" applyBorder="1" applyAlignment="1" applyProtection="1">
      <alignment horizontal="center" vertical="center"/>
    </xf>
    <xf numFmtId="9" fontId="58" fillId="0" borderId="3" xfId="6" applyFont="1" applyBorder="1" applyAlignment="1" applyProtection="1">
      <alignment horizontal="center" vertical="center" wrapText="1"/>
    </xf>
    <xf numFmtId="9" fontId="95" fillId="7" borderId="3" xfId="6" applyFont="1" applyFill="1" applyBorder="1" applyAlignment="1" applyProtection="1">
      <alignment horizontal="center" vertical="center"/>
    </xf>
    <xf numFmtId="9" fontId="57" fillId="0" borderId="3" xfId="8" applyNumberFormat="1" applyFont="1" applyFill="1" applyBorder="1" applyAlignment="1" applyProtection="1">
      <alignment horizontal="center" vertical="center"/>
    </xf>
    <xf numFmtId="9" fontId="58" fillId="0" borderId="55" xfId="6" applyFont="1" applyBorder="1" applyAlignment="1" applyProtection="1">
      <alignment horizontal="center" vertical="center" wrapText="1"/>
    </xf>
    <xf numFmtId="10" fontId="95" fillId="7" borderId="3" xfId="6" applyNumberFormat="1" applyFont="1" applyFill="1" applyBorder="1" applyAlignment="1" applyProtection="1">
      <alignment horizontal="center" vertical="center"/>
    </xf>
    <xf numFmtId="164" fontId="57" fillId="0" borderId="2" xfId="8" applyNumberFormat="1" applyFont="1" applyFill="1" applyBorder="1" applyAlignment="1" applyProtection="1">
      <alignment horizontal="center" vertical="center"/>
    </xf>
    <xf numFmtId="164" fontId="58" fillId="0" borderId="2" xfId="6" applyNumberFormat="1" applyFont="1" applyBorder="1" applyAlignment="1" applyProtection="1">
      <alignment horizontal="center" vertical="center" wrapText="1"/>
    </xf>
    <xf numFmtId="164" fontId="58" fillId="0" borderId="55" xfId="8" applyNumberFormat="1" applyFont="1" applyBorder="1" applyAlignment="1" applyProtection="1">
      <alignment horizontal="center" vertical="center" wrapText="1"/>
    </xf>
    <xf numFmtId="0" fontId="58" fillId="0" borderId="55" xfId="7" applyNumberFormat="1" applyFont="1" applyBorder="1" applyAlignment="1" applyProtection="1">
      <alignment horizontal="center" vertical="center" wrapText="1"/>
    </xf>
    <xf numFmtId="164" fontId="59" fillId="0" borderId="55" xfId="8" applyNumberFormat="1" applyFont="1" applyBorder="1" applyAlignment="1" applyProtection="1">
      <alignment horizontal="center" vertical="center" wrapText="1"/>
    </xf>
    <xf numFmtId="166" fontId="95" fillId="7" borderId="3" xfId="8" applyNumberFormat="1" applyFont="1" applyFill="1" applyBorder="1" applyAlignment="1" applyProtection="1">
      <alignment horizontal="center" vertical="center"/>
    </xf>
    <xf numFmtId="9" fontId="58" fillId="0" borderId="3" xfId="6" applyFont="1" applyBorder="1" applyAlignment="1" applyProtection="1">
      <alignment horizontal="center" vertical="center" wrapText="1"/>
      <protection locked="0"/>
    </xf>
    <xf numFmtId="10" fontId="57" fillId="0" borderId="3" xfId="8" applyNumberFormat="1" applyFont="1" applyFill="1" applyBorder="1" applyAlignment="1" applyProtection="1">
      <alignment horizontal="center" vertical="center"/>
    </xf>
    <xf numFmtId="3" fontId="95" fillId="7" borderId="3" xfId="6" applyNumberFormat="1" applyFont="1" applyFill="1" applyBorder="1" applyAlignment="1" applyProtection="1">
      <alignment horizontal="center" vertical="center"/>
    </xf>
    <xf numFmtId="0" fontId="25" fillId="25" borderId="2" xfId="0" applyFont="1" applyFill="1" applyBorder="1" applyAlignment="1">
      <alignment horizontal="center" vertical="center" wrapText="1"/>
    </xf>
    <xf numFmtId="0" fontId="25" fillId="9" borderId="2" xfId="0" applyFont="1" applyFill="1" applyBorder="1" applyAlignment="1">
      <alignment horizontal="center" vertical="center" wrapText="1"/>
    </xf>
    <xf numFmtId="0" fontId="25" fillId="9" borderId="2" xfId="0" applyFont="1" applyFill="1" applyBorder="1" applyAlignment="1">
      <alignment horizontal="center" vertical="center"/>
    </xf>
    <xf numFmtId="0" fontId="43" fillId="0" borderId="1" xfId="0" applyFont="1" applyBorder="1" applyAlignment="1">
      <alignment horizontal="center"/>
    </xf>
    <xf numFmtId="0" fontId="43" fillId="0" borderId="1" xfId="0" applyFont="1" applyBorder="1" applyAlignment="1" applyProtection="1">
      <alignment horizontal="center"/>
      <protection hidden="1"/>
    </xf>
    <xf numFmtId="0" fontId="29" fillId="34" borderId="57" xfId="0" applyFont="1" applyFill="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0" fontId="11" fillId="0" borderId="1" xfId="0" applyFont="1" applyBorder="1" applyAlignment="1" applyProtection="1">
      <alignment horizontal="center" vertical="center"/>
      <protection hidden="1"/>
    </xf>
    <xf numFmtId="166" fontId="24" fillId="0" borderId="2" xfId="0" applyNumberFormat="1" applyFont="1" applyFill="1" applyBorder="1" applyAlignment="1" applyProtection="1">
      <alignment horizontal="center" vertical="center"/>
      <protection hidden="1"/>
    </xf>
    <xf numFmtId="164" fontId="20" fillId="0" borderId="2" xfId="6" applyNumberFormat="1" applyFont="1" applyFill="1" applyBorder="1" applyAlignment="1" applyProtection="1">
      <alignment horizontal="center" vertical="center"/>
      <protection hidden="1"/>
    </xf>
    <xf numFmtId="0" fontId="25" fillId="0" borderId="11" xfId="0" applyFont="1" applyBorder="1" applyAlignment="1" applyProtection="1">
      <protection hidden="1"/>
    </xf>
    <xf numFmtId="0" fontId="25" fillId="0" borderId="6" xfId="0" applyFont="1" applyBorder="1" applyAlignment="1" applyProtection="1">
      <protection hidden="1"/>
    </xf>
    <xf numFmtId="0" fontId="25" fillId="0" borderId="2" xfId="0" applyFont="1" applyBorder="1" applyAlignment="1" applyProtection="1">
      <protection hidden="1"/>
    </xf>
    <xf numFmtId="165" fontId="24" fillId="0" borderId="0" xfId="0" applyNumberFormat="1" applyFont="1" applyProtection="1">
      <protection hidden="1"/>
    </xf>
    <xf numFmtId="165" fontId="24" fillId="0" borderId="0" xfId="0" applyNumberFormat="1" applyFont="1" applyAlignment="1">
      <alignment horizontal="center" vertical="center"/>
    </xf>
    <xf numFmtId="0" fontId="25" fillId="9" borderId="76" xfId="0" applyFont="1" applyFill="1" applyBorder="1" applyAlignment="1">
      <alignment vertical="center" wrapText="1"/>
    </xf>
    <xf numFmtId="0" fontId="25" fillId="9" borderId="83" xfId="0" applyFont="1" applyFill="1" applyBorder="1" applyAlignment="1">
      <alignment vertical="center" wrapText="1"/>
    </xf>
    <xf numFmtId="0" fontId="25" fillId="9" borderId="82" xfId="0" applyFont="1" applyFill="1" applyBorder="1" applyAlignment="1">
      <alignment horizontal="right" vertical="center" wrapText="1"/>
    </xf>
    <xf numFmtId="0" fontId="97" fillId="0" borderId="0" xfId="0" applyFont="1" applyAlignment="1">
      <alignment vertical="center"/>
    </xf>
    <xf numFmtId="0" fontId="24" fillId="0" borderId="0" xfId="0" applyFont="1" applyAlignment="1">
      <alignment horizontal="right"/>
    </xf>
    <xf numFmtId="165" fontId="24" fillId="0" borderId="0" xfId="0" applyNumberFormat="1" applyFont="1" applyAlignment="1" applyProtection="1">
      <alignment horizontal="left"/>
      <protection hidden="1"/>
    </xf>
    <xf numFmtId="1" fontId="24" fillId="0" borderId="6" xfId="0" applyNumberFormat="1" applyFont="1" applyFill="1" applyBorder="1" applyAlignment="1">
      <alignment horizontal="center" vertical="center"/>
    </xf>
    <xf numFmtId="10" fontId="20" fillId="0" borderId="2" xfId="8" applyNumberFormat="1" applyFont="1" applyBorder="1" applyAlignment="1">
      <alignment horizontal="center" vertical="center" wrapText="1"/>
    </xf>
    <xf numFmtId="9" fontId="20" fillId="0" borderId="2" xfId="8" applyFont="1" applyBorder="1" applyAlignment="1">
      <alignment horizontal="center" vertical="center" wrapText="1"/>
    </xf>
    <xf numFmtId="164" fontId="20" fillId="0" borderId="2" xfId="8" applyNumberFormat="1" applyFont="1" applyBorder="1" applyAlignment="1">
      <alignment horizontal="center" vertical="center" wrapText="1"/>
    </xf>
    <xf numFmtId="1" fontId="39" fillId="18" borderId="55" xfId="57" applyNumberFormat="1" applyFont="1" applyFill="1" applyBorder="1" applyAlignment="1" applyProtection="1">
      <alignment horizontal="center" vertical="center" wrapText="1"/>
    </xf>
    <xf numFmtId="1" fontId="39" fillId="0" borderId="55" xfId="57" applyNumberFormat="1" applyFont="1" applyBorder="1" applyAlignment="1" applyProtection="1">
      <alignment horizontal="center" vertical="center" wrapText="1"/>
    </xf>
    <xf numFmtId="2" fontId="39" fillId="18" borderId="55" xfId="57" applyNumberFormat="1" applyFont="1" applyFill="1" applyBorder="1" applyAlignment="1" applyProtection="1">
      <alignment horizontal="center" vertical="center" wrapText="1"/>
    </xf>
    <xf numFmtId="164" fontId="8" fillId="0" borderId="2" xfId="0" applyNumberFormat="1" applyFont="1" applyBorder="1" applyAlignment="1" applyProtection="1">
      <alignment horizontal="justify" vertical="center" wrapText="1"/>
      <protection hidden="1"/>
    </xf>
    <xf numFmtId="165" fontId="69" fillId="0" borderId="0" xfId="0" applyNumberFormat="1" applyFont="1" applyAlignment="1" applyProtection="1">
      <alignment horizontal="justify"/>
      <protection hidden="1"/>
    </xf>
    <xf numFmtId="164" fontId="40" fillId="0" borderId="2" xfId="0" applyNumberFormat="1" applyFont="1" applyFill="1" applyBorder="1" applyAlignment="1" applyProtection="1">
      <alignment horizontal="justify" vertical="center" wrapText="1"/>
      <protection hidden="1"/>
    </xf>
    <xf numFmtId="164" fontId="24" fillId="0" borderId="2" xfId="0" applyNumberFormat="1" applyFont="1" applyFill="1" applyBorder="1" applyAlignment="1">
      <alignment horizontal="center" vertical="center" wrapText="1"/>
    </xf>
    <xf numFmtId="0" fontId="40" fillId="0" borderId="38" xfId="0" applyFont="1" applyBorder="1" applyAlignment="1" applyProtection="1">
      <alignment horizontal="center"/>
    </xf>
    <xf numFmtId="0" fontId="40" fillId="0" borderId="37" xfId="0" applyFont="1" applyBorder="1" applyAlignment="1" applyProtection="1">
      <alignment horizontal="center"/>
    </xf>
    <xf numFmtId="0" fontId="40" fillId="0" borderId="40" xfId="0" applyFont="1" applyBorder="1" applyAlignment="1" applyProtection="1">
      <alignment horizontal="center"/>
    </xf>
    <xf numFmtId="0" fontId="40" fillId="0" borderId="2" xfId="0" applyFont="1" applyBorder="1" applyAlignment="1" applyProtection="1">
      <alignment horizontal="center"/>
    </xf>
    <xf numFmtId="0" fontId="11" fillId="0" borderId="37"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35" fillId="0" borderId="37" xfId="0" applyFont="1" applyBorder="1" applyAlignment="1" applyProtection="1">
      <alignment horizontal="left" vertical="center"/>
    </xf>
    <xf numFmtId="0" fontId="35" fillId="0" borderId="39" xfId="0" applyFont="1" applyBorder="1" applyAlignment="1" applyProtection="1">
      <alignment horizontal="left" vertical="center"/>
    </xf>
    <xf numFmtId="0" fontId="35" fillId="0" borderId="2" xfId="0" applyFont="1" applyBorder="1" applyAlignment="1" applyProtection="1">
      <alignment horizontal="left" vertical="center" wrapText="1"/>
    </xf>
    <xf numFmtId="0" fontId="35" fillId="0" borderId="41" xfId="0" applyFont="1" applyBorder="1" applyAlignment="1" applyProtection="1">
      <alignment horizontal="left" vertical="center" wrapText="1"/>
    </xf>
    <xf numFmtId="0" fontId="40" fillId="0" borderId="34" xfId="0" applyFont="1" applyBorder="1" applyAlignment="1" applyProtection="1">
      <alignment horizontal="center" wrapText="1"/>
    </xf>
    <xf numFmtId="0" fontId="40" fillId="0" borderId="1" xfId="0" applyFont="1" applyBorder="1" applyAlignment="1" applyProtection="1">
      <alignment horizontal="center" wrapText="1"/>
    </xf>
    <xf numFmtId="0" fontId="40" fillId="0" borderId="36" xfId="0" applyFont="1" applyBorder="1" applyAlignment="1" applyProtection="1">
      <alignment horizontal="center" wrapText="1"/>
    </xf>
    <xf numFmtId="0" fontId="33" fillId="19" borderId="2" xfId="0" applyFont="1" applyFill="1" applyBorder="1" applyAlignment="1" applyProtection="1">
      <alignment horizontal="center" vertical="center" wrapText="1"/>
    </xf>
    <xf numFmtId="0" fontId="20" fillId="0" borderId="2" xfId="0" applyFont="1" applyBorder="1" applyAlignment="1" applyProtection="1">
      <alignment horizontal="left" vertical="center" wrapText="1"/>
    </xf>
    <xf numFmtId="0" fontId="20" fillId="0" borderId="7" xfId="0" applyFont="1" applyBorder="1" applyAlignment="1" applyProtection="1">
      <alignment horizontal="center" vertical="center" wrapText="1"/>
    </xf>
    <xf numFmtId="0" fontId="20" fillId="0" borderId="42" xfId="0" applyFont="1" applyBorder="1" applyAlignment="1" applyProtection="1">
      <alignment horizontal="center" vertical="center" wrapText="1"/>
    </xf>
    <xf numFmtId="0" fontId="24" fillId="0" borderId="43" xfId="0" applyFont="1" applyBorder="1" applyAlignment="1" applyProtection="1">
      <alignment horizontal="center" vertical="center" wrapText="1"/>
    </xf>
    <xf numFmtId="0" fontId="24" fillId="0" borderId="11" xfId="0" applyFont="1" applyBorder="1" applyAlignment="1" applyProtection="1">
      <alignment horizontal="center" vertical="center"/>
    </xf>
    <xf numFmtId="0" fontId="24" fillId="0" borderId="6" xfId="0" applyFont="1" applyBorder="1" applyAlignment="1" applyProtection="1">
      <alignment horizontal="center" vertical="center"/>
    </xf>
    <xf numFmtId="0" fontId="14" fillId="9" borderId="7" xfId="0" applyFont="1" applyFill="1" applyBorder="1" applyAlignment="1" applyProtection="1">
      <alignment horizontal="center" vertical="center"/>
    </xf>
    <xf numFmtId="0" fontId="14" fillId="9" borderId="42" xfId="0" applyFont="1" applyFill="1" applyBorder="1" applyAlignment="1" applyProtection="1">
      <alignment horizontal="center" vertical="center"/>
    </xf>
    <xf numFmtId="0" fontId="14" fillId="9" borderId="43" xfId="0" applyFont="1" applyFill="1" applyBorder="1" applyAlignment="1" applyProtection="1">
      <alignment horizontal="center" wrapText="1"/>
    </xf>
    <xf numFmtId="0" fontId="14" fillId="9" borderId="11" xfId="0" applyFont="1" applyFill="1" applyBorder="1" applyAlignment="1" applyProtection="1">
      <alignment horizontal="center" wrapText="1"/>
    </xf>
    <xf numFmtId="0" fontId="14" fillId="9" borderId="6" xfId="0" applyFont="1" applyFill="1" applyBorder="1" applyAlignment="1" applyProtection="1">
      <alignment horizontal="center" wrapText="1"/>
    </xf>
    <xf numFmtId="0" fontId="14" fillId="0" borderId="34" xfId="0" applyFont="1" applyFill="1" applyBorder="1" applyAlignment="1" applyProtection="1">
      <alignment horizontal="center" wrapText="1"/>
    </xf>
    <xf numFmtId="0" fontId="14" fillId="0" borderId="1" xfId="0" applyFont="1" applyFill="1" applyBorder="1" applyAlignment="1" applyProtection="1">
      <alignment horizontal="center" wrapText="1"/>
    </xf>
    <xf numFmtId="0" fontId="14" fillId="0" borderId="1" xfId="0" applyFont="1" applyFill="1" applyBorder="1" applyAlignment="1" applyProtection="1">
      <alignment horizontal="center" vertical="center"/>
    </xf>
    <xf numFmtId="0" fontId="14" fillId="0" borderId="36" xfId="0" applyFont="1" applyFill="1" applyBorder="1" applyAlignment="1" applyProtection="1">
      <alignment horizontal="center" vertical="center"/>
    </xf>
    <xf numFmtId="0" fontId="24" fillId="0" borderId="34" xfId="0" applyFont="1" applyFill="1" applyBorder="1" applyAlignment="1" applyProtection="1">
      <alignment horizontal="center" vertical="center" wrapText="1"/>
    </xf>
    <xf numFmtId="0" fontId="24" fillId="0" borderId="1" xfId="0" applyFont="1" applyFill="1" applyBorder="1" applyAlignment="1" applyProtection="1">
      <alignment horizontal="center" vertical="center"/>
    </xf>
    <xf numFmtId="0" fontId="20" fillId="0" borderId="1" xfId="0" applyFont="1" applyFill="1" applyBorder="1" applyAlignment="1" applyProtection="1">
      <alignment horizontal="center" vertical="center" wrapText="1"/>
    </xf>
    <xf numFmtId="0" fontId="20" fillId="0" borderId="36" xfId="0" applyFont="1" applyFill="1" applyBorder="1" applyAlignment="1" applyProtection="1">
      <alignment horizontal="center" vertical="center" wrapText="1"/>
    </xf>
    <xf numFmtId="0" fontId="40" fillId="0" borderId="35" xfId="0" applyFont="1" applyBorder="1" applyAlignment="1" applyProtection="1">
      <alignment horizontal="center" wrapText="1"/>
    </xf>
    <xf numFmtId="0" fontId="40" fillId="0" borderId="27" xfId="0" applyFont="1" applyBorder="1" applyAlignment="1" applyProtection="1">
      <alignment horizontal="center" wrapText="1"/>
    </xf>
    <xf numFmtId="0" fontId="40" fillId="0" borderId="23" xfId="0" applyFont="1" applyBorder="1" applyAlignment="1" applyProtection="1">
      <alignment horizontal="center" wrapText="1"/>
    </xf>
    <xf numFmtId="0" fontId="25" fillId="0" borderId="34" xfId="0" applyFont="1" applyBorder="1" applyAlignment="1" applyProtection="1">
      <alignment horizontal="justify" vertical="top" wrapText="1"/>
    </xf>
    <xf numFmtId="0" fontId="25" fillId="0" borderId="1" xfId="0" applyFont="1" applyBorder="1" applyAlignment="1" applyProtection="1">
      <alignment horizontal="justify" vertical="top"/>
    </xf>
    <xf numFmtId="0" fontId="25" fillId="0" borderId="36" xfId="0" applyFont="1" applyBorder="1" applyAlignment="1" applyProtection="1">
      <alignment horizontal="justify" vertical="top"/>
    </xf>
    <xf numFmtId="0" fontId="25" fillId="0" borderId="34" xfId="0" applyFont="1" applyBorder="1" applyAlignment="1" applyProtection="1">
      <alignment horizontal="justify" vertical="top"/>
    </xf>
    <xf numFmtId="0" fontId="86" fillId="0" borderId="2" xfId="0" applyFont="1" applyBorder="1" applyAlignment="1">
      <alignment horizontal="center" vertical="center" wrapText="1"/>
    </xf>
    <xf numFmtId="0" fontId="83" fillId="42" borderId="79" xfId="0" applyFont="1" applyFill="1" applyBorder="1" applyAlignment="1">
      <alignment horizontal="center" vertical="center" wrapText="1"/>
    </xf>
    <xf numFmtId="0" fontId="83" fillId="42" borderId="17" xfId="0" applyFont="1" applyFill="1" applyBorder="1" applyAlignment="1">
      <alignment horizontal="center" vertical="center" wrapText="1"/>
    </xf>
    <xf numFmtId="0" fontId="37" fillId="8" borderId="59" xfId="0" applyFont="1" applyFill="1" applyBorder="1" applyAlignment="1">
      <alignment horizontal="center" vertical="center" wrapText="1"/>
    </xf>
    <xf numFmtId="0" fontId="37" fillId="8" borderId="58" xfId="0" applyFont="1" applyFill="1" applyBorder="1" applyAlignment="1">
      <alignment horizontal="center" vertical="center" wrapText="1"/>
    </xf>
    <xf numFmtId="0" fontId="49" fillId="40" borderId="80" xfId="0" applyFont="1" applyFill="1" applyBorder="1" applyAlignment="1">
      <alignment horizontal="center" vertical="center" wrapText="1"/>
    </xf>
    <xf numFmtId="0" fontId="49" fillId="40" borderId="81" xfId="0" applyFont="1" applyFill="1" applyBorder="1" applyAlignment="1">
      <alignment horizontal="center" vertical="center" wrapText="1"/>
    </xf>
    <xf numFmtId="0" fontId="37" fillId="0" borderId="55" xfId="0" applyFont="1" applyBorder="1" applyAlignment="1">
      <alignment horizontal="center" vertical="center" wrapText="1"/>
    </xf>
    <xf numFmtId="0" fontId="37" fillId="0" borderId="75" xfId="0" applyFont="1" applyBorder="1" applyAlignment="1">
      <alignment horizontal="center" vertical="center" wrapText="1"/>
    </xf>
    <xf numFmtId="0" fontId="81" fillId="0" borderId="7" xfId="0" applyFont="1" applyBorder="1" applyAlignment="1">
      <alignment horizontal="center" vertical="center"/>
    </xf>
    <xf numFmtId="0" fontId="81" fillId="0" borderId="6" xfId="0" applyFont="1" applyBorder="1" applyAlignment="1">
      <alignment horizontal="center" vertical="center"/>
    </xf>
    <xf numFmtId="10" fontId="21" fillId="0" borderId="55" xfId="20" applyNumberFormat="1" applyFont="1" applyBorder="1" applyAlignment="1" applyProtection="1">
      <alignment horizontal="center" vertical="center" wrapText="1"/>
    </xf>
    <xf numFmtId="10" fontId="21" fillId="0" borderId="4" xfId="20" applyNumberFormat="1" applyFont="1" applyBorder="1" applyAlignment="1" applyProtection="1">
      <alignment horizontal="center" vertical="center" wrapText="1"/>
    </xf>
    <xf numFmtId="10" fontId="21" fillId="0" borderId="75" xfId="20" applyNumberFormat="1" applyFont="1" applyBorder="1" applyAlignment="1" applyProtection="1">
      <alignment horizontal="center" vertical="center" wrapText="1"/>
    </xf>
    <xf numFmtId="0" fontId="14" fillId="36" borderId="55" xfId="0" applyFont="1" applyFill="1" applyBorder="1" applyAlignment="1">
      <alignment horizontal="center" vertical="center" wrapText="1"/>
    </xf>
    <xf numFmtId="0" fontId="14" fillId="36" borderId="5" xfId="0" applyFont="1" applyFill="1" applyBorder="1" applyAlignment="1">
      <alignment horizontal="center" vertical="center" wrapText="1"/>
    </xf>
    <xf numFmtId="0" fontId="52" fillId="40" borderId="55" xfId="0" applyFont="1" applyFill="1" applyBorder="1" applyAlignment="1">
      <alignment horizontal="center" vertical="center" wrapText="1"/>
    </xf>
    <xf numFmtId="0" fontId="52" fillId="40" borderId="75" xfId="0" applyFont="1" applyFill="1" applyBorder="1" applyAlignment="1">
      <alignment horizontal="center" vertical="center" wrapText="1"/>
    </xf>
    <xf numFmtId="0" fontId="43" fillId="0" borderId="55" xfId="0" applyFont="1" applyBorder="1" applyAlignment="1">
      <alignment horizontal="justify" vertical="top" wrapText="1"/>
    </xf>
    <xf numFmtId="0" fontId="43" fillId="0" borderId="4" xfId="0" applyFont="1" applyBorder="1" applyAlignment="1">
      <alignment horizontal="justify" vertical="top" wrapText="1"/>
    </xf>
    <xf numFmtId="0" fontId="86" fillId="0" borderId="29" xfId="0" applyFont="1" applyBorder="1" applyAlignment="1">
      <alignment horizontal="center" vertical="center" wrapText="1"/>
    </xf>
    <xf numFmtId="0" fontId="86" fillId="0" borderId="35" xfId="0" applyFont="1" applyBorder="1" applyAlignment="1">
      <alignment horizontal="center" vertical="center" wrapText="1"/>
    </xf>
    <xf numFmtId="0" fontId="76" fillId="43" borderId="1" xfId="0" applyFont="1" applyFill="1" applyBorder="1" applyAlignment="1" applyProtection="1">
      <alignment horizontal="center" vertical="center" wrapText="1"/>
      <protection hidden="1"/>
    </xf>
    <xf numFmtId="0" fontId="76" fillId="3" borderId="1" xfId="0" applyFont="1" applyFill="1" applyBorder="1" applyAlignment="1" applyProtection="1">
      <alignment horizontal="center" vertical="center" wrapText="1"/>
      <protection hidden="1"/>
    </xf>
    <xf numFmtId="0" fontId="43" fillId="0" borderId="5" xfId="0" applyFont="1" applyBorder="1" applyAlignment="1">
      <alignment horizontal="justify" vertical="top" wrapText="1"/>
    </xf>
    <xf numFmtId="164" fontId="21" fillId="0" borderId="55" xfId="34" applyNumberFormat="1" applyFont="1" applyBorder="1" applyAlignment="1" applyProtection="1">
      <alignment horizontal="center" vertical="center" wrapText="1"/>
    </xf>
    <xf numFmtId="164" fontId="21" fillId="0" borderId="4" xfId="34" applyNumberFormat="1" applyFont="1" applyBorder="1" applyAlignment="1" applyProtection="1">
      <alignment horizontal="center" vertical="center" wrapText="1"/>
    </xf>
    <xf numFmtId="164" fontId="21" fillId="0" borderId="77" xfId="34" applyNumberFormat="1" applyFont="1" applyBorder="1" applyAlignment="1" applyProtection="1">
      <alignment horizontal="center" vertical="center" wrapText="1"/>
    </xf>
    <xf numFmtId="0" fontId="37" fillId="0" borderId="29"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35"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3" xfId="0" applyFont="1" applyBorder="1" applyAlignment="1">
      <alignment horizontal="center" vertical="center" wrapText="1"/>
    </xf>
    <xf numFmtId="0" fontId="14" fillId="8" borderId="7" xfId="0" applyFont="1" applyFill="1" applyBorder="1" applyAlignment="1">
      <alignment horizontal="center" vertical="center" wrapText="1"/>
    </xf>
    <xf numFmtId="0" fontId="14" fillId="8" borderId="11" xfId="0" applyFont="1" applyFill="1" applyBorder="1" applyAlignment="1">
      <alignment horizontal="center" vertical="center" wrapText="1"/>
    </xf>
    <xf numFmtId="0" fontId="14" fillId="8" borderId="6" xfId="0" applyFont="1" applyFill="1" applyBorder="1" applyAlignment="1">
      <alignment horizontal="center" vertical="center" wrapText="1"/>
    </xf>
    <xf numFmtId="0" fontId="14" fillId="8" borderId="55" xfId="0" applyFont="1" applyFill="1" applyBorder="1" applyAlignment="1">
      <alignment horizontal="center" vertical="center" wrapText="1"/>
    </xf>
    <xf numFmtId="0" fontId="14" fillId="8" borderId="75" xfId="0" applyFont="1" applyFill="1" applyBorder="1" applyAlignment="1">
      <alignment horizontal="center" vertical="center" wrapText="1"/>
    </xf>
    <xf numFmtId="164" fontId="21" fillId="18" borderId="55" xfId="6" applyNumberFormat="1" applyFont="1" applyFill="1" applyBorder="1" applyAlignment="1" applyProtection="1">
      <alignment horizontal="center" vertical="center" wrapText="1"/>
    </xf>
    <xf numFmtId="164" fontId="21" fillId="18" borderId="4" xfId="6" applyNumberFormat="1" applyFont="1" applyFill="1" applyBorder="1" applyAlignment="1" applyProtection="1">
      <alignment horizontal="center" vertical="center" wrapText="1"/>
    </xf>
    <xf numFmtId="164" fontId="21" fillId="18" borderId="75" xfId="6" applyNumberFormat="1" applyFont="1" applyFill="1" applyBorder="1" applyAlignment="1" applyProtection="1">
      <alignment horizontal="center" vertical="center" wrapText="1"/>
    </xf>
    <xf numFmtId="0" fontId="43" fillId="18" borderId="4" xfId="0" applyFont="1" applyFill="1" applyBorder="1" applyAlignment="1">
      <alignment horizontal="justify" vertical="top" wrapText="1"/>
    </xf>
    <xf numFmtId="0" fontId="43" fillId="18" borderId="5" xfId="0" applyFont="1" applyFill="1" applyBorder="1" applyAlignment="1">
      <alignment horizontal="justify" vertical="top" wrapText="1"/>
    </xf>
    <xf numFmtId="164" fontId="21" fillId="0" borderId="55" xfId="20" applyNumberFormat="1" applyFont="1" applyBorder="1" applyAlignment="1" applyProtection="1">
      <alignment horizontal="center" vertical="center" wrapText="1"/>
    </xf>
    <xf numFmtId="164" fontId="21" fillId="0" borderId="4" xfId="20" applyNumberFormat="1" applyFont="1" applyBorder="1" applyAlignment="1" applyProtection="1">
      <alignment horizontal="center" vertical="center" wrapText="1"/>
    </xf>
    <xf numFmtId="164" fontId="21" fillId="0" borderId="75" xfId="20" applyNumberFormat="1" applyFont="1" applyBorder="1" applyAlignment="1" applyProtection="1">
      <alignment horizontal="center" vertical="center" wrapText="1"/>
    </xf>
    <xf numFmtId="164" fontId="21" fillId="18" borderId="55" xfId="20" applyNumberFormat="1" applyFont="1" applyFill="1" applyBorder="1" applyAlignment="1" applyProtection="1">
      <alignment horizontal="center" vertical="center" wrapText="1"/>
    </xf>
    <xf numFmtId="164" fontId="21" fillId="18" borderId="4" xfId="20" applyNumberFormat="1" applyFont="1" applyFill="1" applyBorder="1" applyAlignment="1" applyProtection="1">
      <alignment horizontal="center" vertical="center" wrapText="1"/>
    </xf>
    <xf numFmtId="164" fontId="21" fillId="18" borderId="75" xfId="20" applyNumberFormat="1" applyFont="1" applyFill="1" applyBorder="1" applyAlignment="1" applyProtection="1">
      <alignment horizontal="center" vertical="center" wrapText="1"/>
    </xf>
    <xf numFmtId="0" fontId="43" fillId="18" borderId="55" xfId="0" applyFont="1" applyFill="1" applyBorder="1" applyAlignment="1">
      <alignment horizontal="justify" vertical="top" wrapText="1"/>
    </xf>
    <xf numFmtId="0" fontId="37" fillId="0" borderId="51" xfId="0" applyFont="1" applyBorder="1" applyAlignment="1">
      <alignment horizontal="center" vertical="center" wrapText="1"/>
    </xf>
    <xf numFmtId="0" fontId="37" fillId="0" borderId="52" xfId="0" applyFont="1" applyBorder="1" applyAlignment="1">
      <alignment horizontal="center" vertical="center" wrapText="1"/>
    </xf>
    <xf numFmtId="0" fontId="37" fillId="0" borderId="53" xfId="0" applyFont="1" applyBorder="1" applyAlignment="1">
      <alignment horizontal="center" vertical="center" wrapText="1"/>
    </xf>
    <xf numFmtId="0" fontId="14" fillId="8" borderId="67" xfId="0" applyFont="1" applyFill="1" applyBorder="1" applyAlignment="1">
      <alignment horizontal="center" vertical="center" wrapText="1"/>
    </xf>
    <xf numFmtId="0" fontId="14" fillId="36" borderId="65" xfId="0" applyFont="1" applyFill="1" applyBorder="1" applyAlignment="1">
      <alignment horizontal="center" vertical="center" wrapText="1"/>
    </xf>
    <xf numFmtId="0" fontId="52" fillId="40" borderId="2" xfId="0" applyFont="1" applyFill="1" applyBorder="1" applyAlignment="1">
      <alignment horizontal="center" vertical="center" wrapText="1"/>
    </xf>
    <xf numFmtId="0" fontId="14" fillId="8" borderId="54" xfId="0" applyFont="1" applyFill="1" applyBorder="1" applyAlignment="1">
      <alignment horizontal="center" vertical="center" wrapText="1"/>
    </xf>
    <xf numFmtId="0" fontId="14" fillId="8" borderId="2" xfId="0" applyFont="1" applyFill="1" applyBorder="1" applyAlignment="1">
      <alignment horizontal="center" vertical="center" wrapText="1"/>
    </xf>
    <xf numFmtId="10" fontId="21" fillId="0" borderId="2" xfId="20" applyNumberFormat="1" applyFont="1" applyBorder="1" applyAlignment="1" applyProtection="1">
      <alignment horizontal="center" vertical="center" wrapText="1"/>
    </xf>
    <xf numFmtId="0" fontId="43" fillId="0" borderId="75" xfId="0" applyFont="1" applyBorder="1" applyAlignment="1">
      <alignment horizontal="justify" vertical="top" wrapText="1"/>
    </xf>
    <xf numFmtId="3" fontId="39" fillId="0" borderId="55" xfId="0" applyNumberFormat="1" applyFont="1" applyBorder="1" applyAlignment="1">
      <alignment horizontal="center" vertical="center" wrapText="1" readingOrder="1"/>
    </xf>
    <xf numFmtId="3" fontId="39" fillId="0" borderId="75" xfId="0" applyNumberFormat="1" applyFont="1" applyBorder="1" applyAlignment="1">
      <alignment horizontal="center" vertical="center" wrapText="1" readingOrder="1"/>
    </xf>
    <xf numFmtId="0" fontId="39" fillId="0" borderId="55" xfId="0" applyFont="1" applyBorder="1" applyAlignment="1">
      <alignment horizontal="justify" vertical="center" wrapText="1" readingOrder="1"/>
    </xf>
    <xf numFmtId="0" fontId="39" fillId="0" borderId="75" xfId="0" applyFont="1" applyBorder="1" applyAlignment="1">
      <alignment horizontal="justify" vertical="center" wrapText="1" readingOrder="1"/>
    </xf>
    <xf numFmtId="9" fontId="39" fillId="0" borderId="55" xfId="6" applyFont="1" applyBorder="1" applyAlignment="1">
      <alignment horizontal="center" vertical="center" wrapText="1" readingOrder="1"/>
    </xf>
    <xf numFmtId="9" fontId="39" fillId="0" borderId="75" xfId="6" applyFont="1" applyBorder="1" applyAlignment="1">
      <alignment horizontal="center" vertical="center" wrapText="1" readingOrder="1"/>
    </xf>
    <xf numFmtId="10" fontId="21" fillId="0" borderId="55" xfId="34" applyNumberFormat="1" applyFont="1" applyBorder="1" applyAlignment="1" applyProtection="1">
      <alignment horizontal="center" vertical="center" wrapText="1"/>
    </xf>
    <xf numFmtId="10" fontId="21" fillId="0" borderId="4" xfId="34" applyNumberFormat="1" applyFont="1" applyBorder="1" applyAlignment="1" applyProtection="1">
      <alignment horizontal="center" vertical="center" wrapText="1"/>
    </xf>
    <xf numFmtId="10" fontId="21" fillId="0" borderId="75" xfId="34" applyNumberFormat="1" applyFont="1" applyBorder="1" applyAlignment="1" applyProtection="1">
      <alignment horizontal="center" vertical="center" wrapText="1"/>
    </xf>
    <xf numFmtId="0" fontId="39" fillId="18" borderId="55" xfId="0" applyFont="1" applyFill="1" applyBorder="1" applyAlignment="1">
      <alignment horizontal="justify" vertical="center" wrapText="1" readingOrder="1"/>
    </xf>
    <xf numFmtId="0" fontId="39" fillId="18" borderId="4" xfId="0" applyFont="1" applyFill="1" applyBorder="1" applyAlignment="1">
      <alignment horizontal="justify" vertical="center" wrapText="1" readingOrder="1"/>
    </xf>
    <xf numFmtId="0" fontId="39" fillId="18" borderId="75" xfId="0" applyFont="1" applyFill="1" applyBorder="1" applyAlignment="1">
      <alignment horizontal="justify" vertical="center" wrapText="1" readingOrder="1"/>
    </xf>
    <xf numFmtId="9" fontId="39" fillId="18" borderId="55" xfId="6" applyFont="1" applyFill="1" applyBorder="1" applyAlignment="1">
      <alignment horizontal="center" vertical="center" wrapText="1" readingOrder="1"/>
    </xf>
    <xf numFmtId="9" fontId="39" fillId="18" borderId="4" xfId="6" applyFont="1" applyFill="1" applyBorder="1" applyAlignment="1">
      <alignment horizontal="center" vertical="center" wrapText="1" readingOrder="1"/>
    </xf>
    <xf numFmtId="9" fontId="39" fillId="18" borderId="75" xfId="6" applyFont="1" applyFill="1" applyBorder="1" applyAlignment="1">
      <alignment horizontal="center" vertical="center" wrapText="1" readingOrder="1"/>
    </xf>
    <xf numFmtId="164" fontId="21" fillId="18" borderId="55" xfId="34" applyNumberFormat="1" applyFont="1" applyFill="1" applyBorder="1" applyAlignment="1" applyProtection="1">
      <alignment horizontal="center" vertical="center" wrapText="1"/>
    </xf>
    <xf numFmtId="164" fontId="21" fillId="18" borderId="4" xfId="34" applyNumberFormat="1" applyFont="1" applyFill="1" applyBorder="1" applyAlignment="1" applyProtection="1">
      <alignment horizontal="center" vertical="center" wrapText="1"/>
    </xf>
    <xf numFmtId="164" fontId="21" fillId="18" borderId="75" xfId="34" applyNumberFormat="1" applyFont="1" applyFill="1" applyBorder="1" applyAlignment="1" applyProtection="1">
      <alignment horizontal="center" vertical="center" wrapText="1"/>
    </xf>
    <xf numFmtId="10" fontId="21" fillId="18" borderId="55" xfId="20" applyNumberFormat="1" applyFont="1" applyFill="1" applyBorder="1" applyAlignment="1" applyProtection="1">
      <alignment horizontal="center" vertical="center" wrapText="1"/>
    </xf>
    <xf numFmtId="10" fontId="21" fillId="18" borderId="4" xfId="20" applyNumberFormat="1" applyFont="1" applyFill="1" applyBorder="1" applyAlignment="1" applyProtection="1">
      <alignment horizontal="center" vertical="center" wrapText="1"/>
    </xf>
    <xf numFmtId="10" fontId="21" fillId="18" borderId="75" xfId="20" applyNumberFormat="1" applyFont="1" applyFill="1" applyBorder="1" applyAlignment="1" applyProtection="1">
      <alignment horizontal="center" vertical="center" wrapText="1"/>
    </xf>
    <xf numFmtId="0" fontId="28" fillId="0" borderId="51" xfId="0" applyFont="1" applyBorder="1" applyAlignment="1">
      <alignment horizontal="center" vertical="center" wrapText="1"/>
    </xf>
    <xf numFmtId="0" fontId="28" fillId="0" borderId="52" xfId="0" applyFont="1" applyBorder="1" applyAlignment="1">
      <alignment horizontal="center" vertical="center" wrapText="1"/>
    </xf>
    <xf numFmtId="0" fontId="28" fillId="0" borderId="53" xfId="0" applyFont="1" applyBorder="1" applyAlignment="1">
      <alignment horizontal="center" vertical="center" wrapText="1"/>
    </xf>
    <xf numFmtId="0" fontId="39" fillId="0" borderId="55" xfId="0" applyFont="1" applyBorder="1" applyAlignment="1">
      <alignment horizontal="justify" vertical="top" wrapText="1" readingOrder="1"/>
    </xf>
    <xf numFmtId="0" fontId="39" fillId="0" borderId="4" xfId="0" applyFont="1" applyBorder="1" applyAlignment="1">
      <alignment horizontal="justify" vertical="top" wrapText="1" readingOrder="1"/>
    </xf>
    <xf numFmtId="0" fontId="39" fillId="0" borderId="5" xfId="0" applyFont="1" applyBorder="1" applyAlignment="1">
      <alignment horizontal="justify" vertical="top" wrapText="1" readingOrder="1"/>
    </xf>
    <xf numFmtId="164" fontId="21" fillId="0" borderId="54" xfId="20" applyNumberFormat="1" applyFont="1" applyBorder="1" applyAlignment="1" applyProtection="1">
      <alignment horizontal="center" vertical="center" wrapText="1"/>
    </xf>
    <xf numFmtId="0" fontId="21" fillId="0" borderId="8" xfId="20" applyFont="1" applyBorder="1" applyAlignment="1" applyProtection="1">
      <alignment horizontal="center" vertical="center" wrapText="1"/>
    </xf>
    <xf numFmtId="0" fontId="21" fillId="0" borderId="76" xfId="20" applyFont="1" applyBorder="1" applyAlignment="1" applyProtection="1">
      <alignment horizontal="center" vertical="center" wrapText="1"/>
    </xf>
    <xf numFmtId="9" fontId="39" fillId="0" borderId="55" xfId="0" applyNumberFormat="1" applyFont="1" applyBorder="1" applyAlignment="1">
      <alignment horizontal="center" vertical="top" wrapText="1" readingOrder="1"/>
    </xf>
    <xf numFmtId="9" fontId="39" fillId="0" borderId="4" xfId="0" applyNumberFormat="1" applyFont="1" applyBorder="1" applyAlignment="1">
      <alignment horizontal="center" vertical="top" wrapText="1" readingOrder="1"/>
    </xf>
    <xf numFmtId="9" fontId="39" fillId="0" borderId="5" xfId="0" applyNumberFormat="1" applyFont="1" applyBorder="1" applyAlignment="1">
      <alignment horizontal="center" vertical="top" wrapText="1" readingOrder="1"/>
    </xf>
    <xf numFmtId="9" fontId="39" fillId="0" borderId="55" xfId="0" applyNumberFormat="1" applyFont="1" applyBorder="1" applyAlignment="1">
      <alignment horizontal="center" vertical="center" wrapText="1" readingOrder="1"/>
    </xf>
    <xf numFmtId="0" fontId="39" fillId="0" borderId="5" xfId="0" applyFont="1" applyBorder="1" applyAlignment="1">
      <alignment horizontal="center" vertical="center" wrapText="1" readingOrder="1"/>
    </xf>
    <xf numFmtId="9" fontId="39" fillId="0" borderId="4" xfId="0" applyNumberFormat="1" applyFont="1" applyBorder="1" applyAlignment="1">
      <alignment horizontal="center" vertical="center" wrapText="1" readingOrder="1"/>
    </xf>
    <xf numFmtId="9" fontId="39" fillId="0" borderId="5" xfId="0" applyNumberFormat="1" applyFont="1" applyBorder="1" applyAlignment="1">
      <alignment horizontal="center" vertical="center" wrapText="1" readingOrder="1"/>
    </xf>
    <xf numFmtId="0" fontId="39" fillId="0" borderId="4" xfId="0" applyFont="1" applyBorder="1" applyAlignment="1">
      <alignment horizontal="center" vertical="center" wrapText="1" readingOrder="1"/>
    </xf>
    <xf numFmtId="164" fontId="21" fillId="0" borderId="3" xfId="20" applyNumberFormat="1" applyFont="1" applyBorder="1" applyAlignment="1" applyProtection="1">
      <alignment horizontal="center" vertical="center" wrapText="1"/>
    </xf>
    <xf numFmtId="3" fontId="39" fillId="0" borderId="55" xfId="0" applyNumberFormat="1" applyFont="1" applyBorder="1" applyAlignment="1">
      <alignment horizontal="center" vertical="top" wrapText="1" readingOrder="1"/>
    </xf>
    <xf numFmtId="3" fontId="39" fillId="0" borderId="4" xfId="0" applyNumberFormat="1" applyFont="1" applyBorder="1" applyAlignment="1">
      <alignment horizontal="center" vertical="top" wrapText="1" readingOrder="1"/>
    </xf>
    <xf numFmtId="3" fontId="39" fillId="0" borderId="5" xfId="0" applyNumberFormat="1" applyFont="1" applyBorder="1" applyAlignment="1">
      <alignment horizontal="center" vertical="top" wrapText="1" readingOrder="1"/>
    </xf>
    <xf numFmtId="0" fontId="39" fillId="18" borderId="55" xfId="0" applyFont="1" applyFill="1" applyBorder="1" applyAlignment="1">
      <alignment horizontal="justify" vertical="top" wrapText="1" readingOrder="1"/>
    </xf>
    <xf numFmtId="0" fontId="39" fillId="18" borderId="4" xfId="0" applyFont="1" applyFill="1" applyBorder="1" applyAlignment="1">
      <alignment horizontal="justify" vertical="top" wrapText="1" readingOrder="1"/>
    </xf>
    <xf numFmtId="0" fontId="39" fillId="18" borderId="5" xfId="0" applyFont="1" applyFill="1" applyBorder="1" applyAlignment="1">
      <alignment horizontal="justify" vertical="top" wrapText="1" readingOrder="1"/>
    </xf>
    <xf numFmtId="1" fontId="39" fillId="0" borderId="55" xfId="0" applyNumberFormat="1" applyFont="1" applyBorder="1" applyAlignment="1">
      <alignment horizontal="center" vertical="top" wrapText="1" readingOrder="1"/>
    </xf>
    <xf numFmtId="1" fontId="39" fillId="0" borderId="4" xfId="0" applyNumberFormat="1" applyFont="1" applyBorder="1" applyAlignment="1">
      <alignment horizontal="center" vertical="top" wrapText="1" readingOrder="1"/>
    </xf>
    <xf numFmtId="0" fontId="39" fillId="0" borderId="4" xfId="0" applyFont="1" applyBorder="1" applyAlignment="1">
      <alignment horizontal="center" vertical="top" wrapText="1" readingOrder="1"/>
    </xf>
    <xf numFmtId="0" fontId="39" fillId="0" borderId="5" xfId="0" applyFont="1" applyBorder="1" applyAlignment="1">
      <alignment horizontal="center" vertical="top" wrapText="1" readingOrder="1"/>
    </xf>
    <xf numFmtId="164" fontId="21" fillId="0" borderId="54" xfId="34" applyNumberFormat="1" applyFont="1" applyBorder="1" applyAlignment="1" applyProtection="1">
      <alignment horizontal="center" vertical="center" wrapText="1"/>
    </xf>
    <xf numFmtId="0" fontId="21" fillId="0" borderId="76" xfId="34" applyFont="1" applyBorder="1" applyAlignment="1" applyProtection="1">
      <alignment horizontal="center" vertical="center" wrapText="1"/>
    </xf>
    <xf numFmtId="0" fontId="39" fillId="0" borderId="75" xfId="0" applyFont="1" applyBorder="1" applyAlignment="1">
      <alignment horizontal="justify" vertical="top" wrapText="1" readingOrder="1"/>
    </xf>
    <xf numFmtId="0" fontId="39" fillId="0" borderId="2" xfId="0" applyFont="1" applyBorder="1" applyAlignment="1">
      <alignment horizontal="justify" vertical="top" wrapText="1" readingOrder="1"/>
    </xf>
    <xf numFmtId="9" fontId="39" fillId="18" borderId="55" xfId="0" applyNumberFormat="1" applyFont="1" applyFill="1" applyBorder="1" applyAlignment="1">
      <alignment horizontal="center" vertical="top" wrapText="1" readingOrder="1"/>
    </xf>
    <xf numFmtId="9" fontId="39" fillId="18" borderId="4" xfId="0" applyNumberFormat="1" applyFont="1" applyFill="1" applyBorder="1" applyAlignment="1">
      <alignment horizontal="center" vertical="top" wrapText="1" readingOrder="1"/>
    </xf>
    <xf numFmtId="9" fontId="39" fillId="18" borderId="5" xfId="0" applyNumberFormat="1" applyFont="1" applyFill="1" applyBorder="1" applyAlignment="1">
      <alignment horizontal="center" vertical="top" wrapText="1" readingOrder="1"/>
    </xf>
    <xf numFmtId="164" fontId="21" fillId="18" borderId="54" xfId="34" applyNumberFormat="1" applyFont="1" applyFill="1" applyBorder="1" applyAlignment="1" applyProtection="1">
      <alignment horizontal="center" vertical="center" wrapText="1"/>
    </xf>
    <xf numFmtId="0" fontId="21" fillId="18" borderId="8" xfId="34" applyFont="1" applyFill="1" applyBorder="1" applyAlignment="1" applyProtection="1">
      <alignment horizontal="center" vertical="center" wrapText="1"/>
    </xf>
    <xf numFmtId="0" fontId="21" fillId="18" borderId="76" xfId="34" applyFont="1" applyFill="1" applyBorder="1" applyAlignment="1" applyProtection="1">
      <alignment horizontal="center" vertical="center" wrapText="1"/>
    </xf>
    <xf numFmtId="0" fontId="20" fillId="0" borderId="55" xfId="0" applyFont="1" applyFill="1" applyBorder="1" applyAlignment="1">
      <alignment horizontal="justify" vertical="center" wrapText="1"/>
    </xf>
    <xf numFmtId="0" fontId="20" fillId="0" borderId="5" xfId="0" applyFont="1" applyFill="1" applyBorder="1" applyAlignment="1">
      <alignment horizontal="justify" vertical="center" wrapText="1"/>
    </xf>
    <xf numFmtId="9" fontId="20" fillId="0" borderId="55" xfId="8" applyFont="1" applyBorder="1" applyAlignment="1" applyProtection="1">
      <alignment horizontal="center" vertical="center" wrapText="1"/>
    </xf>
    <xf numFmtId="9" fontId="20" fillId="0" borderId="5" xfId="8" applyFont="1" applyBorder="1" applyAlignment="1" applyProtection="1">
      <alignment horizontal="center" vertical="center" wrapText="1"/>
    </xf>
    <xf numFmtId="164" fontId="20" fillId="0" borderId="55" xfId="34" applyNumberFormat="1" applyFont="1" applyBorder="1" applyAlignment="1">
      <alignment horizontal="center" vertical="center" wrapText="1"/>
    </xf>
    <xf numFmtId="164" fontId="20" fillId="0" borderId="5" xfId="34" applyNumberFormat="1" applyFont="1" applyBorder="1" applyAlignment="1">
      <alignment horizontal="center" vertical="center" wrapText="1"/>
    </xf>
    <xf numFmtId="0" fontId="39" fillId="18" borderId="4" xfId="0" applyFont="1" applyFill="1" applyBorder="1" applyAlignment="1">
      <alignment horizontal="center" vertical="top" wrapText="1" readingOrder="1"/>
    </xf>
    <xf numFmtId="0" fontId="39" fillId="18" borderId="5" xfId="0" applyFont="1" applyFill="1" applyBorder="1" applyAlignment="1">
      <alignment horizontal="center" vertical="top" wrapText="1" readingOrder="1"/>
    </xf>
    <xf numFmtId="9" fontId="39" fillId="0" borderId="75" xfId="0" applyNumberFormat="1" applyFont="1" applyBorder="1" applyAlignment="1">
      <alignment horizontal="center" vertical="top" wrapText="1" readingOrder="1"/>
    </xf>
    <xf numFmtId="0" fontId="20" fillId="0" borderId="55" xfId="0" applyFont="1" applyBorder="1" applyAlignment="1">
      <alignment horizontal="justify" vertical="center" wrapText="1"/>
    </xf>
    <xf numFmtId="0" fontId="20" fillId="0" borderId="4" xfId="0" applyFont="1" applyBorder="1" applyAlignment="1">
      <alignment horizontal="justify" vertical="center" wrapText="1"/>
    </xf>
    <xf numFmtId="0" fontId="20" fillId="0" borderId="5" xfId="0" applyFont="1" applyBorder="1" applyAlignment="1">
      <alignment horizontal="justify" vertical="center" wrapText="1"/>
    </xf>
    <xf numFmtId="9" fontId="20" fillId="0" borderId="4" xfId="8" applyFont="1" applyBorder="1" applyAlignment="1" applyProtection="1">
      <alignment horizontal="center" vertical="center" wrapText="1"/>
    </xf>
    <xf numFmtId="9" fontId="20" fillId="0" borderId="75" xfId="8" applyFont="1" applyBorder="1" applyAlignment="1" applyProtection="1">
      <alignment horizontal="center" vertical="center" wrapText="1"/>
    </xf>
    <xf numFmtId="1" fontId="39" fillId="0" borderId="55" xfId="0" applyNumberFormat="1" applyFont="1" applyBorder="1" applyAlignment="1">
      <alignment horizontal="center" vertical="center" wrapText="1" readingOrder="1"/>
    </xf>
    <xf numFmtId="1" fontId="39" fillId="0" borderId="5" xfId="0" applyNumberFormat="1" applyFont="1" applyBorder="1" applyAlignment="1">
      <alignment horizontal="center" vertical="center" wrapText="1" readingOrder="1"/>
    </xf>
    <xf numFmtId="0" fontId="39" fillId="18" borderId="75" xfId="0" applyFont="1" applyFill="1" applyBorder="1" applyAlignment="1">
      <alignment horizontal="justify" vertical="top" wrapText="1" readingOrder="1"/>
    </xf>
    <xf numFmtId="9" fontId="39" fillId="18" borderId="55" xfId="0" applyNumberFormat="1" applyFont="1" applyFill="1" applyBorder="1" applyAlignment="1">
      <alignment horizontal="center" vertical="center" wrapText="1" readingOrder="1"/>
    </xf>
    <xf numFmtId="9" fontId="39" fillId="18" borderId="5" xfId="0" applyNumberFormat="1" applyFont="1" applyFill="1" applyBorder="1" applyAlignment="1">
      <alignment horizontal="center" vertical="center" wrapText="1" readingOrder="1"/>
    </xf>
    <xf numFmtId="1" fontId="39" fillId="18" borderId="55" xfId="0" applyNumberFormat="1" applyFont="1" applyFill="1" applyBorder="1" applyAlignment="1">
      <alignment horizontal="center" vertical="center" wrapText="1" readingOrder="1"/>
    </xf>
    <xf numFmtId="1" fontId="39" fillId="18" borderId="5" xfId="0" applyNumberFormat="1" applyFont="1" applyFill="1" applyBorder="1" applyAlignment="1">
      <alignment horizontal="center" vertical="center" wrapText="1" readingOrder="1"/>
    </xf>
    <xf numFmtId="1" fontId="39" fillId="18" borderId="4" xfId="0" applyNumberFormat="1" applyFont="1" applyFill="1" applyBorder="1" applyAlignment="1">
      <alignment horizontal="center" vertical="center" wrapText="1" readingOrder="1"/>
    </xf>
    <xf numFmtId="9" fontId="39" fillId="18" borderId="4" xfId="0" applyNumberFormat="1" applyFont="1" applyFill="1" applyBorder="1" applyAlignment="1">
      <alignment horizontal="center" vertical="center" wrapText="1" readingOrder="1"/>
    </xf>
    <xf numFmtId="10" fontId="21" fillId="0" borderId="3" xfId="20" applyNumberFormat="1" applyFont="1" applyBorder="1" applyAlignment="1" applyProtection="1">
      <alignment horizontal="center" vertical="center" wrapText="1"/>
    </xf>
    <xf numFmtId="10" fontId="21" fillId="0" borderId="5" xfId="20" applyNumberFormat="1" applyFont="1" applyBorder="1" applyAlignment="1" applyProtection="1">
      <alignment horizontal="center" vertical="center" wrapText="1"/>
    </xf>
    <xf numFmtId="0" fontId="11" fillId="38" borderId="7" xfId="0" applyFont="1" applyFill="1" applyBorder="1" applyAlignment="1">
      <alignment horizontal="center" vertical="center" wrapText="1"/>
    </xf>
    <xf numFmtId="0" fontId="11" fillId="38" borderId="6" xfId="0" applyFont="1" applyFill="1" applyBorder="1" applyAlignment="1">
      <alignment horizontal="center" vertical="center" wrapText="1"/>
    </xf>
    <xf numFmtId="0" fontId="11" fillId="20" borderId="55" xfId="0" applyFont="1" applyFill="1" applyBorder="1" applyAlignment="1">
      <alignment horizontal="center" vertical="center" wrapText="1"/>
    </xf>
    <xf numFmtId="0" fontId="11" fillId="20" borderId="5" xfId="0" applyFont="1" applyFill="1" applyBorder="1" applyAlignment="1">
      <alignment horizontal="center" vertical="center" wrapText="1"/>
    </xf>
    <xf numFmtId="0" fontId="11" fillId="36" borderId="55" xfId="0" applyFont="1" applyFill="1" applyBorder="1" applyAlignment="1">
      <alignment horizontal="center" vertical="center" wrapText="1"/>
    </xf>
    <xf numFmtId="0" fontId="11" fillId="36" borderId="5" xfId="0" applyFont="1" applyFill="1" applyBorder="1" applyAlignment="1">
      <alignment horizontal="center" vertical="center" wrapText="1"/>
    </xf>
    <xf numFmtId="0" fontId="11" fillId="8" borderId="7" xfId="0" applyFont="1" applyFill="1" applyBorder="1" applyAlignment="1">
      <alignment horizontal="center" vertical="center" wrapText="1"/>
    </xf>
    <xf numFmtId="0" fontId="11" fillId="8" borderId="6" xfId="0" applyFont="1" applyFill="1" applyBorder="1" applyAlignment="1">
      <alignment horizontal="center" vertical="center" wrapText="1"/>
    </xf>
    <xf numFmtId="0" fontId="11" fillId="37" borderId="55" xfId="0" applyFont="1" applyFill="1" applyBorder="1" applyAlignment="1">
      <alignment horizontal="center" vertical="center" wrapText="1"/>
    </xf>
    <xf numFmtId="0" fontId="11" fillId="37" borderId="5"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28" fillId="36" borderId="7" xfId="0" applyFont="1" applyFill="1" applyBorder="1" applyAlignment="1">
      <alignment horizontal="center" vertical="center" wrapText="1"/>
    </xf>
    <xf numFmtId="0" fontId="28" fillId="36" borderId="11" xfId="0" applyFont="1" applyFill="1" applyBorder="1" applyAlignment="1">
      <alignment horizontal="center" vertical="center" wrapText="1"/>
    </xf>
    <xf numFmtId="0" fontId="28" fillId="36" borderId="6" xfId="0" applyFont="1" applyFill="1" applyBorder="1" applyAlignment="1">
      <alignment horizontal="center" vertical="center" wrapText="1"/>
    </xf>
    <xf numFmtId="0" fontId="11" fillId="41" borderId="3" xfId="0" applyFont="1" applyFill="1" applyBorder="1" applyAlignment="1" applyProtection="1">
      <alignment horizontal="center" vertical="center" wrapText="1"/>
    </xf>
    <xf numFmtId="0" fontId="11" fillId="41" borderId="5" xfId="0" applyFont="1" applyFill="1" applyBorder="1" applyAlignment="1" applyProtection="1">
      <alignment horizontal="center" vertical="center" wrapText="1"/>
    </xf>
    <xf numFmtId="0" fontId="25" fillId="9" borderId="2" xfId="0" applyFont="1" applyFill="1" applyBorder="1" applyAlignment="1">
      <alignment horizontal="center" vertical="center" wrapText="1"/>
    </xf>
    <xf numFmtId="0" fontId="25" fillId="9" borderId="55" xfId="0" applyFont="1" applyFill="1" applyBorder="1" applyAlignment="1">
      <alignment horizontal="center" vertical="center" wrapText="1"/>
    </xf>
    <xf numFmtId="0" fontId="25" fillId="9" borderId="4" xfId="0" applyFont="1" applyFill="1" applyBorder="1" applyAlignment="1">
      <alignment horizontal="center" vertical="center" wrapText="1"/>
    </xf>
    <xf numFmtId="0" fontId="25" fillId="9" borderId="5" xfId="0" applyFont="1" applyFill="1" applyBorder="1" applyAlignment="1">
      <alignment horizontal="center" vertical="center" wrapText="1"/>
    </xf>
    <xf numFmtId="0" fontId="11" fillId="20" borderId="2" xfId="0" applyFont="1" applyFill="1" applyBorder="1" applyAlignment="1">
      <alignment horizontal="center" vertical="center" wrapText="1"/>
    </xf>
    <xf numFmtId="0" fontId="25" fillId="40" borderId="55" xfId="0" applyFont="1" applyFill="1" applyBorder="1" applyAlignment="1">
      <alignment horizontal="center" vertical="center" wrapText="1"/>
    </xf>
    <xf numFmtId="0" fontId="25" fillId="40" borderId="4" xfId="0" applyFont="1" applyFill="1" applyBorder="1" applyAlignment="1">
      <alignment horizontal="center" vertical="center" wrapText="1"/>
    </xf>
    <xf numFmtId="0" fontId="25" fillId="40" borderId="5" xfId="0" applyFont="1" applyFill="1" applyBorder="1" applyAlignment="1">
      <alignment horizontal="center" vertical="center" wrapText="1"/>
    </xf>
    <xf numFmtId="0" fontId="11" fillId="8" borderId="55"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2" fillId="9" borderId="2" xfId="1" applyFont="1" applyFill="1" applyBorder="1" applyAlignment="1">
      <alignment horizontal="center" vertical="center" wrapText="1"/>
    </xf>
    <xf numFmtId="0" fontId="28" fillId="8" borderId="7" xfId="0" applyFont="1" applyFill="1" applyBorder="1" applyAlignment="1">
      <alignment horizontal="center" vertical="center" wrapText="1"/>
    </xf>
    <xf numFmtId="0" fontId="28" fillId="8" borderId="11" xfId="0" applyFont="1" applyFill="1" applyBorder="1" applyAlignment="1">
      <alignment horizontal="center" vertical="center" wrapText="1"/>
    </xf>
    <xf numFmtId="0" fontId="28" fillId="8" borderId="6" xfId="0" applyFont="1" applyFill="1" applyBorder="1" applyAlignment="1">
      <alignment horizontal="center" vertical="center" wrapText="1"/>
    </xf>
    <xf numFmtId="164" fontId="21" fillId="18" borderId="54" xfId="0" applyNumberFormat="1" applyFont="1" applyFill="1" applyBorder="1" applyAlignment="1" applyProtection="1">
      <alignment horizontal="center" vertical="center" wrapText="1"/>
    </xf>
    <xf numFmtId="0" fontId="21" fillId="18" borderId="8" xfId="0" applyFont="1" applyFill="1" applyBorder="1" applyAlignment="1" applyProtection="1">
      <alignment horizontal="center" vertical="center" wrapText="1"/>
    </xf>
    <xf numFmtId="0" fontId="21" fillId="18" borderId="76" xfId="0" applyFont="1" applyFill="1" applyBorder="1" applyAlignment="1" applyProtection="1">
      <alignment horizontal="center" vertical="center" wrapText="1"/>
    </xf>
    <xf numFmtId="164" fontId="21" fillId="18" borderId="54" xfId="6" applyNumberFormat="1" applyFont="1" applyFill="1" applyBorder="1" applyAlignment="1" applyProtection="1">
      <alignment horizontal="center" vertical="center" wrapText="1"/>
    </xf>
    <xf numFmtId="164" fontId="21" fillId="18" borderId="8" xfId="6" applyNumberFormat="1" applyFont="1" applyFill="1" applyBorder="1" applyAlignment="1" applyProtection="1">
      <alignment horizontal="center" vertical="center" wrapText="1"/>
    </xf>
    <xf numFmtId="164" fontId="21" fillId="18" borderId="76" xfId="6" applyNumberFormat="1" applyFont="1" applyFill="1" applyBorder="1" applyAlignment="1" applyProtection="1">
      <alignment horizontal="center" vertical="center" wrapText="1"/>
    </xf>
    <xf numFmtId="0" fontId="25" fillId="40" borderId="2" xfId="0" applyFont="1" applyFill="1" applyBorder="1" applyAlignment="1">
      <alignment horizontal="center" vertical="center" wrapText="1"/>
    </xf>
    <xf numFmtId="0" fontId="14" fillId="36" borderId="7" xfId="0" applyFont="1" applyFill="1" applyBorder="1" applyAlignment="1">
      <alignment horizontal="center" vertical="center" wrapText="1"/>
    </xf>
    <xf numFmtId="0" fontId="14" fillId="36" borderId="11" xfId="0" applyFont="1" applyFill="1" applyBorder="1" applyAlignment="1">
      <alignment horizontal="center" vertical="center" wrapText="1"/>
    </xf>
    <xf numFmtId="0" fontId="14" fillId="36" borderId="6" xfId="0" applyFont="1" applyFill="1" applyBorder="1" applyAlignment="1">
      <alignment horizontal="center" vertical="center" wrapText="1"/>
    </xf>
    <xf numFmtId="164" fontId="21" fillId="18" borderId="2" xfId="20" applyNumberFormat="1" applyFont="1" applyFill="1" applyBorder="1" applyAlignment="1" applyProtection="1">
      <alignment horizontal="center" vertical="center" wrapText="1"/>
    </xf>
    <xf numFmtId="0" fontId="25" fillId="24" borderId="7" xfId="0" applyFont="1" applyFill="1" applyBorder="1" applyAlignment="1">
      <alignment horizontal="center" vertical="center" wrapText="1"/>
    </xf>
    <xf numFmtId="0" fontId="25" fillId="24" borderId="11" xfId="0" applyFont="1" applyFill="1" applyBorder="1" applyAlignment="1">
      <alignment horizontal="center" vertical="center" wrapText="1"/>
    </xf>
    <xf numFmtId="164" fontId="21" fillId="0" borderId="5" xfId="20" applyNumberFormat="1" applyFont="1" applyBorder="1" applyAlignment="1" applyProtection="1">
      <alignment horizontal="center" vertical="center" wrapText="1"/>
    </xf>
    <xf numFmtId="164" fontId="20" fillId="0" borderId="4" xfId="34" applyNumberFormat="1" applyFont="1" applyBorder="1" applyAlignment="1">
      <alignment horizontal="center" vertical="center" wrapText="1"/>
    </xf>
    <xf numFmtId="164" fontId="20" fillId="0" borderId="75" xfId="34" applyNumberFormat="1" applyFont="1" applyBorder="1" applyAlignment="1">
      <alignment horizontal="center" vertical="center" wrapText="1"/>
    </xf>
    <xf numFmtId="10" fontId="21" fillId="0" borderId="54" xfId="20" applyNumberFormat="1" applyFont="1" applyBorder="1" applyAlignment="1" applyProtection="1">
      <alignment horizontal="center" vertical="center" wrapText="1"/>
    </xf>
    <xf numFmtId="10" fontId="21" fillId="0" borderId="8" xfId="20" applyNumberFormat="1" applyFont="1" applyBorder="1" applyAlignment="1" applyProtection="1">
      <alignment horizontal="center" vertical="center" wrapText="1"/>
    </xf>
    <xf numFmtId="10" fontId="21" fillId="0" borderId="76" xfId="20" applyNumberFormat="1" applyFont="1" applyBorder="1" applyAlignment="1" applyProtection="1">
      <alignment horizontal="center" vertical="center" wrapText="1"/>
    </xf>
    <xf numFmtId="10" fontId="21" fillId="0" borderId="7" xfId="20" applyNumberFormat="1" applyFont="1" applyBorder="1" applyAlignment="1" applyProtection="1">
      <alignment horizontal="center" vertical="center" wrapText="1"/>
    </xf>
    <xf numFmtId="0" fontId="24" fillId="0" borderId="55" xfId="0" applyFont="1" applyBorder="1" applyAlignment="1">
      <alignment horizontal="justify" vertical="center" wrapText="1"/>
    </xf>
    <xf numFmtId="0" fontId="24" fillId="0" borderId="4" xfId="0" applyFont="1" applyBorder="1" applyAlignment="1">
      <alignment horizontal="justify" vertical="center" wrapText="1"/>
    </xf>
    <xf numFmtId="0" fontId="24" fillId="0" borderId="5" xfId="0" applyFont="1" applyBorder="1" applyAlignment="1">
      <alignment horizontal="justify" vertical="center" wrapText="1"/>
    </xf>
    <xf numFmtId="169" fontId="24" fillId="0" borderId="55" xfId="0" applyNumberFormat="1" applyFont="1" applyBorder="1" applyAlignment="1">
      <alignment horizontal="center" vertical="center" wrapText="1"/>
    </xf>
    <xf numFmtId="169" fontId="24" fillId="0" borderId="4" xfId="0" applyNumberFormat="1" applyFont="1" applyBorder="1" applyAlignment="1">
      <alignment horizontal="center" vertical="center" wrapText="1"/>
    </xf>
    <xf numFmtId="169" fontId="24" fillId="0" borderId="5" xfId="0" applyNumberFormat="1" applyFont="1" applyBorder="1" applyAlignment="1">
      <alignment horizontal="center" vertical="center" wrapText="1"/>
    </xf>
    <xf numFmtId="0" fontId="24" fillId="5" borderId="4" xfId="0" applyFont="1" applyFill="1" applyBorder="1" applyAlignment="1">
      <alignment horizontal="justify" vertical="center" wrapText="1"/>
    </xf>
    <xf numFmtId="0" fontId="24" fillId="5" borderId="5" xfId="0" applyFont="1" applyFill="1" applyBorder="1" applyAlignment="1">
      <alignment horizontal="justify" vertical="center" wrapText="1"/>
    </xf>
    <xf numFmtId="169" fontId="24" fillId="0" borderId="2" xfId="0" applyNumberFormat="1" applyFont="1" applyBorder="1" applyAlignment="1">
      <alignment horizontal="center" vertical="center" wrapText="1"/>
    </xf>
    <xf numFmtId="0" fontId="25" fillId="15" borderId="4" xfId="0" applyFont="1" applyFill="1" applyBorder="1" applyAlignment="1">
      <alignment horizontal="center" vertical="center" wrapText="1"/>
    </xf>
    <xf numFmtId="0" fontId="25" fillId="15" borderId="5" xfId="0" applyFont="1" applyFill="1" applyBorder="1" applyAlignment="1">
      <alignment horizontal="center" vertical="center" wrapText="1"/>
    </xf>
    <xf numFmtId="0" fontId="24" fillId="0" borderId="2" xfId="0" applyFont="1" applyBorder="1" applyAlignment="1">
      <alignment horizontal="justify" vertical="center" wrapText="1"/>
    </xf>
    <xf numFmtId="170" fontId="24" fillId="0" borderId="55" xfId="0" applyNumberFormat="1" applyFont="1" applyBorder="1" applyAlignment="1">
      <alignment horizontal="center" vertical="center" wrapText="1"/>
    </xf>
    <xf numFmtId="170" fontId="24" fillId="0" borderId="4" xfId="0" applyNumberFormat="1" applyFont="1" applyBorder="1" applyAlignment="1">
      <alignment horizontal="center" vertical="center" wrapText="1"/>
    </xf>
    <xf numFmtId="170" fontId="24" fillId="0" borderId="5" xfId="0" applyNumberFormat="1" applyFont="1" applyBorder="1" applyAlignment="1">
      <alignment horizontal="center" vertical="center" wrapText="1"/>
    </xf>
    <xf numFmtId="0" fontId="24" fillId="5" borderId="2" xfId="0" applyFont="1" applyFill="1" applyBorder="1" applyAlignment="1">
      <alignment horizontal="justify" vertical="center" wrapText="1"/>
    </xf>
    <xf numFmtId="0" fontId="25" fillId="9" borderId="2" xfId="0" applyFont="1" applyFill="1" applyBorder="1" applyAlignment="1">
      <alignment horizontal="center" vertical="center"/>
    </xf>
    <xf numFmtId="0" fontId="25" fillId="9" borderId="75" xfId="0" applyFont="1" applyFill="1" applyBorder="1" applyAlignment="1">
      <alignment horizontal="center" vertical="center" wrapText="1"/>
    </xf>
    <xf numFmtId="0" fontId="80" fillId="39" borderId="55" xfId="0" applyFont="1" applyFill="1" applyBorder="1" applyAlignment="1">
      <alignment horizontal="center" vertical="center" wrapText="1"/>
    </xf>
    <xf numFmtId="0" fontId="80" fillId="39" borderId="4" xfId="0" applyFont="1" applyFill="1" applyBorder="1" applyAlignment="1">
      <alignment horizontal="center" vertical="center"/>
    </xf>
    <xf numFmtId="0" fontId="80" fillId="39" borderId="5" xfId="0" applyFont="1" applyFill="1" applyBorder="1" applyAlignment="1">
      <alignment horizontal="center" vertical="center"/>
    </xf>
    <xf numFmtId="0" fontId="24" fillId="39" borderId="47" xfId="0" applyFont="1" applyFill="1" applyBorder="1" applyAlignment="1">
      <alignment horizontal="center"/>
    </xf>
    <xf numFmtId="0" fontId="25" fillId="39" borderId="54" xfId="0" applyFont="1" applyFill="1" applyBorder="1" applyAlignment="1">
      <alignment horizontal="left"/>
    </xf>
    <xf numFmtId="0" fontId="25" fillId="39" borderId="65" xfId="0" applyFont="1" applyFill="1" applyBorder="1" applyAlignment="1">
      <alignment horizontal="left"/>
    </xf>
    <xf numFmtId="0" fontId="78" fillId="39" borderId="54" xfId="0" applyFont="1" applyFill="1" applyBorder="1" applyAlignment="1">
      <alignment horizontal="center" vertical="center"/>
    </xf>
    <xf numFmtId="0" fontId="78" fillId="39" borderId="67" xfId="0" applyFont="1" applyFill="1" applyBorder="1" applyAlignment="1">
      <alignment horizontal="center" vertical="center"/>
    </xf>
    <xf numFmtId="0" fontId="78" fillId="39" borderId="8" xfId="0" applyFont="1" applyFill="1" applyBorder="1" applyAlignment="1">
      <alignment horizontal="center" vertical="center"/>
    </xf>
    <xf numFmtId="0" fontId="78" fillId="39" borderId="1" xfId="0" applyFont="1" applyFill="1" applyBorder="1" applyAlignment="1">
      <alignment horizontal="center" vertical="center"/>
    </xf>
    <xf numFmtId="0" fontId="78" fillId="39" borderId="76" xfId="0" applyFont="1" applyFill="1" applyBorder="1" applyAlignment="1">
      <alignment horizontal="center" vertical="center"/>
    </xf>
    <xf numFmtId="0" fontId="78" fillId="39" borderId="82" xfId="0" applyFont="1" applyFill="1" applyBorder="1" applyAlignment="1">
      <alignment horizontal="center" vertical="center"/>
    </xf>
    <xf numFmtId="0" fontId="20" fillId="0" borderId="2" xfId="23" applyFont="1" applyBorder="1" applyAlignment="1">
      <alignment horizontal="left" vertical="center" wrapText="1"/>
    </xf>
    <xf numFmtId="0" fontId="92" fillId="0" borderId="13" xfId="23" applyFont="1" applyBorder="1" applyAlignment="1">
      <alignment horizontal="center" vertical="center" wrapText="1"/>
    </xf>
    <xf numFmtId="0" fontId="92" fillId="0" borderId="14" xfId="23" applyFont="1" applyBorder="1" applyAlignment="1">
      <alignment horizontal="center" vertical="center"/>
    </xf>
    <xf numFmtId="0" fontId="92" fillId="0" borderId="15" xfId="23" applyFont="1" applyBorder="1" applyAlignment="1">
      <alignment horizontal="center" vertical="center"/>
    </xf>
    <xf numFmtId="0" fontId="11" fillId="0" borderId="24" xfId="23" applyFont="1" applyBorder="1" applyAlignment="1">
      <alignment horizontal="center" vertical="center"/>
    </xf>
    <xf numFmtId="0" fontId="11" fillId="0" borderId="25" xfId="23" applyFont="1" applyBorder="1" applyAlignment="1">
      <alignment horizontal="center" vertical="center"/>
    </xf>
    <xf numFmtId="0" fontId="11" fillId="0" borderId="8" xfId="23" applyFont="1" applyBorder="1" applyAlignment="1">
      <alignment horizontal="center" vertical="center"/>
    </xf>
    <xf numFmtId="0" fontId="11" fillId="0" borderId="1" xfId="23" applyFont="1" applyAlignment="1">
      <alignment horizontal="center" vertical="center"/>
    </xf>
    <xf numFmtId="0" fontId="11" fillId="0" borderId="22" xfId="23" applyFont="1" applyBorder="1" applyAlignment="1">
      <alignment horizontal="center" vertical="center"/>
    </xf>
    <xf numFmtId="0" fontId="11" fillId="0" borderId="27" xfId="23" applyFont="1" applyBorder="1" applyAlignment="1">
      <alignment horizontal="center" vertical="center"/>
    </xf>
    <xf numFmtId="0" fontId="25" fillId="3" borderId="16" xfId="23" applyFont="1" applyFill="1" applyBorder="1" applyAlignment="1">
      <alignment horizontal="left"/>
    </xf>
    <xf numFmtId="0" fontId="24" fillId="3" borderId="17" xfId="23" applyFont="1" applyFill="1" applyBorder="1" applyAlignment="1">
      <alignment horizontal="left"/>
    </xf>
    <xf numFmtId="0" fontId="25" fillId="3" borderId="54" xfId="23" applyFont="1" applyFill="1" applyBorder="1" applyAlignment="1">
      <alignment horizontal="left"/>
    </xf>
    <xf numFmtId="0" fontId="24" fillId="3" borderId="84" xfId="23" applyFont="1" applyFill="1" applyBorder="1" applyAlignment="1">
      <alignment horizontal="left"/>
    </xf>
    <xf numFmtId="168" fontId="24" fillId="39" borderId="76" xfId="0" applyNumberFormat="1" applyFont="1" applyFill="1" applyBorder="1" applyAlignment="1" applyProtection="1">
      <alignment horizontal="left"/>
      <protection locked="0"/>
    </xf>
    <xf numFmtId="168" fontId="24" fillId="39" borderId="83" xfId="0" applyNumberFormat="1" applyFont="1" applyFill="1" applyBorder="1" applyAlignment="1" applyProtection="1">
      <alignment horizontal="left"/>
      <protection locked="0"/>
    </xf>
    <xf numFmtId="0" fontId="25" fillId="9" borderId="29" xfId="23" applyFont="1" applyFill="1" applyBorder="1" applyAlignment="1">
      <alignment horizontal="center" vertical="center"/>
    </xf>
    <xf numFmtId="0" fontId="25" fillId="9" borderId="25" xfId="23" applyFont="1" applyFill="1" applyBorder="1" applyAlignment="1">
      <alignment horizontal="center" vertical="center"/>
    </xf>
    <xf numFmtId="0" fontId="25" fillId="9" borderId="30" xfId="23" applyFont="1" applyFill="1" applyBorder="1" applyAlignment="1">
      <alignment horizontal="center" vertical="center"/>
    </xf>
    <xf numFmtId="0" fontId="25" fillId="9" borderId="2" xfId="23" applyFont="1" applyFill="1" applyBorder="1" applyAlignment="1">
      <alignment horizontal="center" vertical="center"/>
    </xf>
    <xf numFmtId="0" fontId="66" fillId="0" borderId="1" xfId="1" applyFont="1" applyAlignment="1">
      <alignment horizontal="left" vertical="center" wrapText="1"/>
    </xf>
    <xf numFmtId="0" fontId="31" fillId="0" borderId="2" xfId="23" applyFont="1" applyBorder="1" applyAlignment="1">
      <alignment horizontal="left" vertical="center" wrapText="1"/>
    </xf>
    <xf numFmtId="0" fontId="52" fillId="0" borderId="2" xfId="0" applyFont="1" applyBorder="1" applyAlignment="1" applyProtection="1">
      <alignment horizontal="center" vertical="center" wrapText="1"/>
      <protection hidden="1"/>
    </xf>
    <xf numFmtId="0" fontId="11" fillId="0" borderId="7" xfId="0" applyFont="1" applyBorder="1" applyAlignment="1">
      <alignment horizontal="center" vertical="center"/>
    </xf>
    <xf numFmtId="0" fontId="11" fillId="0" borderId="11" xfId="0" applyFont="1" applyBorder="1" applyAlignment="1">
      <alignment horizontal="center" vertical="center"/>
    </xf>
    <xf numFmtId="0" fontId="11" fillId="0" borderId="6" xfId="0" applyFont="1" applyBorder="1" applyAlignment="1">
      <alignment horizontal="center" vertical="center"/>
    </xf>
    <xf numFmtId="0" fontId="14" fillId="0" borderId="7" xfId="0" applyFont="1" applyBorder="1" applyAlignment="1">
      <alignment horizontal="center" vertical="center"/>
    </xf>
    <xf numFmtId="0" fontId="14" fillId="0" borderId="11" xfId="0" applyFont="1" applyBorder="1" applyAlignment="1">
      <alignment horizontal="center" vertical="center"/>
    </xf>
    <xf numFmtId="0" fontId="14" fillId="0" borderId="6" xfId="0" applyFont="1" applyBorder="1" applyAlignment="1">
      <alignment horizontal="center" vertical="center"/>
    </xf>
    <xf numFmtId="0" fontId="25" fillId="25" borderId="13" xfId="0" applyFont="1" applyFill="1" applyBorder="1" applyAlignment="1">
      <alignment horizontal="center" vertical="center"/>
    </xf>
    <xf numFmtId="0" fontId="25" fillId="25" borderId="58" xfId="0" applyFont="1" applyFill="1" applyBorder="1" applyAlignment="1">
      <alignment horizontal="center" vertical="center"/>
    </xf>
    <xf numFmtId="0" fontId="25" fillId="25" borderId="64" xfId="0" applyFont="1" applyFill="1" applyBorder="1" applyAlignment="1">
      <alignment horizontal="center" vertical="center" wrapText="1"/>
    </xf>
    <xf numFmtId="0" fontId="25" fillId="25" borderId="5" xfId="0" applyFont="1" applyFill="1" applyBorder="1" applyAlignment="1">
      <alignment horizontal="center" vertical="center" wrapText="1"/>
    </xf>
    <xf numFmtId="0" fontId="25" fillId="25" borderId="16" xfId="0" applyFont="1" applyFill="1" applyBorder="1" applyAlignment="1">
      <alignment horizontal="center" vertical="center" wrapText="1"/>
    </xf>
    <xf numFmtId="0" fontId="25" fillId="25" borderId="32" xfId="0" applyFont="1" applyFill="1" applyBorder="1" applyAlignment="1">
      <alignment horizontal="center" vertical="center" wrapText="1"/>
    </xf>
    <xf numFmtId="0" fontId="25" fillId="25" borderId="17" xfId="0" applyFont="1" applyFill="1" applyBorder="1" applyAlignment="1">
      <alignment horizontal="center" vertical="center" wrapText="1"/>
    </xf>
    <xf numFmtId="0" fontId="60" fillId="0" borderId="1" xfId="0" applyFont="1" applyBorder="1" applyAlignment="1">
      <alignment horizontal="center" vertical="center" wrapText="1"/>
    </xf>
    <xf numFmtId="0" fontId="43" fillId="0" borderId="1" xfId="0" applyFont="1" applyBorder="1" applyAlignment="1">
      <alignment horizontal="center"/>
    </xf>
    <xf numFmtId="0" fontId="25" fillId="9" borderId="7" xfId="0" applyFont="1" applyFill="1" applyBorder="1" applyAlignment="1">
      <alignment horizontal="center" vertical="center" wrapText="1"/>
    </xf>
    <xf numFmtId="0" fontId="25" fillId="9" borderId="11" xfId="0" applyFont="1" applyFill="1" applyBorder="1" applyAlignment="1">
      <alignment horizontal="center" vertical="center" wrapText="1"/>
    </xf>
    <xf numFmtId="0" fontId="25" fillId="9" borderId="6" xfId="0" applyFont="1" applyFill="1" applyBorder="1" applyAlignment="1">
      <alignment horizontal="center" vertical="center" wrapText="1"/>
    </xf>
    <xf numFmtId="0" fontId="25" fillId="9" borderId="54" xfId="0" applyFont="1" applyFill="1" applyBorder="1" applyAlignment="1">
      <alignment horizontal="center" vertical="center" wrapText="1"/>
    </xf>
    <xf numFmtId="0" fontId="25" fillId="9" borderId="67" xfId="0" applyFont="1" applyFill="1" applyBorder="1" applyAlignment="1">
      <alignment horizontal="center" vertical="center" wrapText="1"/>
    </xf>
    <xf numFmtId="0" fontId="25" fillId="9" borderId="65" xfId="0" applyFont="1" applyFill="1" applyBorder="1" applyAlignment="1">
      <alignment horizontal="center" vertical="center" wrapText="1"/>
    </xf>
    <xf numFmtId="171" fontId="25" fillId="9" borderId="82" xfId="0" applyNumberFormat="1" applyFont="1" applyFill="1" applyBorder="1" applyAlignment="1">
      <alignment horizontal="left" vertical="center" wrapText="1"/>
    </xf>
    <xf numFmtId="0" fontId="29" fillId="34" borderId="38" xfId="0" applyFont="1" applyFill="1" applyBorder="1" applyAlignment="1" applyProtection="1">
      <alignment horizontal="center" vertical="center"/>
      <protection hidden="1"/>
    </xf>
    <xf numFmtId="0" fontId="29" fillId="34" borderId="56" xfId="0" applyFont="1" applyFill="1" applyBorder="1" applyAlignment="1" applyProtection="1">
      <alignment horizontal="center" vertical="center"/>
      <protection hidden="1"/>
    </xf>
    <xf numFmtId="0" fontId="29" fillId="34" borderId="37" xfId="0" applyFont="1" applyFill="1" applyBorder="1" applyAlignment="1" applyProtection="1">
      <alignment horizontal="center" vertical="center" wrapText="1"/>
      <protection hidden="1"/>
    </xf>
    <xf numFmtId="0" fontId="29" fillId="34" borderId="57" xfId="0" applyFont="1" applyFill="1" applyBorder="1" applyAlignment="1" applyProtection="1">
      <alignment horizontal="center" vertical="center" wrapText="1"/>
      <protection hidden="1"/>
    </xf>
    <xf numFmtId="0" fontId="29" fillId="34" borderId="39" xfId="0" applyFont="1" applyFill="1" applyBorder="1" applyAlignment="1" applyProtection="1">
      <alignment horizontal="center" vertical="center" wrapText="1"/>
      <protection hidden="1"/>
    </xf>
    <xf numFmtId="0" fontId="76" fillId="0" borderId="35" xfId="0" applyFont="1" applyFill="1" applyBorder="1" applyAlignment="1" applyProtection="1">
      <alignment horizontal="center" vertical="center"/>
      <protection hidden="1"/>
    </xf>
    <xf numFmtId="0" fontId="76" fillId="0" borderId="27" xfId="0" applyFont="1" applyFill="1" applyBorder="1" applyAlignment="1" applyProtection="1">
      <alignment horizontal="center" vertical="center"/>
      <protection hidden="1"/>
    </xf>
    <xf numFmtId="0" fontId="76" fillId="0" borderId="23" xfId="0" applyFont="1" applyFill="1" applyBorder="1" applyAlignment="1" applyProtection="1">
      <alignment horizontal="center" vertical="center"/>
      <protection hidden="1"/>
    </xf>
    <xf numFmtId="0" fontId="11" fillId="0" borderId="2" xfId="0" applyFont="1" applyBorder="1" applyAlignment="1" applyProtection="1">
      <alignment horizontal="center" vertical="center" wrapText="1"/>
      <protection hidden="1"/>
    </xf>
    <xf numFmtId="0" fontId="14" fillId="0" borderId="2" xfId="0" applyFont="1" applyBorder="1" applyAlignment="1" applyProtection="1">
      <alignment horizontal="center" vertical="center"/>
      <protection hidden="1"/>
    </xf>
    <xf numFmtId="0" fontId="43" fillId="0" borderId="1" xfId="0" applyFont="1" applyBorder="1" applyAlignment="1" applyProtection="1">
      <alignment horizontal="center"/>
      <protection hidden="1"/>
    </xf>
    <xf numFmtId="0" fontId="75" fillId="34" borderId="29" xfId="0" applyFont="1" applyFill="1" applyBorder="1" applyAlignment="1">
      <alignment horizontal="center" vertical="center" wrapText="1" readingOrder="1"/>
    </xf>
    <xf numFmtId="0" fontId="75" fillId="34" borderId="35" xfId="0" applyFont="1" applyFill="1" applyBorder="1" applyAlignment="1">
      <alignment horizontal="center" vertical="center" wrapText="1" readingOrder="1"/>
    </xf>
    <xf numFmtId="0" fontId="75" fillId="34" borderId="37" xfId="0" applyFont="1" applyFill="1" applyBorder="1" applyAlignment="1">
      <alignment horizontal="center" vertical="center" wrapText="1" readingOrder="1"/>
    </xf>
    <xf numFmtId="0" fontId="75" fillId="34" borderId="57" xfId="0" applyFont="1" applyFill="1" applyBorder="1" applyAlignment="1">
      <alignment horizontal="center" vertical="center" wrapText="1" readingOrder="1"/>
    </xf>
    <xf numFmtId="0" fontId="75" fillId="34" borderId="7" xfId="0" applyFont="1" applyFill="1" applyBorder="1" applyAlignment="1">
      <alignment horizontal="center" vertical="center" wrapText="1" readingOrder="1"/>
    </xf>
    <xf numFmtId="0" fontId="75" fillId="34" borderId="11" xfId="0" applyFont="1" applyFill="1" applyBorder="1" applyAlignment="1">
      <alignment horizontal="center" vertical="center" wrapText="1" readingOrder="1"/>
    </xf>
    <xf numFmtId="0" fontId="75" fillId="34" borderId="6" xfId="0" applyFont="1" applyFill="1" applyBorder="1" applyAlignment="1">
      <alignment horizontal="center" vertical="center" wrapText="1" readingOrder="1"/>
    </xf>
    <xf numFmtId="0" fontId="25" fillId="29" borderId="76" xfId="0" applyFont="1" applyFill="1" applyBorder="1" applyAlignment="1" applyProtection="1">
      <alignment horizontal="center" vertical="center" wrapText="1"/>
      <protection hidden="1"/>
    </xf>
    <xf numFmtId="0" fontId="25" fillId="29" borderId="82" xfId="0" applyFont="1" applyFill="1" applyBorder="1" applyAlignment="1" applyProtection="1">
      <alignment horizontal="center" vertical="center" wrapText="1"/>
      <protection hidden="1"/>
    </xf>
    <xf numFmtId="0" fontId="25" fillId="29" borderId="83" xfId="0" applyFont="1" applyFill="1" applyBorder="1" applyAlignment="1" applyProtection="1">
      <alignment horizontal="center" vertical="center" wrapText="1"/>
      <protection hidden="1"/>
    </xf>
    <xf numFmtId="0" fontId="25" fillId="29" borderId="75" xfId="0" applyFont="1" applyFill="1" applyBorder="1" applyAlignment="1" applyProtection="1">
      <alignment horizontal="center" vertical="center" wrapText="1"/>
      <protection hidden="1"/>
    </xf>
    <xf numFmtId="0" fontId="25" fillId="29" borderId="2" xfId="0" applyFont="1" applyFill="1" applyBorder="1" applyAlignment="1" applyProtection="1">
      <alignment horizontal="center" vertical="center" wrapText="1"/>
      <protection hidden="1"/>
    </xf>
    <xf numFmtId="0" fontId="25" fillId="27" borderId="75" xfId="0" applyFont="1" applyFill="1" applyBorder="1" applyAlignment="1" applyProtection="1">
      <alignment horizontal="center" vertical="center" wrapText="1"/>
      <protection hidden="1"/>
    </xf>
    <xf numFmtId="0" fontId="25" fillId="27" borderId="2" xfId="0" applyFont="1" applyFill="1" applyBorder="1" applyAlignment="1" applyProtection="1">
      <alignment horizontal="center" vertical="center" wrapText="1"/>
      <protection hidden="1"/>
    </xf>
    <xf numFmtId="0" fontId="11" fillId="11" borderId="51" xfId="0" applyFont="1" applyFill="1" applyBorder="1" applyAlignment="1" applyProtection="1">
      <alignment horizontal="center" vertical="center"/>
      <protection hidden="1"/>
    </xf>
    <xf numFmtId="0" fontId="11" fillId="11" borderId="52" xfId="0" applyFont="1" applyFill="1" applyBorder="1" applyAlignment="1" applyProtection="1">
      <alignment horizontal="center" vertical="center"/>
      <protection hidden="1"/>
    </xf>
    <xf numFmtId="0" fontId="11" fillId="11" borderId="53" xfId="0" applyFont="1" applyFill="1" applyBorder="1" applyAlignment="1" applyProtection="1">
      <alignment horizontal="center" vertical="center"/>
      <protection hidden="1"/>
    </xf>
    <xf numFmtId="0" fontId="11" fillId="18" borderId="51" xfId="0" applyFont="1" applyFill="1" applyBorder="1" applyAlignment="1" applyProtection="1">
      <alignment horizontal="center" vertical="center"/>
      <protection hidden="1"/>
    </xf>
    <xf numFmtId="0" fontId="11" fillId="18" borderId="52" xfId="0" applyFont="1" applyFill="1" applyBorder="1" applyAlignment="1" applyProtection="1">
      <alignment horizontal="center" vertical="center"/>
      <protection hidden="1"/>
    </xf>
    <xf numFmtId="0" fontId="11" fillId="18" borderId="53" xfId="0" applyFont="1" applyFill="1" applyBorder="1" applyAlignment="1" applyProtection="1">
      <alignment horizontal="center" vertical="center"/>
      <protection hidden="1"/>
    </xf>
    <xf numFmtId="0" fontId="11" fillId="40" borderId="51" xfId="0" applyFont="1" applyFill="1" applyBorder="1" applyAlignment="1" applyProtection="1">
      <alignment horizontal="center" vertical="center"/>
      <protection hidden="1"/>
    </xf>
    <xf numFmtId="0" fontId="11" fillId="40" borderId="52" xfId="0" applyFont="1" applyFill="1" applyBorder="1" applyAlignment="1" applyProtection="1">
      <alignment horizontal="center" vertical="center"/>
      <protection hidden="1"/>
    </xf>
    <xf numFmtId="0" fontId="11" fillId="40" borderId="53" xfId="0" applyFont="1" applyFill="1" applyBorder="1" applyAlignment="1" applyProtection="1">
      <alignment horizontal="center" vertical="center"/>
      <protection hidden="1"/>
    </xf>
    <xf numFmtId="0" fontId="35" fillId="7" borderId="2" xfId="0" applyFont="1" applyFill="1" applyBorder="1" applyAlignment="1" applyProtection="1">
      <alignment horizontal="center" vertical="center"/>
      <protection hidden="1"/>
    </xf>
    <xf numFmtId="0" fontId="35" fillId="22" borderId="54" xfId="0" applyFont="1" applyFill="1" applyBorder="1" applyAlignment="1" applyProtection="1">
      <alignment horizontal="center" vertical="center" wrapText="1"/>
      <protection hidden="1"/>
    </xf>
    <xf numFmtId="0" fontId="35" fillId="22" borderId="11" xfId="0" applyFont="1" applyFill="1" applyBorder="1" applyAlignment="1" applyProtection="1">
      <alignment horizontal="center" vertical="center" wrapText="1"/>
      <protection hidden="1"/>
    </xf>
    <xf numFmtId="0" fontId="35" fillId="23" borderId="7" xfId="0" applyFont="1" applyFill="1" applyBorder="1" applyAlignment="1" applyProtection="1">
      <alignment horizontal="center" vertical="center" wrapText="1"/>
      <protection hidden="1"/>
    </xf>
    <xf numFmtId="0" fontId="35" fillId="23" borderId="11" xfId="0" applyFont="1" applyFill="1" applyBorder="1" applyAlignment="1" applyProtection="1">
      <alignment horizontal="center" vertical="center" wrapText="1"/>
      <protection hidden="1"/>
    </xf>
    <xf numFmtId="0" fontId="35" fillId="23" borderId="6" xfId="0" applyFont="1" applyFill="1" applyBorder="1" applyAlignment="1" applyProtection="1">
      <alignment horizontal="center" vertical="center" wrapText="1"/>
      <protection hidden="1"/>
    </xf>
    <xf numFmtId="0" fontId="63" fillId="21" borderId="7" xfId="0" applyFont="1" applyFill="1" applyBorder="1" applyAlignment="1" applyProtection="1">
      <alignment horizontal="center" vertical="center" wrapText="1"/>
      <protection hidden="1"/>
    </xf>
    <xf numFmtId="0" fontId="63" fillId="21" borderId="11" xfId="0" applyFont="1" applyFill="1" applyBorder="1" applyAlignment="1" applyProtection="1">
      <alignment horizontal="center" vertical="center" wrapText="1"/>
      <protection hidden="1"/>
    </xf>
    <xf numFmtId="0" fontId="25" fillId="29" borderId="2" xfId="0" applyFont="1" applyFill="1" applyBorder="1" applyAlignment="1" applyProtection="1">
      <alignment horizontal="center" vertical="center"/>
      <protection hidden="1"/>
    </xf>
    <xf numFmtId="0" fontId="52" fillId="0" borderId="7" xfId="0" applyFont="1" applyBorder="1" applyAlignment="1" applyProtection="1">
      <alignment horizontal="center" vertical="center" wrapText="1"/>
      <protection hidden="1"/>
    </xf>
    <xf numFmtId="0" fontId="37" fillId="0" borderId="20" xfId="0" applyFont="1" applyBorder="1" applyAlignment="1" applyProtection="1">
      <alignment horizontal="center" vertical="center" wrapText="1"/>
      <protection hidden="1"/>
    </xf>
    <xf numFmtId="0" fontId="37" fillId="0" borderId="67" xfId="0" applyFont="1" applyBorder="1" applyAlignment="1" applyProtection="1">
      <alignment horizontal="center" vertical="center" wrapText="1"/>
      <protection hidden="1"/>
    </xf>
    <xf numFmtId="0" fontId="37" fillId="0" borderId="65" xfId="0" applyFont="1" applyBorder="1" applyAlignment="1" applyProtection="1">
      <alignment horizontal="center" vertical="center" wrapText="1"/>
      <protection hidden="1"/>
    </xf>
    <xf numFmtId="0" fontId="37" fillId="0" borderId="8" xfId="0" applyFont="1" applyBorder="1" applyAlignment="1" applyProtection="1">
      <alignment horizontal="center" vertical="center"/>
      <protection hidden="1"/>
    </xf>
    <xf numFmtId="0" fontId="37" fillId="0" borderId="1" xfId="0" applyFont="1" applyBorder="1" applyAlignment="1" applyProtection="1">
      <alignment horizontal="center" vertical="center"/>
      <protection hidden="1"/>
    </xf>
    <xf numFmtId="0" fontId="37" fillId="0" borderId="12" xfId="0" applyFont="1" applyBorder="1" applyAlignment="1" applyProtection="1">
      <alignment horizontal="center" vertical="center"/>
      <protection hidden="1"/>
    </xf>
    <xf numFmtId="0" fontId="14" fillId="0" borderId="8" xfId="0" applyFont="1" applyBorder="1" applyAlignment="1" applyProtection="1">
      <alignment horizontal="center" vertical="center"/>
      <protection hidden="1"/>
    </xf>
    <xf numFmtId="0" fontId="14" fillId="0" borderId="1" xfId="0" applyFont="1" applyBorder="1" applyAlignment="1" applyProtection="1">
      <alignment horizontal="center" vertical="center"/>
      <protection hidden="1"/>
    </xf>
    <xf numFmtId="0" fontId="14" fillId="0" borderId="12" xfId="0" applyFont="1" applyBorder="1" applyAlignment="1" applyProtection="1">
      <alignment horizontal="center" vertical="center"/>
      <protection hidden="1"/>
    </xf>
    <xf numFmtId="0" fontId="43" fillId="0" borderId="76" xfId="0" applyFont="1" applyBorder="1" applyAlignment="1" applyProtection="1">
      <alignment horizontal="center"/>
      <protection hidden="1"/>
    </xf>
    <xf numFmtId="0" fontId="43" fillId="0" borderId="82" xfId="0" applyFont="1" applyBorder="1" applyAlignment="1" applyProtection="1">
      <alignment horizontal="center"/>
      <protection hidden="1"/>
    </xf>
    <xf numFmtId="0" fontId="43" fillId="0" borderId="83" xfId="0" applyFont="1" applyBorder="1" applyAlignment="1" applyProtection="1">
      <alignment horizontal="center"/>
      <protection hidden="1"/>
    </xf>
    <xf numFmtId="0" fontId="25" fillId="0" borderId="7" xfId="0" applyFont="1" applyBorder="1" applyAlignment="1" applyProtection="1">
      <alignment horizontal="center"/>
      <protection hidden="1"/>
    </xf>
    <xf numFmtId="0" fontId="25" fillId="0" borderId="11" xfId="0" applyFont="1" applyBorder="1" applyAlignment="1" applyProtection="1">
      <alignment horizontal="center"/>
      <protection hidden="1"/>
    </xf>
    <xf numFmtId="0" fontId="11" fillId="8" borderId="2" xfId="0" applyFont="1" applyFill="1" applyBorder="1" applyAlignment="1" applyProtection="1">
      <alignment horizontal="center" vertical="center" wrapText="1"/>
    </xf>
    <xf numFmtId="9" fontId="20" fillId="0" borderId="3" xfId="8" applyFont="1" applyFill="1" applyBorder="1" applyAlignment="1" applyProtection="1">
      <alignment horizontal="center" vertical="center" wrapText="1"/>
    </xf>
    <xf numFmtId="9" fontId="20" fillId="0" borderId="5" xfId="8" applyFont="1" applyFill="1" applyBorder="1" applyAlignment="1" applyProtection="1">
      <alignment horizontal="center" vertical="center" wrapText="1"/>
    </xf>
    <xf numFmtId="0" fontId="39" fillId="18" borderId="3" xfId="0" applyFont="1" applyFill="1" applyBorder="1" applyAlignment="1" applyProtection="1">
      <alignment horizontal="justify" vertical="top" wrapText="1" readingOrder="1"/>
    </xf>
    <xf numFmtId="0" fontId="39" fillId="18" borderId="4" xfId="0" applyFont="1" applyFill="1" applyBorder="1" applyAlignment="1" applyProtection="1">
      <alignment horizontal="justify" vertical="top" wrapText="1" readingOrder="1"/>
    </xf>
    <xf numFmtId="0" fontId="39" fillId="18" borderId="5" xfId="0" applyFont="1" applyFill="1" applyBorder="1" applyAlignment="1" applyProtection="1">
      <alignment horizontal="justify" vertical="top" wrapText="1" readingOrder="1"/>
    </xf>
    <xf numFmtId="0" fontId="39" fillId="0" borderId="3" xfId="0" applyFont="1" applyFill="1" applyBorder="1" applyAlignment="1" applyProtection="1">
      <alignment horizontal="justify" vertical="top" wrapText="1" readingOrder="1"/>
    </xf>
    <xf numFmtId="0" fontId="39" fillId="0" borderId="5" xfId="0" applyFont="1" applyFill="1" applyBorder="1" applyAlignment="1" applyProtection="1">
      <alignment horizontal="justify" vertical="top" wrapText="1" readingOrder="1"/>
    </xf>
    <xf numFmtId="0" fontId="43" fillId="0" borderId="3" xfId="0" applyFont="1" applyBorder="1" applyAlignment="1" applyProtection="1">
      <alignment horizontal="justify" vertical="top" wrapText="1"/>
    </xf>
    <xf numFmtId="0" fontId="43" fillId="0" borderId="4" xfId="0" applyFont="1" applyBorder="1" applyAlignment="1" applyProtection="1">
      <alignment horizontal="justify" vertical="top" wrapText="1"/>
    </xf>
    <xf numFmtId="0" fontId="39" fillId="0" borderId="3" xfId="0" applyFont="1" applyBorder="1" applyAlignment="1" applyProtection="1">
      <alignment horizontal="justify" vertical="top" wrapText="1" readingOrder="1"/>
    </xf>
    <xf numFmtId="0" fontId="39" fillId="0" borderId="4" xfId="0" applyFont="1" applyBorder="1" applyAlignment="1" applyProtection="1">
      <alignment horizontal="justify" vertical="top" wrapText="1" readingOrder="1"/>
    </xf>
    <xf numFmtId="0" fontId="39" fillId="0" borderId="5" xfId="0" applyFont="1" applyBorder="1" applyAlignment="1" applyProtection="1">
      <alignment horizontal="justify" vertical="top" wrapText="1" readingOrder="1"/>
    </xf>
    <xf numFmtId="0" fontId="39" fillId="0" borderId="4" xfId="0" applyFont="1" applyFill="1" applyBorder="1" applyAlignment="1" applyProtection="1">
      <alignment horizontal="justify" vertical="top" wrapText="1" readingOrder="1"/>
    </xf>
    <xf numFmtId="0" fontId="20" fillId="0" borderId="3" xfId="0" applyFont="1" applyFill="1" applyBorder="1" applyAlignment="1" applyProtection="1">
      <alignment horizontal="justify" vertical="center" wrapText="1"/>
    </xf>
    <xf numFmtId="0" fontId="20" fillId="0" borderId="5" xfId="0" applyFont="1" applyFill="1" applyBorder="1" applyAlignment="1" applyProtection="1">
      <alignment horizontal="justify" vertical="center" wrapText="1"/>
    </xf>
    <xf numFmtId="0" fontId="39" fillId="0" borderId="3" xfId="0" applyFont="1" applyBorder="1" applyAlignment="1">
      <alignment horizontal="justify" vertical="top" wrapText="1" readingOrder="1"/>
    </xf>
    <xf numFmtId="0" fontId="20" fillId="0" borderId="3" xfId="0" applyFont="1" applyBorder="1" applyAlignment="1" applyProtection="1">
      <alignment horizontal="justify" vertical="center" wrapText="1"/>
    </xf>
    <xf numFmtId="0" fontId="20" fillId="0" borderId="4" xfId="0" applyFont="1" applyBorder="1" applyAlignment="1" applyProtection="1">
      <alignment horizontal="justify" vertical="center" wrapText="1"/>
    </xf>
    <xf numFmtId="0" fontId="20" fillId="0" borderId="5" xfId="0" applyFont="1" applyBorder="1" applyAlignment="1" applyProtection="1">
      <alignment horizontal="justify" vertical="center" wrapText="1"/>
    </xf>
    <xf numFmtId="9" fontId="20" fillId="0" borderId="3" xfId="8" applyFont="1" applyBorder="1" applyAlignment="1" applyProtection="1">
      <alignment horizontal="center" vertical="center" wrapText="1"/>
    </xf>
    <xf numFmtId="0" fontId="28" fillId="0" borderId="29" xfId="0" applyFont="1" applyBorder="1" applyAlignment="1">
      <alignment horizontal="center" vertical="center" wrapText="1"/>
    </xf>
    <xf numFmtId="0" fontId="28" fillId="0" borderId="34" xfId="0" applyFont="1" applyBorder="1" applyAlignment="1">
      <alignment horizontal="center" vertical="center" wrapText="1"/>
    </xf>
    <xf numFmtId="0" fontId="28" fillId="0" borderId="35" xfId="0" applyFont="1" applyBorder="1" applyAlignment="1">
      <alignment horizontal="center" vertical="center" wrapText="1"/>
    </xf>
    <xf numFmtId="0" fontId="11" fillId="8" borderId="3" xfId="0" applyFont="1" applyFill="1" applyBorder="1" applyAlignment="1" applyProtection="1">
      <alignment horizontal="center" vertical="center" wrapText="1"/>
    </xf>
    <xf numFmtId="0" fontId="11" fillId="8" borderId="4" xfId="0" applyFont="1" applyFill="1" applyBorder="1" applyAlignment="1" applyProtection="1">
      <alignment horizontal="center" vertical="center" wrapText="1"/>
    </xf>
    <xf numFmtId="0" fontId="11" fillId="8" borderId="5" xfId="0" applyFont="1" applyFill="1" applyBorder="1" applyAlignment="1" applyProtection="1">
      <alignment horizontal="center" vertical="center" wrapText="1"/>
    </xf>
    <xf numFmtId="0" fontId="43" fillId="0" borderId="5" xfId="0" applyFont="1" applyBorder="1" applyAlignment="1" applyProtection="1">
      <alignment horizontal="justify" vertical="top" wrapText="1"/>
    </xf>
    <xf numFmtId="0" fontId="43" fillId="18" borderId="3" xfId="0" applyFont="1" applyFill="1" applyBorder="1" applyAlignment="1" applyProtection="1">
      <alignment horizontal="justify" vertical="top" wrapText="1"/>
    </xf>
    <xf numFmtId="0" fontId="43" fillId="18" borderId="4" xfId="0" applyFont="1" applyFill="1" applyBorder="1" applyAlignment="1" applyProtection="1">
      <alignment horizontal="justify" vertical="top" wrapText="1"/>
    </xf>
    <xf numFmtId="0" fontId="43" fillId="18" borderId="5" xfId="0" applyFont="1" applyFill="1" applyBorder="1" applyAlignment="1" applyProtection="1">
      <alignment horizontal="justify" vertical="top" wrapText="1"/>
    </xf>
    <xf numFmtId="0" fontId="42" fillId="0" borderId="55" xfId="0" applyFont="1" applyBorder="1" applyAlignment="1" applyProtection="1">
      <alignment horizontal="left" vertical="top" wrapText="1"/>
    </xf>
    <xf numFmtId="0" fontId="42" fillId="0" borderId="75" xfId="0" applyFont="1" applyBorder="1" applyAlignment="1" applyProtection="1">
      <alignment horizontal="left" vertical="top" wrapText="1"/>
    </xf>
    <xf numFmtId="0" fontId="28" fillId="0" borderId="29" xfId="0" applyFont="1" applyBorder="1" applyAlignment="1" applyProtection="1">
      <alignment horizontal="center" vertical="center" wrapText="1"/>
    </xf>
    <xf numFmtId="0" fontId="28" fillId="0" borderId="25" xfId="0" applyFont="1" applyBorder="1" applyAlignment="1" applyProtection="1">
      <alignment horizontal="center" vertical="center" wrapText="1"/>
    </xf>
    <xf numFmtId="0" fontId="28" fillId="0" borderId="30" xfId="0" applyFont="1" applyBorder="1" applyAlignment="1" applyProtection="1">
      <alignment horizontal="center" vertical="center" wrapText="1"/>
    </xf>
    <xf numFmtId="0" fontId="28" fillId="0" borderId="34" xfId="0" applyFont="1" applyBorder="1" applyAlignment="1" applyProtection="1">
      <alignment horizontal="center" vertical="center" wrapText="1"/>
    </xf>
    <xf numFmtId="0" fontId="28" fillId="0" borderId="1" xfId="0" applyFont="1" applyBorder="1" applyAlignment="1" applyProtection="1">
      <alignment horizontal="center" vertical="center" wrapText="1"/>
    </xf>
    <xf numFmtId="0" fontId="28" fillId="0" borderId="36" xfId="0" applyFont="1" applyBorder="1" applyAlignment="1" applyProtection="1">
      <alignment horizontal="center" vertical="center" wrapText="1"/>
    </xf>
    <xf numFmtId="0" fontId="28" fillId="0" borderId="35" xfId="0" applyFont="1" applyBorder="1" applyAlignment="1" applyProtection="1">
      <alignment horizontal="center" vertical="center" wrapText="1"/>
    </xf>
    <xf numFmtId="0" fontId="28" fillId="0" borderId="27" xfId="0" applyFont="1" applyBorder="1" applyAlignment="1" applyProtection="1">
      <alignment horizontal="center" vertical="center" wrapText="1"/>
    </xf>
    <xf numFmtId="0" fontId="28" fillId="0" borderId="23" xfId="0" applyFont="1" applyBorder="1" applyAlignment="1" applyProtection="1">
      <alignment horizontal="center" vertical="center" wrapText="1"/>
    </xf>
    <xf numFmtId="0" fontId="11" fillId="8" borderId="7" xfId="0" applyFont="1" applyFill="1" applyBorder="1" applyAlignment="1" applyProtection="1">
      <alignment horizontal="center" vertical="center" wrapText="1"/>
    </xf>
    <xf numFmtId="0" fontId="11" fillId="8" borderId="11" xfId="0" applyFont="1" applyFill="1" applyBorder="1" applyAlignment="1" applyProtection="1">
      <alignment horizontal="center" vertical="center" wrapText="1"/>
    </xf>
    <xf numFmtId="0" fontId="11" fillId="8" borderId="6" xfId="0" applyFont="1" applyFill="1" applyBorder="1" applyAlignment="1" applyProtection="1">
      <alignment horizontal="center" vertical="center" wrapText="1"/>
    </xf>
    <xf numFmtId="0" fontId="28" fillId="8" borderId="7" xfId="0" applyFont="1" applyFill="1" applyBorder="1" applyAlignment="1" applyProtection="1">
      <alignment horizontal="center" vertical="center" wrapText="1"/>
    </xf>
    <xf numFmtId="0" fontId="28" fillId="8" borderId="11" xfId="0" applyFont="1" applyFill="1" applyBorder="1" applyAlignment="1" applyProtection="1">
      <alignment horizontal="center" vertical="center" wrapText="1"/>
    </xf>
    <xf numFmtId="0" fontId="28" fillId="8" borderId="6" xfId="0" applyFont="1" applyFill="1" applyBorder="1" applyAlignment="1" applyProtection="1">
      <alignment horizontal="center" vertical="center" wrapText="1"/>
    </xf>
    <xf numFmtId="0" fontId="11" fillId="45" borderId="3" xfId="0" applyFont="1" applyFill="1" applyBorder="1" applyAlignment="1" applyProtection="1">
      <alignment horizontal="center" vertical="center" wrapText="1"/>
    </xf>
    <xf numFmtId="0" fontId="11" fillId="45" borderId="5" xfId="0" applyFont="1" applyFill="1" applyBorder="1" applyAlignment="1" applyProtection="1">
      <alignment horizontal="center" vertical="center" wrapText="1"/>
    </xf>
    <xf numFmtId="0" fontId="11" fillId="38" borderId="3" xfId="0" applyFont="1" applyFill="1" applyBorder="1" applyAlignment="1" applyProtection="1">
      <alignment horizontal="center" vertical="center" wrapText="1"/>
    </xf>
    <xf numFmtId="0" fontId="11" fillId="38" borderId="5" xfId="0" applyFont="1" applyFill="1" applyBorder="1" applyAlignment="1" applyProtection="1">
      <alignment horizontal="center" vertical="center" wrapText="1"/>
    </xf>
    <xf numFmtId="0" fontId="12" fillId="9" borderId="2" xfId="1" applyFont="1" applyFill="1" applyBorder="1" applyAlignment="1" applyProtection="1">
      <alignment horizontal="center" vertical="center" wrapText="1"/>
    </xf>
    <xf numFmtId="0" fontId="11" fillId="20" borderId="3" xfId="0" applyFont="1" applyFill="1" applyBorder="1" applyAlignment="1" applyProtection="1">
      <alignment horizontal="center" vertical="center" wrapText="1"/>
    </xf>
    <xf numFmtId="0" fontId="11" fillId="20" borderId="5" xfId="0" applyFont="1" applyFill="1" applyBorder="1" applyAlignment="1" applyProtection="1">
      <alignment horizontal="center" vertical="center" wrapText="1"/>
    </xf>
    <xf numFmtId="164" fontId="21" fillId="0" borderId="3" xfId="34" applyNumberFormat="1" applyFont="1" applyBorder="1" applyAlignment="1" applyProtection="1">
      <alignment horizontal="center" vertical="center" wrapText="1"/>
    </xf>
    <xf numFmtId="0" fontId="21" fillId="0" borderId="5" xfId="34" applyFont="1" applyBorder="1" applyAlignment="1" applyProtection="1">
      <alignment horizontal="center" vertical="center" wrapText="1"/>
    </xf>
    <xf numFmtId="164" fontId="21" fillId="18" borderId="3" xfId="6" applyNumberFormat="1" applyFont="1" applyFill="1" applyBorder="1" applyAlignment="1" applyProtection="1">
      <alignment horizontal="center" vertical="center" wrapText="1"/>
    </xf>
    <xf numFmtId="164" fontId="21" fillId="18" borderId="5" xfId="6" applyNumberFormat="1" applyFont="1" applyFill="1" applyBorder="1" applyAlignment="1" applyProtection="1">
      <alignment horizontal="center" vertical="center" wrapText="1"/>
    </xf>
    <xf numFmtId="0" fontId="21" fillId="0" borderId="4" xfId="20" applyFont="1" applyBorder="1" applyAlignment="1" applyProtection="1">
      <alignment horizontal="center" vertical="center" wrapText="1"/>
    </xf>
    <xf numFmtId="0" fontId="21" fillId="0" borderId="5" xfId="20" applyFont="1" applyBorder="1" applyAlignment="1" applyProtection="1">
      <alignment horizontal="center" vertical="center" wrapText="1"/>
    </xf>
    <xf numFmtId="164" fontId="21" fillId="18" borderId="3" xfId="34" applyNumberFormat="1" applyFont="1" applyFill="1" applyBorder="1" applyAlignment="1" applyProtection="1">
      <alignment horizontal="center" vertical="center" wrapText="1"/>
    </xf>
    <xf numFmtId="0" fontId="21" fillId="18" borderId="4" xfId="34" applyFont="1" applyFill="1" applyBorder="1" applyAlignment="1" applyProtection="1">
      <alignment horizontal="center" vertical="center" wrapText="1"/>
    </xf>
    <xf numFmtId="0" fontId="21" fillId="18" borderId="5" xfId="34" applyFont="1" applyFill="1" applyBorder="1" applyAlignment="1" applyProtection="1">
      <alignment horizontal="center" vertical="center" wrapText="1"/>
    </xf>
    <xf numFmtId="164" fontId="20" fillId="0" borderId="3" xfId="20" applyNumberFormat="1" applyFont="1" applyBorder="1" applyAlignment="1" applyProtection="1">
      <alignment horizontal="center" vertical="center" wrapText="1"/>
    </xf>
    <xf numFmtId="164" fontId="20" fillId="0" borderId="5" xfId="20" applyNumberFormat="1" applyFont="1" applyBorder="1" applyAlignment="1" applyProtection="1">
      <alignment horizontal="center" vertical="center" wrapText="1"/>
    </xf>
    <xf numFmtId="164" fontId="21" fillId="18" borderId="3" xfId="0" applyNumberFormat="1" applyFont="1" applyFill="1" applyBorder="1" applyAlignment="1" applyProtection="1">
      <alignment horizontal="center" vertical="center" wrapText="1"/>
    </xf>
    <xf numFmtId="0" fontId="21" fillId="18" borderId="4" xfId="0" applyFont="1" applyFill="1" applyBorder="1" applyAlignment="1" applyProtection="1">
      <alignment horizontal="center" vertical="center" wrapText="1"/>
    </xf>
    <xf numFmtId="0" fontId="21" fillId="18" borderId="5" xfId="0" applyFont="1" applyFill="1" applyBorder="1" applyAlignment="1" applyProtection="1">
      <alignment horizontal="center" vertical="center" wrapText="1"/>
    </xf>
    <xf numFmtId="164" fontId="20" fillId="0" borderId="4" xfId="20" applyNumberFormat="1" applyFont="1" applyBorder="1" applyAlignment="1" applyProtection="1">
      <alignment horizontal="center" vertical="center" wrapText="1"/>
    </xf>
    <xf numFmtId="0" fontId="47" fillId="25" borderId="2" xfId="0" applyFont="1" applyFill="1" applyBorder="1" applyAlignment="1" applyProtection="1">
      <alignment horizontal="center" vertical="center"/>
      <protection hidden="1"/>
    </xf>
    <xf numFmtId="0" fontId="47" fillId="25" borderId="2" xfId="0" applyFont="1" applyFill="1" applyBorder="1" applyAlignment="1" applyProtection="1">
      <alignment horizontal="center" vertical="center" wrapText="1"/>
      <protection hidden="1"/>
    </xf>
    <xf numFmtId="0" fontId="39" fillId="0" borderId="2" xfId="0" applyFont="1" applyBorder="1" applyAlignment="1">
      <alignment horizontal="center" vertical="center"/>
    </xf>
    <xf numFmtId="0" fontId="35" fillId="0" borderId="5" xfId="0" applyFont="1" applyBorder="1" applyAlignment="1">
      <alignment horizontal="center" vertical="center"/>
    </xf>
    <xf numFmtId="0" fontId="25" fillId="25" borderId="2" xfId="0" applyFont="1" applyFill="1" applyBorder="1" applyAlignment="1">
      <alignment horizontal="center" vertical="center" wrapText="1"/>
    </xf>
    <xf numFmtId="0" fontId="39" fillId="18" borderId="55" xfId="0" applyFont="1" applyFill="1" applyBorder="1" applyAlignment="1" applyProtection="1">
      <alignment horizontal="justify" vertical="top" wrapText="1" readingOrder="1"/>
    </xf>
    <xf numFmtId="0" fontId="39" fillId="18" borderId="75" xfId="0" applyFont="1" applyFill="1" applyBorder="1" applyAlignment="1" applyProtection="1">
      <alignment horizontal="justify" vertical="top" wrapText="1" readingOrder="1"/>
    </xf>
    <xf numFmtId="0" fontId="15" fillId="0" borderId="33" xfId="1" applyFont="1" applyBorder="1" applyAlignment="1" applyProtection="1">
      <alignment horizontal="center" vertical="center"/>
    </xf>
    <xf numFmtId="0" fontId="39" fillId="0" borderId="55" xfId="0" applyFont="1" applyBorder="1" applyAlignment="1" applyProtection="1">
      <alignment horizontal="justify" vertical="top" wrapText="1" readingOrder="1"/>
    </xf>
    <xf numFmtId="0" fontId="39" fillId="0" borderId="75" xfId="0" applyFont="1" applyBorder="1" applyAlignment="1" applyProtection="1">
      <alignment horizontal="justify" vertical="top" wrapText="1" readingOrder="1"/>
    </xf>
    <xf numFmtId="0" fontId="42" fillId="18" borderId="3" xfId="0" applyFont="1" applyFill="1" applyBorder="1" applyAlignment="1" applyProtection="1">
      <alignment horizontal="justify" vertical="top" wrapText="1" readingOrder="1"/>
    </xf>
    <xf numFmtId="0" fontId="42" fillId="18" borderId="4" xfId="0" applyFont="1" applyFill="1" applyBorder="1" applyAlignment="1" applyProtection="1">
      <alignment horizontal="justify" vertical="top" wrapText="1" readingOrder="1"/>
    </xf>
    <xf numFmtId="0" fontId="42" fillId="18" borderId="5" xfId="0" applyFont="1" applyFill="1" applyBorder="1" applyAlignment="1" applyProtection="1">
      <alignment horizontal="justify" vertical="top" wrapText="1" readingOrder="1"/>
    </xf>
    <xf numFmtId="0" fontId="20" fillId="0" borderId="3" xfId="0" applyFont="1" applyBorder="1" applyAlignment="1">
      <alignment horizontal="justify" vertical="center" wrapText="1"/>
    </xf>
    <xf numFmtId="0" fontId="14" fillId="12" borderId="7" xfId="1" applyFont="1" applyFill="1" applyBorder="1" applyAlignment="1" applyProtection="1">
      <alignment horizontal="right" vertical="center"/>
    </xf>
    <xf numFmtId="0" fontId="14" fillId="12" borderId="11" xfId="1" applyFont="1" applyFill="1" applyBorder="1" applyAlignment="1" applyProtection="1">
      <alignment horizontal="right" vertical="center"/>
    </xf>
    <xf numFmtId="0" fontId="25" fillId="3" borderId="16" xfId="0" applyFont="1" applyFill="1" applyBorder="1" applyAlignment="1" applyProtection="1">
      <alignment horizontal="left"/>
    </xf>
    <xf numFmtId="0" fontId="24" fillId="3" borderId="17" xfId="0" applyFont="1" applyFill="1" applyBorder="1" applyAlignment="1" applyProtection="1">
      <alignment horizontal="left"/>
    </xf>
    <xf numFmtId="0" fontId="25" fillId="3" borderId="20" xfId="0" applyFont="1" applyFill="1" applyBorder="1" applyAlignment="1" applyProtection="1">
      <alignment horizontal="left"/>
    </xf>
    <xf numFmtId="0" fontId="24" fillId="3" borderId="21" xfId="0" applyFont="1" applyFill="1" applyBorder="1" applyAlignment="1" applyProtection="1">
      <alignment horizontal="left"/>
    </xf>
    <xf numFmtId="165" fontId="24" fillId="3" borderId="22" xfId="0" quotePrefix="1" applyNumberFormat="1" applyFont="1" applyFill="1" applyBorder="1" applyAlignment="1">
      <alignment horizontal="left"/>
    </xf>
    <xf numFmtId="165" fontId="24" fillId="3" borderId="23" xfId="0" applyNumberFormat="1" applyFont="1" applyFill="1" applyBorder="1" applyAlignment="1">
      <alignment horizontal="left"/>
    </xf>
    <xf numFmtId="0" fontId="32" fillId="0" borderId="1" xfId="0" applyFont="1" applyBorder="1" applyAlignment="1" applyProtection="1">
      <alignment horizontal="left" vertical="center"/>
    </xf>
    <xf numFmtId="0" fontId="28" fillId="0" borderId="24" xfId="0" applyFont="1" applyBorder="1" applyAlignment="1" applyProtection="1">
      <alignment horizontal="center" vertical="center" wrapText="1"/>
    </xf>
    <xf numFmtId="0" fontId="28" fillId="0" borderId="26" xfId="0" applyFont="1" applyBorder="1" applyAlignment="1" applyProtection="1">
      <alignment horizontal="center" vertical="center" wrapText="1"/>
    </xf>
    <xf numFmtId="0" fontId="28" fillId="0" borderId="8" xfId="0" applyFont="1" applyBorder="1" applyAlignment="1" applyProtection="1">
      <alignment horizontal="center" vertical="center" wrapText="1"/>
    </xf>
    <xf numFmtId="0" fontId="28" fillId="0" borderId="12" xfId="0" applyFont="1" applyBorder="1" applyAlignment="1" applyProtection="1">
      <alignment horizontal="center" vertical="center" wrapText="1"/>
    </xf>
    <xf numFmtId="0" fontId="28" fillId="0" borderId="22" xfId="0" applyFont="1" applyBorder="1" applyAlignment="1" applyProtection="1">
      <alignment horizontal="center" vertical="center" wrapText="1"/>
    </xf>
    <xf numFmtId="0" fontId="28" fillId="0" borderId="28" xfId="0" applyFont="1" applyBorder="1" applyAlignment="1" applyProtection="1">
      <alignment horizontal="center" vertical="center" wrapText="1"/>
    </xf>
    <xf numFmtId="0" fontId="28" fillId="0" borderId="13"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15" xfId="0" applyFont="1" applyBorder="1" applyAlignment="1">
      <alignment horizontal="center" vertical="center" wrapText="1"/>
    </xf>
    <xf numFmtId="0" fontId="26" fillId="10" borderId="2" xfId="1" applyFont="1" applyFill="1" applyBorder="1" applyAlignment="1" applyProtection="1">
      <alignment horizontal="center" vertical="center" wrapText="1"/>
    </xf>
    <xf numFmtId="0" fontId="12" fillId="0" borderId="2" xfId="1" applyFont="1" applyFill="1" applyBorder="1" applyAlignment="1" applyProtection="1">
      <alignment horizontal="center" vertical="center" wrapText="1"/>
    </xf>
    <xf numFmtId="0" fontId="33" fillId="10" borderId="3" xfId="1" applyFont="1" applyFill="1" applyBorder="1" applyAlignment="1" applyProtection="1">
      <alignment horizontal="center" vertical="center" wrapText="1"/>
    </xf>
    <xf numFmtId="0" fontId="33" fillId="10" borderId="4" xfId="1" applyFont="1" applyFill="1" applyBorder="1" applyAlignment="1" applyProtection="1">
      <alignment horizontal="center" vertical="center" wrapText="1"/>
    </xf>
    <xf numFmtId="0" fontId="33" fillId="10" borderId="5" xfId="1" applyFont="1" applyFill="1" applyBorder="1" applyAlignment="1" applyProtection="1">
      <alignment horizontal="center" vertical="center" wrapText="1"/>
    </xf>
    <xf numFmtId="0" fontId="11" fillId="14" borderId="7" xfId="1" applyFont="1" applyFill="1" applyBorder="1" applyAlignment="1">
      <alignment horizontal="center" vertical="center" wrapText="1"/>
    </xf>
    <xf numFmtId="0" fontId="11" fillId="14" borderId="11" xfId="1" applyFont="1" applyFill="1" applyBorder="1" applyAlignment="1">
      <alignment horizontal="center" vertical="center" wrapText="1"/>
    </xf>
    <xf numFmtId="0" fontId="11" fillId="14" borderId="6" xfId="1" applyFont="1" applyFill="1" applyBorder="1" applyAlignment="1">
      <alignment horizontal="center" vertical="center" wrapText="1"/>
    </xf>
    <xf numFmtId="0" fontId="33" fillId="14" borderId="3" xfId="1" applyFont="1" applyFill="1" applyBorder="1" applyAlignment="1" applyProtection="1">
      <alignment horizontal="center" vertical="center" wrapText="1"/>
    </xf>
    <xf numFmtId="0" fontId="33" fillId="14" borderId="4" xfId="1" applyFont="1" applyFill="1" applyBorder="1" applyAlignment="1" applyProtection="1">
      <alignment horizontal="center" vertical="center" wrapText="1"/>
    </xf>
    <xf numFmtId="0" fontId="33" fillId="14" borderId="5" xfId="1" applyFont="1" applyFill="1" applyBorder="1" applyAlignment="1" applyProtection="1">
      <alignment horizontal="center" vertical="center" wrapText="1"/>
    </xf>
    <xf numFmtId="0" fontId="20" fillId="0" borderId="12" xfId="1" applyFont="1" applyBorder="1" applyAlignment="1" applyProtection="1">
      <alignment horizontal="left" vertical="center"/>
    </xf>
    <xf numFmtId="0" fontId="20" fillId="0" borderId="1" xfId="1" applyFont="1" applyBorder="1" applyAlignment="1" applyProtection="1">
      <alignment horizontal="left" vertical="center"/>
    </xf>
    <xf numFmtId="0" fontId="20" fillId="0" borderId="8" xfId="1" applyFont="1" applyBorder="1" applyAlignment="1" applyProtection="1">
      <alignment horizontal="left" vertical="center"/>
    </xf>
    <xf numFmtId="0" fontId="13" fillId="10" borderId="2" xfId="1" applyFont="1" applyFill="1" applyBorder="1" applyAlignment="1" applyProtection="1">
      <alignment horizontal="center" vertical="center" wrapText="1"/>
    </xf>
    <xf numFmtId="0" fontId="12" fillId="7" borderId="2" xfId="1" applyFont="1" applyFill="1" applyBorder="1" applyAlignment="1" applyProtection="1">
      <alignment horizontal="center" vertical="center" wrapText="1"/>
    </xf>
    <xf numFmtId="0" fontId="29" fillId="13" borderId="7" xfId="1" applyFont="1" applyFill="1" applyBorder="1" applyAlignment="1">
      <alignment horizontal="center" vertical="center" wrapText="1"/>
    </xf>
    <xf numFmtId="0" fontId="29" fillId="13" borderId="11" xfId="1" applyFont="1" applyFill="1" applyBorder="1" applyAlignment="1">
      <alignment horizontal="center" vertical="center" wrapText="1"/>
    </xf>
    <xf numFmtId="0" fontId="29" fillId="13" borderId="6" xfId="1" applyFont="1" applyFill="1" applyBorder="1" applyAlignment="1">
      <alignment horizontal="center" vertical="center" wrapText="1"/>
    </xf>
    <xf numFmtId="0" fontId="34" fillId="13" borderId="3" xfId="1" applyFont="1" applyFill="1" applyBorder="1" applyAlignment="1" applyProtection="1">
      <alignment horizontal="center" vertical="center" wrapText="1"/>
    </xf>
    <xf numFmtId="0" fontId="34" fillId="13" borderId="4" xfId="1" applyFont="1" applyFill="1" applyBorder="1" applyAlignment="1" applyProtection="1">
      <alignment horizontal="center" vertical="center" wrapText="1"/>
    </xf>
    <xf numFmtId="0" fontId="34" fillId="13" borderId="5" xfId="1" applyFont="1" applyFill="1" applyBorder="1" applyAlignment="1" applyProtection="1">
      <alignment horizontal="center" vertical="center" wrapText="1"/>
    </xf>
    <xf numFmtId="0" fontId="38" fillId="0" borderId="29" xfId="0" applyFont="1" applyBorder="1" applyAlignment="1" applyProtection="1">
      <alignment horizontal="center" vertical="center" wrapText="1"/>
    </xf>
    <xf numFmtId="0" fontId="38" fillId="0" borderId="25" xfId="0" applyFont="1" applyBorder="1" applyAlignment="1" applyProtection="1">
      <alignment horizontal="center" vertical="center"/>
    </xf>
    <xf numFmtId="0" fontId="38" fillId="0" borderId="30" xfId="0" applyFont="1" applyBorder="1" applyAlignment="1" applyProtection="1">
      <alignment horizontal="center" vertical="center"/>
    </xf>
    <xf numFmtId="0" fontId="38" fillId="0" borderId="34" xfId="0" applyFont="1" applyBorder="1" applyAlignment="1" applyProtection="1">
      <alignment horizontal="center" vertical="center"/>
    </xf>
    <xf numFmtId="0" fontId="38" fillId="0" borderId="1" xfId="0" applyFont="1" applyBorder="1" applyAlignment="1" applyProtection="1">
      <alignment horizontal="center" vertical="center"/>
    </xf>
    <xf numFmtId="0" fontId="38" fillId="0" borderId="36" xfId="0" applyFont="1" applyBorder="1" applyAlignment="1" applyProtection="1">
      <alignment horizontal="center" vertical="center"/>
    </xf>
    <xf numFmtId="0" fontId="38" fillId="0" borderId="35" xfId="0" applyFont="1" applyBorder="1" applyAlignment="1" applyProtection="1">
      <alignment horizontal="center" vertical="center"/>
    </xf>
    <xf numFmtId="0" fontId="38" fillId="0" borderId="27" xfId="0" applyFont="1" applyBorder="1" applyAlignment="1" applyProtection="1">
      <alignment horizontal="center" vertical="center"/>
    </xf>
    <xf numFmtId="0" fontId="38" fillId="0" borderId="23" xfId="0" applyFont="1" applyBorder="1" applyAlignment="1" applyProtection="1">
      <alignment horizontal="center" vertical="center"/>
    </xf>
    <xf numFmtId="0" fontId="36" fillId="0" borderId="2" xfId="0" applyFont="1" applyBorder="1" applyAlignment="1" applyProtection="1">
      <alignment horizontal="left" vertical="center"/>
    </xf>
    <xf numFmtId="0" fontId="20" fillId="0" borderId="7" xfId="0" applyFont="1" applyBorder="1" applyAlignment="1" applyProtection="1">
      <alignment horizontal="justify" vertical="center"/>
    </xf>
    <xf numFmtId="0" fontId="20" fillId="0" borderId="6" xfId="0" applyFont="1" applyBorder="1" applyAlignment="1" applyProtection="1">
      <alignment horizontal="justify" vertical="center"/>
    </xf>
    <xf numFmtId="0" fontId="36" fillId="0" borderId="7" xfId="0" applyFont="1" applyBorder="1" applyAlignment="1" applyProtection="1">
      <alignment horizontal="left" vertical="center"/>
    </xf>
    <xf numFmtId="0" fontId="36" fillId="0" borderId="6" xfId="0" applyFont="1" applyBorder="1" applyAlignment="1" applyProtection="1">
      <alignment horizontal="left" vertical="center"/>
    </xf>
    <xf numFmtId="0" fontId="14" fillId="6" borderId="8" xfId="1" applyFont="1" applyFill="1" applyBorder="1" applyAlignment="1" applyProtection="1">
      <alignment horizontal="right" vertical="center"/>
    </xf>
    <xf numFmtId="0" fontId="14" fillId="6" borderId="1" xfId="1" applyFont="1" applyFill="1" applyBorder="1" applyAlignment="1" applyProtection="1">
      <alignment horizontal="right" vertical="center"/>
    </xf>
    <xf numFmtId="0" fontId="20" fillId="0" borderId="3" xfId="0" applyFont="1" applyBorder="1" applyAlignment="1" applyProtection="1">
      <alignment horizontal="center" vertical="center" wrapText="1"/>
    </xf>
    <xf numFmtId="0" fontId="20" fillId="0" borderId="4" xfId="0" applyFont="1" applyBorder="1" applyAlignment="1" applyProtection="1">
      <alignment horizontal="center" vertical="center" wrapText="1"/>
    </xf>
    <xf numFmtId="0" fontId="11" fillId="10" borderId="7" xfId="1" applyFont="1" applyFill="1" applyBorder="1" applyAlignment="1">
      <alignment horizontal="center" vertical="center" wrapText="1"/>
    </xf>
    <xf numFmtId="0" fontId="11" fillId="10" borderId="11" xfId="1" applyFont="1" applyFill="1" applyBorder="1" applyAlignment="1">
      <alignment horizontal="center" vertical="center" wrapText="1"/>
    </xf>
    <xf numFmtId="0" fontId="11" fillId="10" borderId="6" xfId="1" applyFont="1" applyFill="1" applyBorder="1" applyAlignment="1">
      <alignment horizontal="center" vertical="center" wrapText="1"/>
    </xf>
    <xf numFmtId="0" fontId="9" fillId="0" borderId="1" xfId="1" applyFont="1" applyBorder="1" applyAlignment="1" applyProtection="1">
      <alignment horizontal="left" vertical="center"/>
    </xf>
    <xf numFmtId="0" fontId="20" fillId="0" borderId="1" xfId="1" applyFont="1" applyFill="1" applyBorder="1" applyAlignment="1" applyProtection="1">
      <alignment horizontal="left" vertical="center"/>
    </xf>
    <xf numFmtId="0" fontId="11" fillId="0" borderId="1" xfId="1" applyFont="1" applyFill="1" applyBorder="1" applyAlignment="1" applyProtection="1">
      <alignment horizontal="left" vertical="center"/>
    </xf>
    <xf numFmtId="0" fontId="9" fillId="0" borderId="1" xfId="1" applyFont="1" applyAlignment="1" applyProtection="1">
      <alignment vertical="center"/>
    </xf>
    <xf numFmtId="0" fontId="11" fillId="7" borderId="2" xfId="1" applyFont="1" applyFill="1" applyBorder="1" applyAlignment="1" applyProtection="1">
      <alignment horizontal="center" vertical="center" wrapText="1"/>
    </xf>
    <xf numFmtId="0" fontId="20" fillId="0" borderId="2" xfId="1" applyFont="1" applyBorder="1" applyAlignment="1" applyProtection="1">
      <alignment horizontal="left" vertical="center" wrapText="1"/>
    </xf>
    <xf numFmtId="10" fontId="22" fillId="4" borderId="44" xfId="3" applyNumberFormat="1" applyFont="1" applyFill="1" applyBorder="1" applyAlignment="1" applyProtection="1">
      <alignment horizontal="center" vertical="center"/>
    </xf>
    <xf numFmtId="10" fontId="22" fillId="4" borderId="45" xfId="3" applyNumberFormat="1" applyFont="1" applyFill="1" applyBorder="1" applyAlignment="1" applyProtection="1">
      <alignment horizontal="center" vertical="center"/>
    </xf>
    <xf numFmtId="10" fontId="22" fillId="4" borderId="9" xfId="3" applyNumberFormat="1" applyFont="1" applyFill="1" applyBorder="1" applyAlignment="1" applyProtection="1">
      <alignment horizontal="center" vertical="center"/>
    </xf>
    <xf numFmtId="0" fontId="20" fillId="0" borderId="55" xfId="0" applyFont="1" applyBorder="1" applyAlignment="1" applyProtection="1">
      <alignment horizontal="justify" vertical="center" wrapText="1"/>
    </xf>
    <xf numFmtId="0" fontId="20" fillId="0" borderId="75" xfId="0" applyFont="1" applyBorder="1" applyAlignment="1" applyProtection="1">
      <alignment horizontal="justify" vertical="center" wrapText="1"/>
    </xf>
    <xf numFmtId="0" fontId="9" fillId="0" borderId="1" xfId="1" applyFont="1" applyAlignment="1" applyProtection="1">
      <alignment horizontal="left" vertical="center"/>
    </xf>
    <xf numFmtId="0" fontId="20" fillId="0" borderId="1" xfId="1" applyFont="1" applyAlignment="1" applyProtection="1">
      <alignment horizontal="left" vertical="center"/>
    </xf>
    <xf numFmtId="0" fontId="11" fillId="0" borderId="1" xfId="1" applyFont="1" applyAlignment="1" applyProtection="1">
      <alignment horizontal="left" vertical="center"/>
    </xf>
    <xf numFmtId="0" fontId="11" fillId="0" borderId="20" xfId="1" applyFont="1" applyBorder="1" applyAlignment="1" applyProtection="1">
      <alignment horizontal="left" vertical="center" wrapText="1"/>
    </xf>
    <xf numFmtId="0" fontId="11" fillId="0" borderId="33" xfId="1" applyFont="1" applyBorder="1" applyAlignment="1" applyProtection="1">
      <alignment horizontal="left" vertical="center" wrapText="1"/>
    </xf>
    <xf numFmtId="0" fontId="11" fillId="0" borderId="31" xfId="1" applyFont="1" applyBorder="1" applyAlignment="1" applyProtection="1">
      <alignment horizontal="left" vertical="center" wrapText="1"/>
    </xf>
    <xf numFmtId="0" fontId="11" fillId="0" borderId="46" xfId="1" applyFont="1" applyBorder="1" applyAlignment="1" applyProtection="1">
      <alignment horizontal="left" vertical="center" wrapText="1"/>
    </xf>
    <xf numFmtId="0" fontId="11" fillId="0" borderId="47" xfId="1" applyFont="1" applyBorder="1" applyAlignment="1" applyProtection="1">
      <alignment horizontal="left" vertical="center" wrapText="1"/>
    </xf>
    <xf numFmtId="0" fontId="11" fillId="0" borderId="10" xfId="1" applyFont="1" applyBorder="1" applyAlignment="1" applyProtection="1">
      <alignment horizontal="left" vertical="center" wrapText="1"/>
    </xf>
    <xf numFmtId="0" fontId="12" fillId="0" borderId="2" xfId="1" applyFont="1" applyBorder="1" applyAlignment="1" applyProtection="1">
      <alignment horizontal="center" vertical="center" wrapText="1"/>
    </xf>
    <xf numFmtId="0" fontId="14" fillId="6" borderId="1" xfId="1" applyFont="1" applyFill="1" applyAlignment="1" applyProtection="1">
      <alignment horizontal="right" vertical="center"/>
    </xf>
    <xf numFmtId="0" fontId="20" fillId="0" borderId="5" xfId="0" applyFont="1" applyBorder="1" applyAlignment="1" applyProtection="1">
      <alignment horizontal="center" vertical="center" wrapText="1"/>
    </xf>
    <xf numFmtId="0" fontId="14" fillId="12" borderId="6" xfId="1" applyFont="1" applyFill="1" applyBorder="1" applyAlignment="1" applyProtection="1">
      <alignment horizontal="right" vertical="center"/>
    </xf>
    <xf numFmtId="0" fontId="39" fillId="0" borderId="7" xfId="0" applyFont="1" applyBorder="1" applyAlignment="1" applyProtection="1">
      <alignment horizontal="justify" vertical="center"/>
    </xf>
    <xf numFmtId="0" fontId="39" fillId="0" borderId="6" xfId="0" applyFont="1" applyBorder="1" applyAlignment="1" applyProtection="1">
      <alignment horizontal="justify" vertical="center"/>
    </xf>
    <xf numFmtId="9" fontId="22" fillId="4" borderId="7" xfId="3" applyFont="1" applyFill="1" applyBorder="1" applyAlignment="1" applyProtection="1">
      <alignment horizontal="center" vertical="center"/>
    </xf>
    <xf numFmtId="9" fontId="22" fillId="4" borderId="11" xfId="3" applyFont="1" applyFill="1" applyBorder="1" applyAlignment="1" applyProtection="1">
      <alignment horizontal="center" vertical="center"/>
    </xf>
    <xf numFmtId="9" fontId="22" fillId="4" borderId="6" xfId="3" applyFont="1" applyFill="1" applyBorder="1" applyAlignment="1" applyProtection="1">
      <alignment horizontal="center" vertical="center"/>
    </xf>
    <xf numFmtId="0" fontId="39" fillId="0" borderId="2" xfId="0" applyFont="1" applyBorder="1" applyAlignment="1" applyProtection="1">
      <alignment horizontal="left" vertical="center"/>
    </xf>
    <xf numFmtId="0" fontId="44" fillId="0" borderId="2" xfId="0" applyFont="1" applyBorder="1" applyAlignment="1" applyProtection="1">
      <alignment horizontal="left" vertical="center"/>
    </xf>
    <xf numFmtId="9" fontId="22" fillId="4" borderId="44" xfId="3" applyFont="1" applyFill="1" applyBorder="1" applyAlignment="1" applyProtection="1">
      <alignment horizontal="center" vertical="center"/>
    </xf>
    <xf numFmtId="9" fontId="22" fillId="4" borderId="45" xfId="3" applyFont="1" applyFill="1" applyBorder="1" applyAlignment="1" applyProtection="1">
      <alignment horizontal="center" vertical="center"/>
    </xf>
    <xf numFmtId="9" fontId="22" fillId="4" borderId="9" xfId="3" applyFont="1" applyFill="1" applyBorder="1" applyAlignment="1" applyProtection="1">
      <alignment horizontal="center" vertical="center"/>
    </xf>
    <xf numFmtId="0" fontId="9" fillId="0" borderId="1" xfId="1" applyFont="1" applyAlignment="1">
      <alignment horizontal="left" vertical="center"/>
    </xf>
    <xf numFmtId="0" fontId="15" fillId="0" borderId="33" xfId="1" applyFont="1" applyBorder="1" applyAlignment="1">
      <alignment horizontal="center" vertical="center"/>
    </xf>
    <xf numFmtId="0" fontId="14" fillId="12" borderId="7" xfId="1" applyFont="1" applyFill="1" applyBorder="1" applyAlignment="1">
      <alignment horizontal="right" vertical="center"/>
    </xf>
    <xf numFmtId="0" fontId="14" fillId="12" borderId="11" xfId="1" applyFont="1" applyFill="1" applyBorder="1" applyAlignment="1">
      <alignment horizontal="right" vertical="center"/>
    </xf>
    <xf numFmtId="0" fontId="14" fillId="12" borderId="6" xfId="1" applyFont="1" applyFill="1" applyBorder="1" applyAlignment="1">
      <alignment horizontal="right" vertical="center"/>
    </xf>
    <xf numFmtId="0" fontId="14" fillId="6" borderId="8" xfId="1" applyFont="1" applyFill="1" applyBorder="1" applyAlignment="1">
      <alignment horizontal="right" vertical="center"/>
    </xf>
    <xf numFmtId="0" fontId="14" fillId="6" borderId="1" xfId="1" applyFont="1" applyFill="1" applyAlignment="1">
      <alignment horizontal="right" vertical="center"/>
    </xf>
    <xf numFmtId="0" fontId="9" fillId="0" borderId="1" xfId="1" applyFont="1" applyAlignment="1">
      <alignment vertical="center"/>
    </xf>
    <xf numFmtId="0" fontId="11" fillId="7" borderId="2" xfId="1" applyFont="1" applyFill="1" applyBorder="1" applyAlignment="1">
      <alignment horizontal="center" vertical="center" wrapText="1"/>
    </xf>
    <xf numFmtId="0" fontId="20" fillId="0" borderId="1" xfId="1" applyFont="1" applyAlignment="1" applyProtection="1">
      <alignment horizontal="left" vertical="center"/>
      <protection locked="0"/>
    </xf>
    <xf numFmtId="0" fontId="11" fillId="0" borderId="1" xfId="1" applyFont="1" applyAlignment="1" applyProtection="1">
      <alignment horizontal="left" vertical="center"/>
      <protection locked="0"/>
    </xf>
    <xf numFmtId="0" fontId="20" fillId="0" borderId="54" xfId="1" applyFont="1" applyBorder="1" applyAlignment="1" applyProtection="1">
      <alignment horizontal="left" vertical="center" wrapText="1"/>
      <protection locked="0"/>
    </xf>
    <xf numFmtId="0" fontId="20" fillId="0" borderId="67" xfId="1" applyFont="1" applyBorder="1" applyAlignment="1" applyProtection="1">
      <alignment horizontal="left" vertical="center" wrapText="1"/>
      <protection locked="0"/>
    </xf>
    <xf numFmtId="0" fontId="20" fillId="0" borderId="65" xfId="1" applyFont="1" applyBorder="1" applyAlignment="1" applyProtection="1">
      <alignment horizontal="left" vertical="center" wrapText="1"/>
      <protection locked="0"/>
    </xf>
    <xf numFmtId="0" fontId="20" fillId="0" borderId="76" xfId="1" applyFont="1" applyBorder="1" applyAlignment="1" applyProtection="1">
      <alignment horizontal="left" vertical="center" wrapText="1"/>
      <protection locked="0"/>
    </xf>
    <xf numFmtId="0" fontId="20" fillId="0" borderId="82" xfId="1" applyFont="1" applyBorder="1" applyAlignment="1" applyProtection="1">
      <alignment horizontal="left" vertical="center" wrapText="1"/>
      <protection locked="0"/>
    </xf>
    <xf numFmtId="0" fontId="20" fillId="0" borderId="83" xfId="1" applyFont="1" applyBorder="1" applyAlignment="1" applyProtection="1">
      <alignment horizontal="left" vertical="center" wrapText="1"/>
      <protection locked="0"/>
    </xf>
    <xf numFmtId="0" fontId="12" fillId="0" borderId="2" xfId="1" applyFont="1" applyBorder="1" applyAlignment="1">
      <alignment horizontal="center" vertical="center" wrapText="1"/>
    </xf>
    <xf numFmtId="0" fontId="33" fillId="10" borderId="3" xfId="1" applyFont="1" applyFill="1" applyBorder="1" applyAlignment="1">
      <alignment horizontal="center" vertical="center" wrapText="1"/>
    </xf>
    <xf numFmtId="0" fontId="33" fillId="10" borderId="4" xfId="1" applyFont="1" applyFill="1" applyBorder="1" applyAlignment="1">
      <alignment horizontal="center" vertical="center" wrapText="1"/>
    </xf>
    <xf numFmtId="0" fontId="33" fillId="10" borderId="5" xfId="1" applyFont="1" applyFill="1" applyBorder="1" applyAlignment="1">
      <alignment horizontal="center" vertical="center" wrapText="1"/>
    </xf>
    <xf numFmtId="0" fontId="34" fillId="13" borderId="3" xfId="1" applyFont="1" applyFill="1" applyBorder="1" applyAlignment="1">
      <alignment horizontal="center" vertical="center" wrapText="1"/>
    </xf>
    <xf numFmtId="0" fontId="34" fillId="13" borderId="4" xfId="1" applyFont="1" applyFill="1" applyBorder="1" applyAlignment="1">
      <alignment horizontal="center" vertical="center" wrapText="1"/>
    </xf>
    <xf numFmtId="0" fontId="34" fillId="13" borderId="5" xfId="1" applyFont="1" applyFill="1" applyBorder="1" applyAlignment="1">
      <alignment horizontal="center" vertical="center" wrapText="1"/>
    </xf>
    <xf numFmtId="0" fontId="33" fillId="14" borderId="3" xfId="1" applyFont="1" applyFill="1" applyBorder="1" applyAlignment="1">
      <alignment horizontal="center" vertical="center" wrapText="1"/>
    </xf>
    <xf numFmtId="0" fontId="33" fillId="14" borderId="4" xfId="1" applyFont="1" applyFill="1" applyBorder="1" applyAlignment="1">
      <alignment horizontal="center" vertical="center" wrapText="1"/>
    </xf>
    <xf numFmtId="0" fontId="33" fillId="14" borderId="5" xfId="1" applyFont="1" applyFill="1" applyBorder="1" applyAlignment="1">
      <alignment horizontal="center" vertical="center" wrapText="1"/>
    </xf>
    <xf numFmtId="0" fontId="20" fillId="0" borderId="12" xfId="1" applyFont="1" applyBorder="1" applyAlignment="1">
      <alignment horizontal="left" vertical="center"/>
    </xf>
    <xf numFmtId="0" fontId="20" fillId="0" borderId="1" xfId="1" applyFont="1" applyAlignment="1">
      <alignment horizontal="left" vertical="center"/>
    </xf>
    <xf numFmtId="0" fontId="20" fillId="0" borderId="8" xfId="1" applyFont="1" applyBorder="1" applyAlignment="1">
      <alignment horizontal="left" vertical="center"/>
    </xf>
    <xf numFmtId="0" fontId="36" fillId="0" borderId="2" xfId="0" applyFont="1" applyBorder="1" applyAlignment="1" applyProtection="1">
      <alignment horizontal="left" vertical="center"/>
      <protection locked="0"/>
    </xf>
    <xf numFmtId="0" fontId="20" fillId="0" borderId="7" xfId="0" applyFont="1" applyBorder="1" applyAlignment="1" applyProtection="1">
      <alignment horizontal="justify" vertical="center"/>
      <protection locked="0"/>
    </xf>
    <xf numFmtId="0" fontId="20" fillId="0" borderId="6" xfId="0" applyFont="1" applyBorder="1" applyAlignment="1" applyProtection="1">
      <alignment horizontal="justify" vertical="center"/>
      <protection locked="0"/>
    </xf>
    <xf numFmtId="0" fontId="12" fillId="7" borderId="2" xfId="1" applyFont="1" applyFill="1" applyBorder="1" applyAlignment="1">
      <alignment horizontal="center" vertical="center" wrapText="1"/>
    </xf>
    <xf numFmtId="0" fontId="38" fillId="0" borderId="29" xfId="0" applyFont="1" applyBorder="1" applyAlignment="1">
      <alignment horizontal="center" vertical="center" wrapText="1"/>
    </xf>
    <xf numFmtId="0" fontId="38" fillId="0" borderId="25" xfId="0" applyFont="1" applyBorder="1" applyAlignment="1">
      <alignment horizontal="center" vertical="center"/>
    </xf>
    <xf numFmtId="0" fontId="38" fillId="0" borderId="30" xfId="0" applyFont="1" applyBorder="1" applyAlignment="1">
      <alignment horizontal="center" vertical="center"/>
    </xf>
    <xf numFmtId="0" fontId="38" fillId="0" borderId="34" xfId="0" applyFont="1" applyBorder="1" applyAlignment="1">
      <alignment horizontal="center" vertical="center"/>
    </xf>
    <xf numFmtId="0" fontId="38" fillId="0" borderId="1" xfId="0" applyFont="1" applyBorder="1" applyAlignment="1">
      <alignment horizontal="center" vertical="center"/>
    </xf>
    <xf numFmtId="0" fontId="38" fillId="0" borderId="36" xfId="0" applyFont="1" applyBorder="1" applyAlignment="1">
      <alignment horizontal="center" vertical="center"/>
    </xf>
    <xf numFmtId="0" fontId="38" fillId="0" borderId="35" xfId="0" applyFont="1" applyBorder="1" applyAlignment="1">
      <alignment horizontal="center" vertical="center"/>
    </xf>
    <xf numFmtId="0" fontId="38" fillId="0" borderId="27" xfId="0" applyFont="1" applyBorder="1" applyAlignment="1">
      <alignment horizontal="center" vertical="center"/>
    </xf>
    <xf numFmtId="0" fontId="38" fillId="0" borderId="23" xfId="0" applyFont="1" applyBorder="1" applyAlignment="1">
      <alignment horizontal="center" vertical="center"/>
    </xf>
    <xf numFmtId="0" fontId="13" fillId="10" borderId="2" xfId="1" applyFont="1" applyFill="1" applyBorder="1" applyAlignment="1">
      <alignment horizontal="center" vertical="center" wrapText="1"/>
    </xf>
    <xf numFmtId="0" fontId="36" fillId="0" borderId="7" xfId="0" applyFont="1" applyBorder="1" applyAlignment="1" applyProtection="1">
      <alignment horizontal="left" vertical="center"/>
      <protection locked="0"/>
    </xf>
    <xf numFmtId="0" fontId="36" fillId="0" borderId="6" xfId="0" applyFont="1" applyBorder="1" applyAlignment="1" applyProtection="1">
      <alignment horizontal="left" vertical="center"/>
      <protection locked="0"/>
    </xf>
    <xf numFmtId="0" fontId="20" fillId="0" borderId="20" xfId="1" applyFont="1" applyBorder="1" applyAlignment="1" applyProtection="1">
      <alignment horizontal="left" vertical="center" wrapText="1"/>
    </xf>
    <xf numFmtId="0" fontId="20" fillId="0" borderId="33" xfId="1" applyFont="1" applyBorder="1" applyAlignment="1" applyProtection="1">
      <alignment horizontal="left" vertical="center" wrapText="1"/>
    </xf>
    <xf numFmtId="0" fontId="20" fillId="0" borderId="31" xfId="1" applyFont="1" applyBorder="1" applyAlignment="1" applyProtection="1">
      <alignment horizontal="left" vertical="center" wrapText="1"/>
    </xf>
    <xf numFmtId="0" fontId="20" fillId="0" borderId="46" xfId="1" applyFont="1" applyBorder="1" applyAlignment="1" applyProtection="1">
      <alignment horizontal="left" vertical="center" wrapText="1"/>
    </xf>
    <xf numFmtId="0" fontId="20" fillId="0" borderId="47" xfId="1" applyFont="1" applyBorder="1" applyAlignment="1" applyProtection="1">
      <alignment horizontal="left" vertical="center" wrapText="1"/>
    </xf>
    <xf numFmtId="0" fontId="20" fillId="0" borderId="10" xfId="1" applyFont="1" applyBorder="1" applyAlignment="1" applyProtection="1">
      <alignment horizontal="left" vertical="center" wrapText="1"/>
    </xf>
    <xf numFmtId="0" fontId="11" fillId="0" borderId="3" xfId="0" applyFont="1" applyBorder="1" applyAlignment="1" applyProtection="1">
      <alignment horizontal="justify" vertical="center" wrapText="1"/>
    </xf>
    <xf numFmtId="0" fontId="11" fillId="0" borderId="4" xfId="0" applyFont="1" applyBorder="1" applyAlignment="1" applyProtection="1">
      <alignment horizontal="justify" vertical="center" wrapText="1"/>
    </xf>
    <xf numFmtId="0" fontId="14" fillId="6" borderId="2" xfId="1" applyFont="1" applyFill="1" applyBorder="1" applyAlignment="1" applyProtection="1">
      <alignment horizontal="right" vertical="center"/>
    </xf>
    <xf numFmtId="0" fontId="21" fillId="0" borderId="2" xfId="0" applyFont="1" applyBorder="1" applyAlignment="1" applyProtection="1">
      <alignment horizontal="left" vertical="center"/>
    </xf>
    <xf numFmtId="0" fontId="11" fillId="0" borderId="2" xfId="1" applyFont="1" applyBorder="1" applyAlignment="1" applyProtection="1">
      <alignment horizontal="center" vertical="center" wrapText="1"/>
    </xf>
    <xf numFmtId="0" fontId="11" fillId="9" borderId="2" xfId="1" applyFont="1" applyFill="1" applyBorder="1" applyAlignment="1" applyProtection="1">
      <alignment horizontal="center" vertical="center" wrapText="1"/>
    </xf>
    <xf numFmtId="0" fontId="11" fillId="12" borderId="7" xfId="1" applyFont="1" applyFill="1" applyBorder="1" applyAlignment="1" applyProtection="1">
      <alignment horizontal="right" vertical="center"/>
    </xf>
    <xf numFmtId="0" fontId="11" fillId="12" borderId="11" xfId="1" applyFont="1" applyFill="1" applyBorder="1" applyAlignment="1" applyProtection="1">
      <alignment horizontal="right" vertical="center"/>
    </xf>
    <xf numFmtId="0" fontId="11" fillId="12" borderId="6" xfId="1" applyFont="1" applyFill="1" applyBorder="1" applyAlignment="1" applyProtection="1">
      <alignment horizontal="right" vertical="center"/>
    </xf>
    <xf numFmtId="0" fontId="11" fillId="14" borderId="3" xfId="1" applyFont="1" applyFill="1" applyBorder="1" applyAlignment="1" applyProtection="1">
      <alignment horizontal="center" vertical="center" wrapText="1"/>
    </xf>
    <xf numFmtId="0" fontId="11" fillId="14" borderId="4" xfId="1" applyFont="1" applyFill="1" applyBorder="1" applyAlignment="1" applyProtection="1">
      <alignment horizontal="center" vertical="center" wrapText="1"/>
    </xf>
    <xf numFmtId="0" fontId="11" fillId="14" borderId="5" xfId="1" applyFont="1" applyFill="1" applyBorder="1" applyAlignment="1" applyProtection="1">
      <alignment horizontal="center" vertical="center" wrapText="1"/>
    </xf>
    <xf numFmtId="0" fontId="11" fillId="10" borderId="2" xfId="1" applyFont="1" applyFill="1" applyBorder="1" applyAlignment="1" applyProtection="1">
      <alignment horizontal="center" vertical="center" wrapText="1"/>
    </xf>
    <xf numFmtId="0" fontId="20" fillId="0" borderId="1" xfId="1" applyFont="1" applyAlignment="1" applyProtection="1">
      <alignment vertical="center"/>
    </xf>
    <xf numFmtId="0" fontId="44" fillId="0" borderId="3" xfId="0" applyFont="1" applyBorder="1" applyAlignment="1" applyProtection="1">
      <alignment horizontal="center" vertical="top" wrapText="1"/>
    </xf>
    <xf numFmtId="0" fontId="44" fillId="0" borderId="4" xfId="0" applyFont="1" applyBorder="1" applyAlignment="1" applyProtection="1">
      <alignment horizontal="center" vertical="top" wrapText="1"/>
    </xf>
    <xf numFmtId="0" fontId="44" fillId="0" borderId="5" xfId="0" applyFont="1" applyBorder="1" applyAlignment="1" applyProtection="1">
      <alignment horizontal="center" vertical="top" wrapText="1"/>
    </xf>
    <xf numFmtId="0" fontId="20" fillId="0" borderId="7" xfId="0" applyFont="1" applyBorder="1" applyAlignment="1" applyProtection="1">
      <alignment horizontal="left" vertical="center"/>
    </xf>
    <xf numFmtId="0" fontId="20" fillId="0" borderId="6" xfId="0" applyFont="1" applyBorder="1" applyAlignment="1" applyProtection="1">
      <alignment horizontal="left" vertical="center"/>
    </xf>
    <xf numFmtId="0" fontId="11" fillId="10" borderId="3" xfId="1" applyFont="1" applyFill="1" applyBorder="1" applyAlignment="1" applyProtection="1">
      <alignment horizontal="center" vertical="center" wrapText="1"/>
    </xf>
    <xf numFmtId="0" fontId="11" fillId="10" borderId="4" xfId="1" applyFont="1" applyFill="1" applyBorder="1" applyAlignment="1" applyProtection="1">
      <alignment horizontal="center" vertical="center" wrapText="1"/>
    </xf>
    <xf numFmtId="0" fontId="11" fillId="10" borderId="5" xfId="1" applyFont="1" applyFill="1" applyBorder="1" applyAlignment="1" applyProtection="1">
      <alignment horizontal="center" vertical="center" wrapText="1"/>
    </xf>
    <xf numFmtId="0" fontId="29" fillId="13" borderId="3" xfId="1" applyFont="1" applyFill="1" applyBorder="1" applyAlignment="1" applyProtection="1">
      <alignment horizontal="center" vertical="center" wrapText="1"/>
    </xf>
    <xf numFmtId="0" fontId="29" fillId="13" borderId="4" xfId="1" applyFont="1" applyFill="1" applyBorder="1" applyAlignment="1" applyProtection="1">
      <alignment horizontal="center" vertical="center" wrapText="1"/>
    </xf>
    <xf numFmtId="0" fontId="29" fillId="13" borderId="5" xfId="1" applyFont="1" applyFill="1" applyBorder="1" applyAlignment="1" applyProtection="1">
      <alignment horizontal="center" vertical="center" wrapText="1"/>
    </xf>
    <xf numFmtId="0" fontId="20" fillId="0" borderId="7" xfId="0" applyFont="1" applyBorder="1" applyAlignment="1" applyProtection="1">
      <alignment horizontal="justify" vertical="center" wrapText="1"/>
    </xf>
    <xf numFmtId="0" fontId="20" fillId="0" borderId="2" xfId="0" applyFont="1" applyBorder="1" applyAlignment="1" applyProtection="1">
      <alignment horizontal="left" vertical="center"/>
    </xf>
    <xf numFmtId="9" fontId="11" fillId="4" borderId="44" xfId="3" applyFont="1" applyFill="1" applyBorder="1" applyAlignment="1" applyProtection="1">
      <alignment horizontal="center" vertical="center"/>
    </xf>
    <xf numFmtId="9" fontId="11" fillId="4" borderId="45" xfId="3" applyFont="1" applyFill="1" applyBorder="1" applyAlignment="1" applyProtection="1">
      <alignment horizontal="center" vertical="center"/>
    </xf>
    <xf numFmtId="9" fontId="11" fillId="4" borderId="9" xfId="3" applyFont="1" applyFill="1" applyBorder="1" applyAlignment="1" applyProtection="1">
      <alignment horizontal="center" vertical="center"/>
    </xf>
    <xf numFmtId="0" fontId="11" fillId="6" borderId="8" xfId="1" applyFont="1" applyFill="1" applyBorder="1" applyAlignment="1" applyProtection="1">
      <alignment horizontal="right" vertical="center"/>
    </xf>
    <xf numFmtId="0" fontId="11" fillId="6" borderId="1" xfId="1" applyFont="1" applyFill="1" applyAlignment="1" applyProtection="1">
      <alignment horizontal="right" vertical="center"/>
    </xf>
    <xf numFmtId="9" fontId="22" fillId="4" borderId="48" xfId="3" applyFont="1" applyFill="1" applyBorder="1" applyAlignment="1" applyProtection="1">
      <alignment horizontal="center" vertical="center"/>
    </xf>
    <xf numFmtId="9" fontId="22" fillId="4" borderId="49" xfId="3" applyFont="1" applyFill="1" applyBorder="1" applyAlignment="1" applyProtection="1">
      <alignment horizontal="center" vertical="center"/>
    </xf>
    <xf numFmtId="0" fontId="20" fillId="0" borderId="8"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54" xfId="1" applyFont="1" applyBorder="1" applyAlignment="1" applyProtection="1">
      <alignment horizontal="center" vertical="center" wrapText="1"/>
    </xf>
    <xf numFmtId="0" fontId="20" fillId="0" borderId="67" xfId="1" applyFont="1" applyBorder="1" applyAlignment="1" applyProtection="1">
      <alignment horizontal="center" vertical="center" wrapText="1"/>
    </xf>
    <xf numFmtId="0" fontId="20" fillId="0" borderId="65" xfId="1" applyFont="1" applyBorder="1" applyAlignment="1" applyProtection="1">
      <alignment horizontal="center" vertical="center" wrapText="1"/>
    </xf>
    <xf numFmtId="0" fontId="20" fillId="0" borderId="76" xfId="1" applyFont="1" applyBorder="1" applyAlignment="1" applyProtection="1">
      <alignment horizontal="center" vertical="center" wrapText="1"/>
    </xf>
    <xf numFmtId="0" fontId="20" fillId="0" borderId="82" xfId="1" applyFont="1" applyBorder="1" applyAlignment="1" applyProtection="1">
      <alignment horizontal="center" vertical="center" wrapText="1"/>
    </xf>
    <xf numFmtId="0" fontId="20" fillId="0" borderId="83" xfId="1" applyFont="1" applyBorder="1" applyAlignment="1" applyProtection="1">
      <alignment horizontal="center" vertical="center" wrapText="1"/>
    </xf>
    <xf numFmtId="0" fontId="9" fillId="0" borderId="1" xfId="1" applyFont="1" applyAlignment="1" applyProtection="1">
      <alignment horizontal="right" vertical="center"/>
    </xf>
    <xf numFmtId="0" fontId="14" fillId="12" borderId="47" xfId="1" applyFont="1" applyFill="1" applyBorder="1" applyAlignment="1" applyProtection="1">
      <alignment horizontal="right" vertical="center"/>
    </xf>
    <xf numFmtId="0" fontId="14" fillId="12" borderId="10" xfId="1" applyFont="1" applyFill="1" applyBorder="1" applyAlignment="1" applyProtection="1">
      <alignment horizontal="right" vertical="center"/>
    </xf>
    <xf numFmtId="0" fontId="15" fillId="0" borderId="1" xfId="1" applyFont="1" applyBorder="1" applyAlignment="1" applyProtection="1">
      <alignment horizontal="left" vertical="center"/>
    </xf>
    <xf numFmtId="9" fontId="22" fillId="4" borderId="66" xfId="3" applyFont="1" applyFill="1" applyBorder="1" applyAlignment="1" applyProtection="1">
      <alignment horizontal="center" vertical="center"/>
    </xf>
    <xf numFmtId="164" fontId="22" fillId="4" borderId="44" xfId="3" applyNumberFormat="1" applyFont="1" applyFill="1" applyBorder="1" applyAlignment="1" applyProtection="1">
      <alignment horizontal="center" vertical="center"/>
    </xf>
    <xf numFmtId="164" fontId="22" fillId="4" borderId="45" xfId="3" applyNumberFormat="1" applyFont="1" applyFill="1" applyBorder="1" applyAlignment="1" applyProtection="1">
      <alignment horizontal="center" vertical="center"/>
    </xf>
    <xf numFmtId="164" fontId="22" fillId="4" borderId="9" xfId="3" applyNumberFormat="1" applyFont="1" applyFill="1" applyBorder="1" applyAlignment="1" applyProtection="1">
      <alignment horizontal="center" vertical="center"/>
    </xf>
    <xf numFmtId="0" fontId="29" fillId="17" borderId="2" xfId="23" applyFont="1" applyFill="1" applyBorder="1" applyAlignment="1">
      <alignment horizontal="center" vertical="center"/>
    </xf>
    <xf numFmtId="0" fontId="37" fillId="0" borderId="13" xfId="0" applyFont="1" applyBorder="1" applyAlignment="1">
      <alignment horizontal="center" vertical="center" wrapText="1"/>
    </xf>
    <xf numFmtId="0" fontId="37" fillId="0" borderId="14" xfId="0" applyFont="1" applyBorder="1" applyAlignment="1">
      <alignment horizontal="center" vertical="center" wrapText="1"/>
    </xf>
    <xf numFmtId="0" fontId="37" fillId="0" borderId="15" xfId="0" applyFont="1" applyBorder="1" applyAlignment="1">
      <alignment horizontal="center" vertical="center" wrapText="1"/>
    </xf>
    <xf numFmtId="0" fontId="14" fillId="0" borderId="24" xfId="23" applyFont="1" applyBorder="1" applyAlignment="1">
      <alignment horizontal="center" vertical="center"/>
    </xf>
    <xf numFmtId="0" fontId="14" fillId="0" borderId="25" xfId="23" applyFont="1" applyBorder="1" applyAlignment="1">
      <alignment horizontal="center" vertical="center"/>
    </xf>
    <xf numFmtId="0" fontId="14" fillId="0" borderId="8" xfId="23" applyFont="1" applyBorder="1" applyAlignment="1">
      <alignment horizontal="center" vertical="center"/>
    </xf>
    <xf numFmtId="0" fontId="14" fillId="0" borderId="1" xfId="23" applyFont="1" applyAlignment="1">
      <alignment horizontal="center" vertical="center"/>
    </xf>
    <xf numFmtId="0" fontId="14" fillId="0" borderId="22" xfId="23" applyFont="1" applyBorder="1" applyAlignment="1">
      <alignment horizontal="center" vertical="center"/>
    </xf>
    <xf numFmtId="0" fontId="14" fillId="0" borderId="27" xfId="23" applyFont="1" applyBorder="1" applyAlignment="1">
      <alignment horizontal="center" vertical="center"/>
    </xf>
    <xf numFmtId="0" fontId="25" fillId="3" borderId="20" xfId="23" applyFont="1" applyFill="1" applyBorder="1" applyAlignment="1">
      <alignment horizontal="left"/>
    </xf>
    <xf numFmtId="0" fontId="24" fillId="3" borderId="21" xfId="23" applyFont="1" applyFill="1" applyBorder="1" applyAlignment="1">
      <alignment horizontal="left"/>
    </xf>
    <xf numFmtId="165" fontId="24" fillId="3" borderId="22" xfId="23" quotePrefix="1" applyNumberFormat="1" applyFont="1" applyFill="1" applyBorder="1" applyAlignment="1">
      <alignment horizontal="left"/>
    </xf>
    <xf numFmtId="165" fontId="24" fillId="3" borderId="23" xfId="23" applyNumberFormat="1" applyFont="1" applyFill="1" applyBorder="1" applyAlignment="1">
      <alignment horizontal="left"/>
    </xf>
    <xf numFmtId="0" fontId="29" fillId="16" borderId="2" xfId="23" applyFont="1" applyFill="1" applyBorder="1" applyAlignment="1">
      <alignment horizontal="center" vertical="center"/>
    </xf>
    <xf numFmtId="0" fontId="20" fillId="0" borderId="2" xfId="23" applyFont="1" applyBorder="1" applyAlignment="1">
      <alignment horizontal="justify" vertical="center" wrapText="1"/>
    </xf>
    <xf numFmtId="0" fontId="29" fillId="15" borderId="2" xfId="23" applyFont="1" applyFill="1" applyBorder="1" applyAlignment="1">
      <alignment horizontal="center" vertical="center"/>
    </xf>
    <xf numFmtId="0" fontId="31" fillId="0" borderId="2" xfId="23" applyFont="1" applyBorder="1" applyAlignment="1">
      <alignment horizontal="justify" vertical="center" wrapText="1"/>
    </xf>
    <xf numFmtId="0" fontId="9" fillId="0" borderId="1" xfId="1" applyFont="1" applyBorder="1" applyAlignment="1" applyProtection="1">
      <alignment horizontal="left" vertical="center" wrapText="1"/>
    </xf>
  </cellXfs>
  <cellStyles count="68">
    <cellStyle name="Excel_BuiltIn_Percent" xfId="16" xr:uid="{00000000-0005-0000-0000-000000000000}"/>
    <cellStyle name="Millares" xfId="5" builtinId="3"/>
    <cellStyle name="Millares [0] 2" xfId="56" xr:uid="{5BA06C08-D42E-4BB8-9525-4EC25E3621CC}"/>
    <cellStyle name="Millares [0] 3" xfId="51" xr:uid="{ADA3C707-4947-4276-8F1C-AA13518413A1}"/>
    <cellStyle name="Millares 10" xfId="57" xr:uid="{22C481BF-8C80-43D1-A87E-E10B439A03F1}"/>
    <cellStyle name="Millares 11" xfId="36" xr:uid="{2A2818BD-E2CC-4ABB-A4F1-EE19CAF210E2}"/>
    <cellStyle name="Millares 12" xfId="58" xr:uid="{5BFF7EC0-86A4-47CA-BAE9-A43768939B82}"/>
    <cellStyle name="Millares 2" xfId="7" xr:uid="{00000000-0005-0000-0000-000002000000}"/>
    <cellStyle name="Millares 2 2" xfId="25" xr:uid="{ED0C9F2B-C07A-4A36-82EA-4C6E135C2504}"/>
    <cellStyle name="Millares 2 2 2" xfId="50" xr:uid="{18B2C936-B4B9-4122-B3FD-64C6ACCF1D60}"/>
    <cellStyle name="Millares 2 3" xfId="42" xr:uid="{78A7B2D8-A277-4464-9D71-E0B1805A8D8A}"/>
    <cellStyle name="Millares 3" xfId="22" xr:uid="{00000000-0005-0000-0000-000003000000}"/>
    <cellStyle name="Millares 3 2" xfId="31" xr:uid="{D685CCA6-91D5-4F15-A524-DB9E846517E7}"/>
    <cellStyle name="Millares 3 3" xfId="47" xr:uid="{20F5CD08-0F85-4196-8ACE-82688F4764BD}"/>
    <cellStyle name="Millares 4" xfId="24" xr:uid="{212C8432-7C0C-4EC4-B146-A56E0F93FDEC}"/>
    <cellStyle name="Millares 5" xfId="41" xr:uid="{02D8791E-E9C2-4087-8360-91E0991A99E2}"/>
    <cellStyle name="Millares 6" xfId="38" xr:uid="{69D14102-8C40-40D4-A173-2F0F64995176}"/>
    <cellStyle name="Millares 7" xfId="37" xr:uid="{15B0A603-82E9-4E1E-A069-A80EC24E80CF}"/>
    <cellStyle name="Millares 8" xfId="39" xr:uid="{AA5BFB14-0BEB-4B05-A332-2A0EAEA03B0C}"/>
    <cellStyle name="Millares 9" xfId="40" xr:uid="{84959260-AC56-4340-A3F2-6B397601BD00}"/>
    <cellStyle name="Normal" xfId="0" builtinId="0"/>
    <cellStyle name="Normal 10" xfId="9" xr:uid="{00000000-0005-0000-0000-000005000000}"/>
    <cellStyle name="Normal 11" xfId="15" xr:uid="{00000000-0005-0000-0000-000006000000}"/>
    <cellStyle name="Normal 11 2" xfId="26" xr:uid="{D29DF0C9-81D6-4AC5-ACEF-5C55C9BBC12B}"/>
    <cellStyle name="Normal 11 3" xfId="43" xr:uid="{FE3355B7-0752-4C29-87A8-6FD184B1C97D}"/>
    <cellStyle name="Normal 12" xfId="20" xr:uid="{00000000-0005-0000-0000-000007000000}"/>
    <cellStyle name="Normal 12 2" xfId="34" xr:uid="{D31E7EAB-013D-4093-82D6-E50E4FD0A828}"/>
    <cellStyle name="Normal 12 3" xfId="29" xr:uid="{DE3AD3E0-A318-4B66-AD8E-DE6BAD03478A}"/>
    <cellStyle name="Normal 13" xfId="21" xr:uid="{00000000-0005-0000-0000-000008000000}"/>
    <cellStyle name="Normal 13 2" xfId="30" xr:uid="{32DBC334-27B3-4648-B619-B674F3029E24}"/>
    <cellStyle name="Normal 13 3" xfId="46" xr:uid="{9103AEA0-81F0-44AB-938B-D77B1B5D1D53}"/>
    <cellStyle name="Normal 14" xfId="32" xr:uid="{BD0564A9-6799-4BCD-AB63-2EE2F9644A39}"/>
    <cellStyle name="Normal 14 2" xfId="48" xr:uid="{9B506498-08E9-4C07-9FB0-10BC4CC02EA0}"/>
    <cellStyle name="Normal 15" xfId="49" xr:uid="{BC53EFCF-4B15-4173-9C77-0CD7731376F9}"/>
    <cellStyle name="Normal 16" xfId="52" xr:uid="{8D77E4A8-2D90-4ED0-829B-BD8306A33940}"/>
    <cellStyle name="Normal 17" xfId="35" xr:uid="{03D619DE-42E5-4CB7-BB12-202EA5C3ADEC}"/>
    <cellStyle name="Normal 18" xfId="59" xr:uid="{F9294ADD-E5F1-4F8F-AE8B-FE73315DEF96}"/>
    <cellStyle name="Normal 19" xfId="62" xr:uid="{D3E44514-C990-46C0-9DEE-58589998133E}"/>
    <cellStyle name="Normal 2" xfId="2" xr:uid="{00000000-0005-0000-0000-000009000000}"/>
    <cellStyle name="Normal 2 2" xfId="17" xr:uid="{00000000-0005-0000-0000-00000A000000}"/>
    <cellStyle name="Normal 2 3" xfId="23" xr:uid="{00000000-0005-0000-0000-00000B000000}"/>
    <cellStyle name="Normal 2 4" xfId="53" xr:uid="{2797D1E9-BBF5-4247-B3C9-CC04D38AC926}"/>
    <cellStyle name="Normal 20" xfId="65" xr:uid="{4BF30963-F3BC-4DDB-BAB7-1CC296854E04}"/>
    <cellStyle name="Normal 3" xfId="1" xr:uid="{00000000-0005-0000-0000-00000C000000}"/>
    <cellStyle name="Normal 3 2" xfId="18" xr:uid="{00000000-0005-0000-0000-00000D000000}"/>
    <cellStyle name="Normal 3 2 2" xfId="27" xr:uid="{EFCD654C-012F-401F-8AAD-E7189628970A}"/>
    <cellStyle name="Normal 3 2 3" xfId="44" xr:uid="{62EC7CF2-DD63-4CA9-9BC6-732EE2D49AB3}"/>
    <cellStyle name="Normal 3 3" xfId="54" xr:uid="{F4E6F31D-5147-436A-A620-0F9E7ADCE013}"/>
    <cellStyle name="Normal 3 4" xfId="60" xr:uid="{1B2791B8-7C8F-4738-993E-0F4013A0E5F4}"/>
    <cellStyle name="Normal 3 5" xfId="63" xr:uid="{E7E7852A-CB02-4965-8405-F1BB828FC73A}"/>
    <cellStyle name="Normal 3 6" xfId="66" xr:uid="{619C25F4-DC6D-4649-B5C6-8A7816E7DBDE}"/>
    <cellStyle name="Normal 4" xfId="4" xr:uid="{00000000-0005-0000-0000-00000E000000}"/>
    <cellStyle name="Normal 4 2" xfId="19" xr:uid="{00000000-0005-0000-0000-00000F000000}"/>
    <cellStyle name="Normal 4 2 2" xfId="28" xr:uid="{79E3C445-0623-4247-BFF4-172B271E034F}"/>
    <cellStyle name="Normal 4 2 3" xfId="45" xr:uid="{06E8E4E9-B835-466C-A47A-E4E74FA8FD03}"/>
    <cellStyle name="Normal 5" xfId="10" xr:uid="{00000000-0005-0000-0000-000010000000}"/>
    <cellStyle name="Normal 6" xfId="11" xr:uid="{00000000-0005-0000-0000-000011000000}"/>
    <cellStyle name="Normal 7" xfId="12" xr:uid="{00000000-0005-0000-0000-000012000000}"/>
    <cellStyle name="Normal 8" xfId="13" xr:uid="{00000000-0005-0000-0000-000013000000}"/>
    <cellStyle name="Normal 9" xfId="14" xr:uid="{00000000-0005-0000-0000-000014000000}"/>
    <cellStyle name="Porcentaje" xfId="6" builtinId="5"/>
    <cellStyle name="Porcentaje 2" xfId="3" xr:uid="{00000000-0005-0000-0000-000016000000}"/>
    <cellStyle name="Porcentaje 3" xfId="8" xr:uid="{00000000-0005-0000-0000-000017000000}"/>
    <cellStyle name="Porcentaje 4" xfId="33" xr:uid="{32C8F8EB-879C-441D-AC96-E488061195C7}"/>
    <cellStyle name="Porcentaje 4 2" xfId="55" xr:uid="{70A5C339-B7AD-49E3-BCD8-375501115ED4}"/>
    <cellStyle name="Porcentaje 5" xfId="61" xr:uid="{649DDA99-314B-43F0-8283-A450FA245AC9}"/>
    <cellStyle name="Porcentaje 6" xfId="64" xr:uid="{83ACF68D-A1E8-49AD-9E33-71BC72AA6628}"/>
    <cellStyle name="Porcentaje 7" xfId="67" xr:uid="{0011DA3C-BBFC-4933-80B6-1AAEEC690928}"/>
  </cellStyles>
  <dxfs count="1026">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70C0"/>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70C0"/>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70C0"/>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70C0"/>
        </patternFill>
      </fill>
    </dxf>
    <dxf>
      <fill>
        <patternFill>
          <bgColor rgb="FF00B050"/>
        </patternFill>
      </fill>
    </dxf>
    <dxf>
      <fill>
        <patternFill>
          <bgColor rgb="FFFFFF00"/>
        </patternFill>
      </fill>
    </dxf>
    <dxf>
      <fill>
        <patternFill>
          <bgColor rgb="FFFF0000"/>
        </patternFill>
      </fill>
    </dxf>
    <dxf>
      <fill>
        <patternFill>
          <bgColor theme="3" tint="0.79998168889431442"/>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0070C0"/>
        </patternFill>
      </fill>
    </dxf>
    <dxf>
      <fill>
        <patternFill>
          <bgColor rgb="FF00B050"/>
        </patternFill>
      </fill>
    </dxf>
    <dxf>
      <fill>
        <patternFill>
          <bgColor rgb="FFFFFF00"/>
        </patternFill>
      </fill>
    </dxf>
    <dxf>
      <fill>
        <patternFill>
          <bgColor rgb="FFFF0000"/>
        </patternFill>
      </fill>
    </dxf>
    <dxf>
      <fill>
        <patternFill>
          <bgColor theme="3" tint="0.79998168889431442"/>
        </patternFill>
      </fill>
    </dxf>
    <dxf>
      <fill>
        <patternFill>
          <bgColor rgb="FF0070C0"/>
        </patternFill>
      </fill>
    </dxf>
    <dxf>
      <fill>
        <patternFill>
          <bgColor rgb="FF00B050"/>
        </patternFill>
      </fill>
    </dxf>
    <dxf>
      <fill>
        <patternFill>
          <bgColor rgb="FFFFFF00"/>
        </patternFill>
      </fill>
    </dxf>
    <dxf>
      <fill>
        <patternFill>
          <bgColor rgb="FFFF0000"/>
        </patternFill>
      </fill>
    </dxf>
    <dxf>
      <fill>
        <patternFill>
          <bgColor theme="3" tint="0.79998168889431442"/>
        </patternFill>
      </fill>
    </dxf>
    <dxf>
      <fill>
        <patternFill>
          <bgColor rgb="FF0070C0"/>
        </patternFill>
      </fill>
    </dxf>
    <dxf>
      <fill>
        <patternFill>
          <bgColor rgb="FF00B050"/>
        </patternFill>
      </fill>
    </dxf>
    <dxf>
      <fill>
        <patternFill>
          <bgColor rgb="FFFFFF00"/>
        </patternFill>
      </fill>
    </dxf>
    <dxf>
      <fill>
        <patternFill>
          <bgColor rgb="FFFF0000"/>
        </patternFill>
      </fill>
    </dxf>
    <dxf>
      <fill>
        <patternFill>
          <bgColor theme="3" tint="0.79998168889431442"/>
        </patternFill>
      </fill>
    </dxf>
    <dxf>
      <fill>
        <patternFill>
          <bgColor rgb="FF0070C0"/>
        </patternFill>
      </fill>
    </dxf>
    <dxf>
      <fill>
        <patternFill>
          <bgColor rgb="FF00B050"/>
        </patternFill>
      </fill>
    </dxf>
    <dxf>
      <fill>
        <patternFill>
          <bgColor rgb="FFFFFF00"/>
        </patternFill>
      </fill>
    </dxf>
    <dxf>
      <fill>
        <patternFill>
          <bgColor rgb="FFFF000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70C0"/>
        </patternFill>
      </fill>
    </dxf>
    <dxf>
      <fill>
        <patternFill>
          <bgColor rgb="FF00B050"/>
        </patternFill>
      </fill>
    </dxf>
    <dxf>
      <fill>
        <patternFill>
          <bgColor rgb="FFFFFF00"/>
        </patternFill>
      </fill>
    </dxf>
    <dxf>
      <fill>
        <patternFill>
          <bgColor rgb="FFFF0000"/>
        </patternFill>
      </fill>
    </dxf>
    <dxf>
      <fill>
        <patternFill>
          <bgColor theme="3" tint="0.79998168889431442"/>
        </patternFill>
      </fill>
    </dxf>
    <dxf>
      <fill>
        <patternFill>
          <bgColor rgb="FF0070C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70C0"/>
        </patternFill>
      </fill>
    </dxf>
    <dxf>
      <fill>
        <patternFill>
          <bgColor rgb="FF00B050"/>
        </patternFill>
      </fill>
    </dxf>
    <dxf>
      <fill>
        <patternFill>
          <bgColor rgb="FFFFFF00"/>
        </patternFill>
      </fill>
    </dxf>
    <dxf>
      <fill>
        <patternFill>
          <bgColor rgb="FFFF0000"/>
        </patternFill>
      </fill>
    </dxf>
    <dxf>
      <fill>
        <patternFill>
          <bgColor theme="3" tint="0.79998168889431442"/>
        </patternFill>
      </fill>
    </dxf>
    <dxf>
      <fill>
        <patternFill>
          <bgColor rgb="FF00B050"/>
        </patternFill>
      </fill>
    </dxf>
    <dxf>
      <fill>
        <patternFill>
          <bgColor rgb="FF0070C0"/>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B050"/>
        </patternFill>
      </fill>
    </dxf>
    <dxf>
      <fill>
        <patternFill>
          <bgColor rgb="FFFFFF00"/>
        </patternFill>
      </fill>
    </dxf>
    <dxf>
      <fill>
        <patternFill>
          <bgColor rgb="FFFF0000"/>
        </patternFill>
      </fill>
    </dxf>
    <dxf>
      <fill>
        <patternFill>
          <bgColor theme="3" tint="0.79998168889431442"/>
        </patternFill>
      </fill>
    </dxf>
    <dxf>
      <fill>
        <patternFill>
          <bgColor rgb="FF00B050"/>
        </patternFill>
      </fill>
    </dxf>
    <dxf>
      <fill>
        <patternFill>
          <bgColor rgb="FF00B0F0"/>
        </patternFill>
      </fill>
    </dxf>
    <dxf>
      <fill>
        <patternFill>
          <bgColor rgb="FFFFFF00"/>
        </patternFill>
      </fill>
    </dxf>
    <dxf>
      <fill>
        <patternFill>
          <bgColor rgb="FFFF0000"/>
        </patternFill>
      </fill>
    </dxf>
    <dxf>
      <fill>
        <patternFill>
          <bgColor theme="8" tint="0.59996337778862885"/>
        </patternFill>
      </fill>
    </dxf>
    <dxf>
      <fill>
        <patternFill>
          <bgColor rgb="FF00B050"/>
        </patternFill>
      </fill>
    </dxf>
    <dxf>
      <fill>
        <patternFill>
          <bgColor rgb="FF00B0F0"/>
        </patternFill>
      </fill>
    </dxf>
    <dxf>
      <fill>
        <patternFill>
          <bgColor rgb="FFFFFF00"/>
        </patternFill>
      </fill>
    </dxf>
    <dxf>
      <fill>
        <patternFill>
          <bgColor rgb="FFFF0000"/>
        </patternFill>
      </fill>
    </dxf>
    <dxf>
      <fill>
        <patternFill>
          <bgColor theme="8" tint="0.59996337778862885"/>
        </patternFill>
      </fill>
    </dxf>
    <dxf>
      <fill>
        <patternFill>
          <bgColor rgb="FF00B050"/>
        </patternFill>
      </fill>
    </dxf>
    <dxf>
      <fill>
        <patternFill>
          <bgColor rgb="FF00B0F0"/>
        </patternFill>
      </fill>
    </dxf>
    <dxf>
      <fill>
        <patternFill>
          <bgColor rgb="FFFFFF00"/>
        </patternFill>
      </fill>
    </dxf>
    <dxf>
      <fill>
        <patternFill>
          <bgColor rgb="FFFF0000"/>
        </patternFill>
      </fill>
    </dxf>
    <dxf>
      <fill>
        <patternFill>
          <bgColor theme="8" tint="0.59996337778862885"/>
        </patternFill>
      </fill>
    </dxf>
    <dxf>
      <fill>
        <patternFill>
          <bgColor rgb="FF00B050"/>
        </patternFill>
      </fill>
    </dxf>
    <dxf>
      <fill>
        <patternFill>
          <bgColor rgb="FF00B0F0"/>
        </patternFill>
      </fill>
    </dxf>
    <dxf>
      <fill>
        <patternFill>
          <bgColor rgb="FFFFFF00"/>
        </patternFill>
      </fill>
    </dxf>
    <dxf>
      <fill>
        <patternFill>
          <bgColor rgb="FFFF0000"/>
        </patternFill>
      </fill>
    </dxf>
    <dxf>
      <fill>
        <patternFill>
          <bgColor theme="8" tint="0.59996337778862885"/>
        </patternFill>
      </fill>
    </dxf>
    <dxf>
      <numFmt numFmtId="164" formatCode="0.0%"/>
    </dxf>
    <dxf>
      <numFmt numFmtId="3" formatCode="#,##0"/>
    </dxf>
    <dxf>
      <numFmt numFmtId="172" formatCode="&quot;$&quot;\ #,##0"/>
    </dxf>
    <dxf>
      <numFmt numFmtId="164" formatCode="0.0%"/>
    </dxf>
    <dxf>
      <numFmt numFmtId="3" formatCode="#,##0"/>
    </dxf>
    <dxf>
      <numFmt numFmtId="172" formatCode="&quot;$&quot;\ #,##0"/>
    </dxf>
    <dxf>
      <numFmt numFmtId="164" formatCode="0.0%"/>
    </dxf>
    <dxf>
      <numFmt numFmtId="3" formatCode="#,##0"/>
    </dxf>
    <dxf>
      <numFmt numFmtId="172" formatCode="&quot;$&quot;\ #,##0"/>
    </dxf>
    <dxf>
      <numFmt numFmtId="164" formatCode="0.0%"/>
    </dxf>
    <dxf>
      <numFmt numFmtId="3" formatCode="#,##0"/>
    </dxf>
    <dxf>
      <numFmt numFmtId="172" formatCode="&quot;$&quot;\ #,##0"/>
    </dxf>
    <dxf>
      <numFmt numFmtId="164" formatCode="0.0%"/>
    </dxf>
    <dxf>
      <numFmt numFmtId="3" formatCode="#,##0"/>
    </dxf>
    <dxf>
      <numFmt numFmtId="172" formatCode="&quot;$&quot;\ #,##0"/>
    </dxf>
    <dxf>
      <numFmt numFmtId="164" formatCode="0.0%"/>
    </dxf>
    <dxf>
      <numFmt numFmtId="3" formatCode="#,##0"/>
    </dxf>
    <dxf>
      <numFmt numFmtId="172" formatCode="&quot;$&quot;\ #,##0"/>
    </dxf>
    <dxf>
      <numFmt numFmtId="164" formatCode="0.0%"/>
    </dxf>
    <dxf>
      <numFmt numFmtId="3" formatCode="#,##0"/>
    </dxf>
    <dxf>
      <numFmt numFmtId="172" formatCode="&quot;$&quot;\ #,##0"/>
    </dxf>
    <dxf>
      <numFmt numFmtId="164" formatCode="0.0%"/>
    </dxf>
    <dxf>
      <numFmt numFmtId="3" formatCode="#,##0"/>
    </dxf>
    <dxf>
      <numFmt numFmtId="172" formatCode="&quot;$&quot;\ #,##0"/>
    </dxf>
    <dxf>
      <numFmt numFmtId="164" formatCode="0.0%"/>
    </dxf>
    <dxf>
      <numFmt numFmtId="3" formatCode="#,##0"/>
    </dxf>
    <dxf>
      <numFmt numFmtId="172" formatCode="&quot;$&quot;\ #,##0"/>
    </dxf>
    <dxf>
      <numFmt numFmtId="164" formatCode="0.0%"/>
    </dxf>
    <dxf>
      <numFmt numFmtId="3" formatCode="#,##0"/>
    </dxf>
    <dxf>
      <numFmt numFmtId="172" formatCode="&quot;$&quot;\ #,##0"/>
    </dxf>
    <dxf>
      <numFmt numFmtId="164" formatCode="0.0%"/>
    </dxf>
    <dxf>
      <numFmt numFmtId="3" formatCode="#,##0"/>
    </dxf>
    <dxf>
      <numFmt numFmtId="172" formatCode="&quot;$&quot;\ #,##0"/>
    </dxf>
    <dxf>
      <numFmt numFmtId="164" formatCode="0.0%"/>
    </dxf>
    <dxf>
      <numFmt numFmtId="3" formatCode="#,##0"/>
    </dxf>
    <dxf>
      <numFmt numFmtId="172" formatCode="&quot;$&quot;\ #,##0"/>
    </dxf>
    <dxf>
      <numFmt numFmtId="164" formatCode="0.0%"/>
    </dxf>
    <dxf>
      <numFmt numFmtId="3" formatCode="#,##0"/>
    </dxf>
    <dxf>
      <numFmt numFmtId="172" formatCode="&quot;$&quot;\ #,##0"/>
    </dxf>
    <dxf>
      <numFmt numFmtId="164" formatCode="0.0%"/>
    </dxf>
    <dxf>
      <numFmt numFmtId="3" formatCode="#,##0"/>
    </dxf>
    <dxf>
      <numFmt numFmtId="172" formatCode="&quot;$&quot;\ #,##0"/>
    </dxf>
    <dxf>
      <numFmt numFmtId="164" formatCode="0.0%"/>
    </dxf>
    <dxf>
      <numFmt numFmtId="3" formatCode="#,##0"/>
    </dxf>
    <dxf>
      <numFmt numFmtId="172" formatCode="&quot;$&quot;\ #,##0"/>
    </dxf>
    <dxf>
      <numFmt numFmtId="164" formatCode="0.0%"/>
    </dxf>
    <dxf>
      <numFmt numFmtId="3" formatCode="#,##0"/>
    </dxf>
    <dxf>
      <numFmt numFmtId="172" formatCode="&quot;$&quot;\ #,##0"/>
    </dxf>
    <dxf>
      <numFmt numFmtId="164" formatCode="0.0%"/>
    </dxf>
    <dxf>
      <numFmt numFmtId="3" formatCode="#,##0"/>
    </dxf>
    <dxf>
      <numFmt numFmtId="172" formatCode="&quot;$&quot;\ #,##0"/>
    </dxf>
    <dxf>
      <numFmt numFmtId="164" formatCode="0.0%"/>
    </dxf>
    <dxf>
      <numFmt numFmtId="3" formatCode="#,##0"/>
    </dxf>
    <dxf>
      <numFmt numFmtId="172" formatCode="&quot;$&quot;\ #,##0"/>
    </dxf>
    <dxf>
      <numFmt numFmtId="164" formatCode="0.0%"/>
    </dxf>
    <dxf>
      <numFmt numFmtId="3" formatCode="#,##0"/>
    </dxf>
    <dxf>
      <numFmt numFmtId="172" formatCode="&quot;$&quot;\ #,##0"/>
    </dxf>
    <dxf>
      <numFmt numFmtId="164" formatCode="0.0%"/>
    </dxf>
    <dxf>
      <numFmt numFmtId="3" formatCode="#,##0"/>
    </dxf>
    <dxf>
      <numFmt numFmtId="172" formatCode="&quot;$&quot;\ #,##0"/>
    </dxf>
    <dxf>
      <numFmt numFmtId="164" formatCode="0.0%"/>
    </dxf>
    <dxf>
      <numFmt numFmtId="3" formatCode="#,##0"/>
    </dxf>
    <dxf>
      <numFmt numFmtId="172" formatCode="&quot;$&quot;\ #,##0"/>
    </dxf>
    <dxf>
      <numFmt numFmtId="164" formatCode="0.0%"/>
    </dxf>
    <dxf>
      <numFmt numFmtId="3" formatCode="#,##0"/>
    </dxf>
    <dxf>
      <numFmt numFmtId="172" formatCode="&quot;$&quot;\ #,##0"/>
    </dxf>
    <dxf>
      <numFmt numFmtId="164" formatCode="0.0%"/>
    </dxf>
    <dxf>
      <numFmt numFmtId="3" formatCode="#,##0"/>
    </dxf>
    <dxf>
      <numFmt numFmtId="172" formatCode="&quot;$&quot;\ #,##0"/>
    </dxf>
    <dxf>
      <numFmt numFmtId="164" formatCode="0.0%"/>
    </dxf>
    <dxf>
      <numFmt numFmtId="3" formatCode="#,##0"/>
    </dxf>
    <dxf>
      <numFmt numFmtId="172" formatCode="&quot;$&quot;\ #,##0"/>
    </dxf>
  </dxfs>
  <tableStyles count="0" defaultTableStyle="TableStyleMedium9" defaultPivotStyle="PivotStyleMedium4"/>
  <colors>
    <mruColors>
      <color rgb="FFFF66FF"/>
      <color rgb="FF0099FF"/>
      <color rgb="FF66FF33"/>
      <color rgb="FF00FF99"/>
      <color rgb="FFFFCC66"/>
      <color rgb="FFCC9900"/>
      <color rgb="FFFFFF66"/>
      <color rgb="FF99FF33"/>
      <color rgb="FFFF00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3.xml"/><Relationship Id="rId47" Type="http://schemas.openxmlformats.org/officeDocument/2006/relationships/theme" Target="theme/theme1.xml"/><Relationship Id="rId50" Type="http://schemas.openxmlformats.org/officeDocument/2006/relationships/sheetMetadata" Target="metadata.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4.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7.xml"/><Relationship Id="rId20" Type="http://schemas.openxmlformats.org/officeDocument/2006/relationships/worksheet" Target="worksheets/sheet20.xml"/><Relationship Id="rId41"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7271002687701846E-2"/>
          <c:y val="0.15605325320642519"/>
          <c:w val="0.90406720614839819"/>
          <c:h val="0.84281245803253868"/>
        </c:manualLayout>
      </c:layout>
      <c:pie3DChart>
        <c:varyColors val="1"/>
        <c:ser>
          <c:idx val="0"/>
          <c:order val="0"/>
          <c:explosion val="5"/>
          <c:dPt>
            <c:idx val="0"/>
            <c:bubble3D val="0"/>
            <c:spPr>
              <a:solidFill>
                <a:schemeClr val="accent2">
                  <a:lumMod val="60000"/>
                  <a:lumOff val="4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1-9F71-4DFC-A434-AD0CDDB3CC47}"/>
              </c:ext>
            </c:extLst>
          </c:dPt>
          <c:dPt>
            <c:idx val="1"/>
            <c:bubble3D val="0"/>
            <c:spPr>
              <a:solidFill>
                <a:srgbClr val="CC9900"/>
              </a:solidFill>
              <a:ln w="25400">
                <a:solidFill>
                  <a:schemeClr val="lt1"/>
                </a:solidFill>
              </a:ln>
              <a:effectLst/>
              <a:sp3d contourW="25400">
                <a:contourClr>
                  <a:schemeClr val="lt1"/>
                </a:contourClr>
              </a:sp3d>
            </c:spPr>
            <c:extLst>
              <c:ext xmlns:c16="http://schemas.microsoft.com/office/drawing/2014/chart" uri="{C3380CC4-5D6E-409C-BE32-E72D297353CC}">
                <c16:uniqueId val="{00000003-9F71-4DFC-A434-AD0CDDB3CC47}"/>
              </c:ext>
            </c:extLst>
          </c:dPt>
          <c:dPt>
            <c:idx val="2"/>
            <c:bubble3D val="0"/>
            <c:spPr>
              <a:solidFill>
                <a:srgbClr val="00FF99"/>
              </a:solidFill>
              <a:ln w="25400">
                <a:solidFill>
                  <a:schemeClr val="lt1"/>
                </a:solidFill>
              </a:ln>
              <a:effectLst/>
              <a:sp3d contourW="25400">
                <a:contourClr>
                  <a:schemeClr val="lt1"/>
                </a:contourClr>
              </a:sp3d>
            </c:spPr>
            <c:extLst>
              <c:ext xmlns:c16="http://schemas.microsoft.com/office/drawing/2014/chart" uri="{C3380CC4-5D6E-409C-BE32-E72D297353CC}">
                <c16:uniqueId val="{00000005-9F71-4DFC-A434-AD0CDDB3CC47}"/>
              </c:ext>
            </c:extLst>
          </c:dPt>
          <c:dPt>
            <c:idx val="3"/>
            <c:bubble3D val="0"/>
            <c:spPr>
              <a:solidFill>
                <a:srgbClr val="FFCC66"/>
              </a:solidFill>
              <a:ln w="25400">
                <a:solidFill>
                  <a:schemeClr val="lt1"/>
                </a:solidFill>
              </a:ln>
              <a:effectLst/>
              <a:sp3d contourW="25400">
                <a:contourClr>
                  <a:schemeClr val="lt1"/>
                </a:contourClr>
              </a:sp3d>
            </c:spPr>
            <c:extLst>
              <c:ext xmlns:c16="http://schemas.microsoft.com/office/drawing/2014/chart" uri="{C3380CC4-5D6E-409C-BE32-E72D297353CC}">
                <c16:uniqueId val="{00000007-9F71-4DFC-A434-AD0CDDB3CC47}"/>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9F71-4DFC-A434-AD0CDDB3CC47}"/>
              </c:ext>
            </c:extLst>
          </c:dPt>
          <c:dLbls>
            <c:spPr>
              <a:noFill/>
              <a:ln>
                <a:noFill/>
              </a:ln>
              <a:effectLst/>
            </c:spPr>
            <c:txPr>
              <a:bodyPr rot="0" spcFirstLastPara="1" vertOverflow="ellipsis" vert="horz" wrap="square" lIns="38100" tIns="19050" rIns="38100" bIns="19050" anchor="ctr" anchorCtr="1">
                <a:spAutoFit/>
              </a:bodyPr>
              <a:lstStyle/>
              <a:p>
                <a:pPr>
                  <a:defRPr sz="32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'3-Grado Cump Metas Estratégicas'!$C$66:$C$70</c:f>
              <c:strCache>
                <c:ptCount val="5"/>
                <c:pt idx="0">
                  <c:v>Objetivo Estratégico 1</c:v>
                </c:pt>
                <c:pt idx="1">
                  <c:v>Objetivo Estratégico 2</c:v>
                </c:pt>
                <c:pt idx="2">
                  <c:v>Objetivo Estratégico 3</c:v>
                </c:pt>
                <c:pt idx="3">
                  <c:v>Objetivo Estratégico 4</c:v>
                </c:pt>
                <c:pt idx="4">
                  <c:v>Objetivo Estratégico 5</c:v>
                </c:pt>
              </c:strCache>
            </c:strRef>
          </c:cat>
          <c:val>
            <c:numRef>
              <c:f>'3-Grado Cump Metas Estratégicas'!$D$66:$D$70</c:f>
              <c:numCache>
                <c:formatCode>0.0%</c:formatCode>
                <c:ptCount val="5"/>
                <c:pt idx="0">
                  <c:v>7.4921202643780424E-2</c:v>
                </c:pt>
                <c:pt idx="1">
                  <c:v>2.2781201848998459E-2</c:v>
                </c:pt>
                <c:pt idx="2">
                  <c:v>2.9764726368159206E-2</c:v>
                </c:pt>
                <c:pt idx="3">
                  <c:v>5.2148649278821679E-2</c:v>
                </c:pt>
                <c:pt idx="4">
                  <c:v>3.3750000000000002E-2</c:v>
                </c:pt>
              </c:numCache>
            </c:numRef>
          </c:val>
          <c:extLst>
            <c:ext xmlns:c16="http://schemas.microsoft.com/office/drawing/2014/chart" uri="{C3380CC4-5D6E-409C-BE32-E72D297353CC}">
              <c16:uniqueId val="{0000000A-9F71-4DFC-A434-AD0CDDB3CC47}"/>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7.1345370165839014E-2"/>
          <c:y val="0.91527219817446548"/>
          <c:w val="0.89258896247122199"/>
          <c:h val="7.6256489114474343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'3-Grado Cump Metas Estratégicas'!$D$40</c:f>
              <c:strCache>
                <c:ptCount val="1"/>
                <c:pt idx="0">
                  <c:v>GRADO DE CUMPLIMIENTO POR META ESTRATÉGICA</c:v>
                </c:pt>
              </c:strCache>
            </c:strRef>
          </c:tx>
          <c:spPr>
            <a:solidFill>
              <a:srgbClr val="00FF99"/>
            </a:solidFill>
            <a:ln>
              <a:noFill/>
            </a:ln>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'3-Grado Cump Metas Estratégicas'!$C$41:$C$61</c:f>
              <c:strCache>
                <c:ptCount val="21"/>
                <c:pt idx="1">
                  <c:v>Meta Estratégica 1.1</c:v>
                </c:pt>
                <c:pt idx="2">
                  <c:v>Meta Estratégica 1.2</c:v>
                </c:pt>
                <c:pt idx="3">
                  <c:v>Meta Estratégica 1.3</c:v>
                </c:pt>
                <c:pt idx="4">
                  <c:v>Meta Estratégica 2.1</c:v>
                </c:pt>
                <c:pt idx="5">
                  <c:v>Meta Estratégica 2.2</c:v>
                </c:pt>
                <c:pt idx="6">
                  <c:v>Meta Estratégica 2.3</c:v>
                </c:pt>
                <c:pt idx="7">
                  <c:v>Meta Estratégica 3.1</c:v>
                </c:pt>
                <c:pt idx="8">
                  <c:v>Meta Estratégica 3.2</c:v>
                </c:pt>
                <c:pt idx="9">
                  <c:v>Meta Estratégica 3.3</c:v>
                </c:pt>
                <c:pt idx="10">
                  <c:v>Meta Estratégica 3.4</c:v>
                </c:pt>
                <c:pt idx="11">
                  <c:v>Meta Estratégica 4.1</c:v>
                </c:pt>
                <c:pt idx="12">
                  <c:v>Meta Estratégica 4.2</c:v>
                </c:pt>
                <c:pt idx="13">
                  <c:v>Meta Estratégica 4.3</c:v>
                </c:pt>
                <c:pt idx="14">
                  <c:v>Meta Estratégica 4.4</c:v>
                </c:pt>
                <c:pt idx="15">
                  <c:v>Meta Estratégica 4.5</c:v>
                </c:pt>
                <c:pt idx="16">
                  <c:v>Meta Estratégica 4.6</c:v>
                </c:pt>
                <c:pt idx="17">
                  <c:v>Meta Estratégica 4.7</c:v>
                </c:pt>
                <c:pt idx="18">
                  <c:v>Meta Estratégica 5.1</c:v>
                </c:pt>
                <c:pt idx="19">
                  <c:v>Meta Estratégica 5.2</c:v>
                </c:pt>
                <c:pt idx="20">
                  <c:v>Meta Estratégica 5.3</c:v>
                </c:pt>
              </c:strCache>
            </c:strRef>
          </c:cat>
          <c:val>
            <c:numRef>
              <c:f>'3-Grado Cump Metas Estratégicas'!$D$41:$D$61</c:f>
              <c:numCache>
                <c:formatCode>0.0%</c:formatCode>
                <c:ptCount val="21"/>
                <c:pt idx="1">
                  <c:v>8.302771187591157E-2</c:v>
                </c:pt>
                <c:pt idx="2">
                  <c:v>8.4009021653211627E-2</c:v>
                </c:pt>
                <c:pt idx="3">
                  <c:v>0</c:v>
                </c:pt>
                <c:pt idx="4">
                  <c:v>0</c:v>
                </c:pt>
                <c:pt idx="5">
                  <c:v>2.0454545454545454E-2</c:v>
                </c:pt>
                <c:pt idx="6">
                  <c:v>0.10508474576271187</c:v>
                </c:pt>
                <c:pt idx="7">
                  <c:v>4.2911815920398014E-2</c:v>
                </c:pt>
                <c:pt idx="8">
                  <c:v>0</c:v>
                </c:pt>
                <c:pt idx="9">
                  <c:v>0</c:v>
                </c:pt>
                <c:pt idx="10">
                  <c:v>3.6000000000000004E-2</c:v>
                </c:pt>
                <c:pt idx="11">
                  <c:v>7.0000000000000007E-2</c:v>
                </c:pt>
                <c:pt idx="12">
                  <c:v>8.0461904761904762E-2</c:v>
                </c:pt>
                <c:pt idx="13">
                  <c:v>6.1175947390203524E-2</c:v>
                </c:pt>
                <c:pt idx="14">
                  <c:v>4.4063554261243761E-2</c:v>
                </c:pt>
                <c:pt idx="15">
                  <c:v>7.4791666666666673E-2</c:v>
                </c:pt>
                <c:pt idx="16">
                  <c:v>3.125E-2</c:v>
                </c:pt>
                <c:pt idx="17">
                  <c:v>0</c:v>
                </c:pt>
                <c:pt idx="18">
                  <c:v>0</c:v>
                </c:pt>
                <c:pt idx="19">
                  <c:v>0</c:v>
                </c:pt>
                <c:pt idx="20">
                  <c:v>0.1125</c:v>
                </c:pt>
              </c:numCache>
            </c:numRef>
          </c:val>
          <c:extLst>
            <c:ext xmlns:c16="http://schemas.microsoft.com/office/drawing/2014/chart" uri="{C3380CC4-5D6E-409C-BE32-E72D297353CC}">
              <c16:uniqueId val="{00000000-8B16-4E83-BE0E-45ADBDD52DF8}"/>
            </c:ext>
          </c:extLst>
        </c:ser>
        <c:dLbls>
          <c:showLegendKey val="0"/>
          <c:showVal val="0"/>
          <c:showCatName val="0"/>
          <c:showSerName val="0"/>
          <c:showPercent val="0"/>
          <c:showBubbleSize val="0"/>
        </c:dLbls>
        <c:gapWidth val="115"/>
        <c:overlap val="-20"/>
        <c:axId val="1348202607"/>
        <c:axId val="1348205103"/>
      </c:barChart>
      <c:catAx>
        <c:axId val="1348202607"/>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s-CO"/>
          </a:p>
        </c:txPr>
        <c:crossAx val="1348205103"/>
        <c:crosses val="autoZero"/>
        <c:auto val="1"/>
        <c:lblAlgn val="ctr"/>
        <c:lblOffset val="100"/>
        <c:noMultiLvlLbl val="0"/>
      </c:catAx>
      <c:valAx>
        <c:axId val="134820510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4820260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22776486098742529"/>
          <c:y val="7.3490691159390137E-2"/>
          <c:w val="0.50204833805241578"/>
          <c:h val="0.67930200655359141"/>
        </c:manualLayout>
      </c:layout>
      <c:pieChart>
        <c:varyColors val="1"/>
        <c:ser>
          <c:idx val="0"/>
          <c:order val="0"/>
          <c:tx>
            <c:strRef>
              <c:f>'4.Segto Medición POA 2022 T4'!$E$34</c:f>
              <c:strCache>
                <c:ptCount val="1"/>
              </c:strCache>
            </c:strRef>
          </c:tx>
          <c:explosion val="5"/>
          <c:dPt>
            <c:idx val="0"/>
            <c:bubble3D val="0"/>
            <c:spPr>
              <a:solidFill>
                <a:srgbClr val="99FF3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33AB-48CD-B75F-50E0E4F829FF}"/>
              </c:ext>
            </c:extLst>
          </c:dPt>
          <c:dPt>
            <c:idx val="1"/>
            <c:bubble3D val="0"/>
            <c:spPr>
              <a:solidFill>
                <a:srgbClr val="00B0F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33AB-48CD-B75F-50E0E4F829FF}"/>
              </c:ext>
            </c:extLst>
          </c:dPt>
          <c:dPt>
            <c:idx val="2"/>
            <c:bubble3D val="0"/>
            <c:spPr>
              <a:solidFill>
                <a:srgbClr val="FF33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2-33AB-48CD-B75F-50E0E4F829FF}"/>
              </c:ext>
            </c:extLst>
          </c:dPt>
          <c:dPt>
            <c:idx val="3"/>
            <c:bubble3D val="0"/>
            <c:spPr>
              <a:solidFill>
                <a:schemeClr val="tx2">
                  <a:lumMod val="20000"/>
                  <a:lumOff val="8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CB31-458E-984F-2518A6A397F3}"/>
              </c:ext>
            </c:extLst>
          </c:dPt>
          <c:dLbls>
            <c:dLbl>
              <c:idx val="0"/>
              <c:layout>
                <c:manualLayout>
                  <c:x val="-0.17950268852256016"/>
                  <c:y val="5.1157987809791958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33AB-48CD-B75F-50E0E4F829FF}"/>
                </c:ext>
              </c:extLst>
            </c:dLbl>
            <c:dLbl>
              <c:idx val="1"/>
              <c:layout>
                <c:manualLayout>
                  <c:x val="9.4892337117628567E-2"/>
                  <c:y val="-0.2245342032236447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3AB-48CD-B75F-50E0E4F829FF}"/>
                </c:ext>
              </c:extLst>
            </c:dLbl>
            <c:dLbl>
              <c:idx val="2"/>
              <c:layout>
                <c:manualLayout>
                  <c:x val="0.15605982166697316"/>
                  <c:y val="6.4969099092086049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33AB-48CD-B75F-50E0E4F829FF}"/>
                </c:ext>
              </c:extLst>
            </c:dLbl>
            <c:dLbl>
              <c:idx val="3"/>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6="http://schemas.microsoft.com/office/drawing/2014/chart" uri="{C3380CC4-5D6E-409C-BE32-E72D297353CC}">
                  <c16:uniqueId val="{00000007-CB31-458E-984F-2518A6A397F3}"/>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T4'!$D$27:$D$30</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T4'!$E$27:$E$30</c:f>
              <c:numCache>
                <c:formatCode>0</c:formatCode>
                <c:ptCount val="4"/>
                <c:pt idx="0">
                  <c:v>0</c:v>
                </c:pt>
                <c:pt idx="1">
                  <c:v>0</c:v>
                </c:pt>
                <c:pt idx="2">
                  <c:v>78</c:v>
                </c:pt>
                <c:pt idx="3">
                  <c:v>9</c:v>
                </c:pt>
              </c:numCache>
            </c:numRef>
          </c:val>
          <c:extLst>
            <c:ext xmlns:c16="http://schemas.microsoft.com/office/drawing/2014/chart" uri="{C3380CC4-5D6E-409C-BE32-E72D297353CC}">
              <c16:uniqueId val="{00000000-33AB-48CD-B75F-50E0E4F829FF}"/>
            </c:ext>
          </c:extLst>
        </c:ser>
        <c:ser>
          <c:idx val="1"/>
          <c:order val="1"/>
          <c:tx>
            <c:strRef>
              <c:f>'4.Segto Medición POA 2022 T4'!$F$34</c:f>
              <c:strCache>
                <c:ptCount val="1"/>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094D-4314-9259-011811DE7469}"/>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094D-4314-9259-011811DE7469}"/>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094D-4314-9259-011811DE7469}"/>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F-094D-4314-9259-011811DE7469}"/>
              </c:ext>
            </c:extLst>
          </c:dPt>
          <c:cat>
            <c:strRef>
              <c:f>'4.Segto Medición POA 2022 T4'!$D$27:$D$30</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T4'!$F$56:$F$59</c:f>
              <c:numCache>
                <c:formatCode>0%</c:formatCode>
                <c:ptCount val="4"/>
              </c:numCache>
            </c:numRef>
          </c:val>
          <c:extLst>
            <c:ext xmlns:c16="http://schemas.microsoft.com/office/drawing/2014/chart" uri="{C3380CC4-5D6E-409C-BE32-E72D297353CC}">
              <c16:uniqueId val="{00000008-CB31-458E-984F-2518A6A397F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Cumplimiento Programación - Acumulado</a:t>
            </a:r>
          </a:p>
          <a:p>
            <a:pPr>
              <a:defRPr b="1"/>
            </a:pPr>
            <a:r>
              <a:rPr lang="es-CO" b="1"/>
              <a:t>Corte </a:t>
            </a:r>
            <a:r>
              <a:rPr lang="es-CO" b="1" baseline="0"/>
              <a:t>31/12/2021</a:t>
            </a:r>
            <a:endParaRPr lang="es-CO" b="1"/>
          </a:p>
        </c:rich>
      </c:tx>
      <c:layout>
        <c:manualLayout>
          <c:xMode val="edge"/>
          <c:yMode val="edge"/>
          <c:x val="0.32313872398663868"/>
          <c:y val="1.537070633841938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spPr>
            <a:scene3d>
              <a:camera prst="orthographicFront"/>
              <a:lightRig rig="threePt" dir="t"/>
            </a:scene3d>
            <a:sp3d>
              <a:bevelT/>
              <a:bevelB/>
            </a:sp3d>
          </c:spPr>
          <c:dPt>
            <c:idx val="0"/>
            <c:bubble3D val="0"/>
            <c:spPr>
              <a:solidFill>
                <a:srgbClr val="66FF33"/>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1-1833-467E-BD75-E817C9B4A0F9}"/>
              </c:ext>
            </c:extLst>
          </c:dPt>
          <c:dPt>
            <c:idx val="1"/>
            <c:bubble3D val="0"/>
            <c:spPr>
              <a:solidFill>
                <a:srgbClr val="0099FF"/>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2-1833-467E-BD75-E817C9B4A0F9}"/>
              </c:ext>
            </c:extLst>
          </c:dPt>
          <c:dPt>
            <c:idx val="2"/>
            <c:bubble3D val="0"/>
            <c:spPr>
              <a:solidFill>
                <a:srgbClr val="FF0000"/>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3-1833-467E-BD75-E817C9B4A0F9}"/>
              </c:ext>
            </c:extLst>
          </c:dPt>
          <c:dPt>
            <c:idx val="3"/>
            <c:bubble3D val="0"/>
            <c:spPr>
              <a:solidFill>
                <a:schemeClr val="accent1">
                  <a:lumMod val="40000"/>
                  <a:lumOff val="60000"/>
                </a:schemeClr>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4-1833-467E-BD75-E817C9B4A0F9}"/>
              </c:ext>
            </c:extLst>
          </c:dPt>
          <c:dLbls>
            <c:dLbl>
              <c:idx val="0"/>
              <c:layout>
                <c:manualLayout>
                  <c:x val="-0.16833324031549513"/>
                  <c:y val="-1.0987885403833903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833-467E-BD75-E817C9B4A0F9}"/>
                </c:ext>
              </c:extLst>
            </c:dLbl>
            <c:dLbl>
              <c:idx val="2"/>
              <c:layout>
                <c:manualLayout>
                  <c:x val="5.8297120736036795E-2"/>
                  <c:y val="8.5352549621576679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833-467E-BD75-E817C9B4A0F9}"/>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T4'!$D$56:$D$59</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T4'!$E$56:$E$59</c:f>
              <c:numCache>
                <c:formatCode>0</c:formatCode>
                <c:ptCount val="4"/>
                <c:pt idx="0">
                  <c:v>0</c:v>
                </c:pt>
                <c:pt idx="1">
                  <c:v>1</c:v>
                </c:pt>
                <c:pt idx="2">
                  <c:v>85</c:v>
                </c:pt>
                <c:pt idx="3">
                  <c:v>1</c:v>
                </c:pt>
              </c:numCache>
            </c:numRef>
          </c:val>
          <c:extLst>
            <c:ext xmlns:c16="http://schemas.microsoft.com/office/drawing/2014/chart" uri="{C3380CC4-5D6E-409C-BE32-E72D297353CC}">
              <c16:uniqueId val="{00000000-1833-467E-BD75-E817C9B4A0F9}"/>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9.5125918709015531E-4"/>
          <c:y val="0.8196201271351593"/>
          <c:w val="0.57615093545586937"/>
          <c:h val="0.1636004024807946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a:t>Desempeño Promedio 
Año 2022</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'3.Resum Desemp Procesos POA T1'!$C$8</c:f>
              <c:strCache>
                <c:ptCount val="1"/>
                <c:pt idx="0">
                  <c:v>Desempeño Promedio 
Año 2022</c:v>
                </c:pt>
              </c:strCache>
            </c:strRef>
          </c:tx>
          <c:spPr>
            <a:solidFill>
              <a:srgbClr val="66FF33"/>
            </a:solidFill>
            <a:ln>
              <a:noFill/>
            </a:ln>
            <a:effectLst/>
            <a:scene3d>
              <a:camera prst="orthographicFront"/>
              <a:lightRig rig="threePt" dir="t"/>
            </a:scene3d>
            <a:sp3d>
              <a:bevelT/>
            </a:sp3d>
          </c:spPr>
          <c:invertIfNegative val="0"/>
          <c:dPt>
            <c:idx val="0"/>
            <c:invertIfNegative val="0"/>
            <c:bubble3D val="0"/>
            <c:spPr>
              <a:solidFill>
                <a:srgbClr val="66FF33"/>
              </a:solidFill>
              <a:ln>
                <a:noFill/>
              </a:ln>
              <a:effectLst/>
              <a:scene3d>
                <a:camera prst="orthographicFront"/>
                <a:lightRig rig="threePt" dir="t"/>
              </a:scene3d>
              <a:sp3d>
                <a:bevelT/>
              </a:sp3d>
            </c:spPr>
            <c:extLst>
              <c:ext xmlns:c16="http://schemas.microsoft.com/office/drawing/2014/chart" uri="{C3380CC4-5D6E-409C-BE32-E72D297353CC}">
                <c16:uniqueId val="{00000001-134E-407E-98AF-660206D72788}"/>
              </c:ext>
            </c:extLst>
          </c:dPt>
          <c:dPt>
            <c:idx val="1"/>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3-134E-407E-98AF-660206D72788}"/>
              </c:ext>
            </c:extLst>
          </c:dPt>
          <c:dPt>
            <c:idx val="2"/>
            <c:invertIfNegative val="0"/>
            <c:bubble3D val="0"/>
            <c:spPr>
              <a:solidFill>
                <a:srgbClr val="66FF33"/>
              </a:solidFill>
              <a:ln>
                <a:noFill/>
              </a:ln>
              <a:effectLst/>
              <a:scene3d>
                <a:camera prst="orthographicFront"/>
                <a:lightRig rig="threePt" dir="t"/>
              </a:scene3d>
              <a:sp3d>
                <a:bevelT/>
              </a:sp3d>
            </c:spPr>
            <c:extLst>
              <c:ext xmlns:c16="http://schemas.microsoft.com/office/drawing/2014/chart" uri="{C3380CC4-5D6E-409C-BE32-E72D297353CC}">
                <c16:uniqueId val="{00000005-134E-407E-98AF-660206D72788}"/>
              </c:ext>
            </c:extLst>
          </c:dPt>
          <c:dPt>
            <c:idx val="3"/>
            <c:invertIfNegative val="0"/>
            <c:bubble3D val="0"/>
            <c:spPr>
              <a:solidFill>
                <a:srgbClr val="66FF33"/>
              </a:solidFill>
              <a:ln>
                <a:noFill/>
              </a:ln>
              <a:effectLst/>
              <a:scene3d>
                <a:camera prst="orthographicFront"/>
                <a:lightRig rig="threePt" dir="t"/>
              </a:scene3d>
              <a:sp3d>
                <a:bevelT/>
              </a:sp3d>
            </c:spPr>
            <c:extLst>
              <c:ext xmlns:c16="http://schemas.microsoft.com/office/drawing/2014/chart" uri="{C3380CC4-5D6E-409C-BE32-E72D297353CC}">
                <c16:uniqueId val="{00000007-134E-407E-98AF-660206D72788}"/>
              </c:ext>
            </c:extLst>
          </c:dPt>
          <c:dPt>
            <c:idx val="4"/>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9-134E-407E-98AF-660206D72788}"/>
              </c:ext>
            </c:extLst>
          </c:dPt>
          <c:dPt>
            <c:idx val="5"/>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B-134E-407E-98AF-660206D72788}"/>
              </c:ext>
            </c:extLst>
          </c:dPt>
          <c:dPt>
            <c:idx val="6"/>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D-134E-407E-98AF-660206D72788}"/>
              </c:ext>
            </c:extLst>
          </c:dPt>
          <c:dPt>
            <c:idx val="7"/>
            <c:invertIfNegative val="0"/>
            <c:bubble3D val="0"/>
            <c:spPr>
              <a:solidFill>
                <a:srgbClr val="66FF33"/>
              </a:solidFill>
              <a:ln>
                <a:noFill/>
              </a:ln>
              <a:effectLst/>
              <a:scene3d>
                <a:camera prst="orthographicFront"/>
                <a:lightRig rig="threePt" dir="t"/>
              </a:scene3d>
              <a:sp3d>
                <a:bevelT/>
              </a:sp3d>
            </c:spPr>
            <c:extLst>
              <c:ext xmlns:c16="http://schemas.microsoft.com/office/drawing/2014/chart" uri="{C3380CC4-5D6E-409C-BE32-E72D297353CC}">
                <c16:uniqueId val="{0000000F-134E-407E-98AF-660206D72788}"/>
              </c:ext>
            </c:extLst>
          </c:dPt>
          <c:dPt>
            <c:idx val="8"/>
            <c:invertIfNegative val="0"/>
            <c:bubble3D val="0"/>
            <c:spPr>
              <a:solidFill>
                <a:srgbClr val="66FF33"/>
              </a:solidFill>
              <a:ln>
                <a:noFill/>
              </a:ln>
              <a:effectLst/>
              <a:scene3d>
                <a:camera prst="orthographicFront"/>
                <a:lightRig rig="threePt" dir="t"/>
              </a:scene3d>
              <a:sp3d>
                <a:bevelT/>
              </a:sp3d>
            </c:spPr>
            <c:extLst>
              <c:ext xmlns:c16="http://schemas.microsoft.com/office/drawing/2014/chart" uri="{C3380CC4-5D6E-409C-BE32-E72D297353CC}">
                <c16:uniqueId val="{00000011-134E-407E-98AF-660206D72788}"/>
              </c:ext>
            </c:extLst>
          </c:dPt>
          <c:dPt>
            <c:idx val="9"/>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13-134E-407E-98AF-660206D72788}"/>
              </c:ext>
            </c:extLst>
          </c:dPt>
          <c:dPt>
            <c:idx val="10"/>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15-134E-407E-98AF-660206D72788}"/>
              </c:ext>
            </c:extLst>
          </c:dPt>
          <c:dPt>
            <c:idx val="11"/>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17-134E-407E-98AF-660206D72788}"/>
              </c:ext>
            </c:extLst>
          </c:dPt>
          <c:dPt>
            <c:idx val="12"/>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19-134E-407E-98AF-660206D72788}"/>
              </c:ext>
            </c:extLst>
          </c:dPt>
          <c:dPt>
            <c:idx val="13"/>
            <c:invertIfNegative val="0"/>
            <c:bubble3D val="0"/>
            <c:spPr>
              <a:solidFill>
                <a:srgbClr val="66FF33"/>
              </a:solidFill>
              <a:ln>
                <a:noFill/>
              </a:ln>
              <a:effectLst/>
              <a:scene3d>
                <a:camera prst="orthographicFront"/>
                <a:lightRig rig="threePt" dir="t"/>
              </a:scene3d>
              <a:sp3d>
                <a:bevelT/>
              </a:sp3d>
            </c:spPr>
            <c:extLst>
              <c:ext xmlns:c16="http://schemas.microsoft.com/office/drawing/2014/chart" uri="{C3380CC4-5D6E-409C-BE32-E72D297353CC}">
                <c16:uniqueId val="{0000001B-134E-407E-98AF-660206D72788}"/>
              </c:ext>
            </c:extLst>
          </c:dPt>
          <c:dPt>
            <c:idx val="14"/>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1D-134E-407E-98AF-660206D72788}"/>
              </c:ext>
            </c:extLst>
          </c:dPt>
          <c:dPt>
            <c:idx val="15"/>
            <c:invertIfNegative val="0"/>
            <c:bubble3D val="0"/>
            <c:spPr>
              <a:solidFill>
                <a:srgbClr val="66FF33"/>
              </a:solidFill>
              <a:ln>
                <a:noFill/>
              </a:ln>
              <a:effectLst/>
              <a:scene3d>
                <a:camera prst="orthographicFront"/>
                <a:lightRig rig="threePt" dir="t"/>
              </a:scene3d>
              <a:sp3d>
                <a:bevelT/>
              </a:sp3d>
            </c:spPr>
            <c:extLst>
              <c:ext xmlns:c16="http://schemas.microsoft.com/office/drawing/2014/chart" uri="{C3380CC4-5D6E-409C-BE32-E72D297353CC}">
                <c16:uniqueId val="{0000001F-134E-407E-98AF-660206D7278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'3.Resum Desemp Procesos POA T1'!$B$9:$B$24</c:f>
              <c:strCache>
                <c:ptCount val="16"/>
                <c:pt idx="0">
                  <c:v>01 Direccionamiento Estratégico</c:v>
                </c:pt>
                <c:pt idx="1">
                  <c:v>02 Gestión del Conocimiento e Innovación</c:v>
                </c:pt>
                <c:pt idx="2">
                  <c:v>03 Direccionamiento TIC</c:v>
                </c:pt>
                <c:pt idx="3">
                  <c:v>04 Comunicación Estratégica</c:v>
                </c:pt>
                <c:pt idx="4">
                  <c:v>14 Servicio al Usuario</c:v>
                </c:pt>
                <c:pt idx="5">
                  <c:v>05 Promoción y Defensa de Derechos</c:v>
                </c:pt>
                <c:pt idx="6">
                  <c:v>06 Prevención y Control de la Función Pública</c:v>
                </c:pt>
                <c:pt idx="7">
                  <c:v>07 Potestad Disciplinaria</c:v>
                </c:pt>
                <c:pt idx="8">
                  <c:v>08 Gestión del Talento Humano</c:v>
                </c:pt>
                <c:pt idx="9">
                  <c:v>09 Gestión Administrativa</c:v>
                </c:pt>
                <c:pt idx="10">
                  <c:v>10 Gestión Financiera</c:v>
                </c:pt>
                <c:pt idx="11">
                  <c:v>11 Gestión Contractual</c:v>
                </c:pt>
                <c:pt idx="12">
                  <c:v>12 Gestión Documental</c:v>
                </c:pt>
                <c:pt idx="13">
                  <c:v>13 Gestión Jurídica</c:v>
                </c:pt>
                <c:pt idx="14">
                  <c:v>15 Control Disciplinario Interno</c:v>
                </c:pt>
                <c:pt idx="15">
                  <c:v>16 Evaluación y Seguimiento</c:v>
                </c:pt>
              </c:strCache>
            </c:strRef>
          </c:cat>
          <c:val>
            <c:numRef>
              <c:f>'3.Resum Desemp Procesos POA T1'!$C$9:$C$24</c:f>
              <c:numCache>
                <c:formatCode>0.0%</c:formatCode>
                <c:ptCount val="16"/>
                <c:pt idx="0">
                  <c:v>0.30107142857142855</c:v>
                </c:pt>
                <c:pt idx="1">
                  <c:v>5.921052631578947E-2</c:v>
                </c:pt>
                <c:pt idx="2">
                  <c:v>0.17500000000000002</c:v>
                </c:pt>
                <c:pt idx="3">
                  <c:v>0.25</c:v>
                </c:pt>
                <c:pt idx="4">
                  <c:v>0.19990740740740742</c:v>
                </c:pt>
                <c:pt idx="5">
                  <c:v>0.22424580472203703</c:v>
                </c:pt>
                <c:pt idx="6">
                  <c:v>0.11701830507800658</c:v>
                </c:pt>
                <c:pt idx="7">
                  <c:v>0.14054166666666668</c:v>
                </c:pt>
                <c:pt idx="8">
                  <c:v>0.30672285820578232</c:v>
                </c:pt>
                <c:pt idx="9">
                  <c:v>0.26576460481099656</c:v>
                </c:pt>
                <c:pt idx="10">
                  <c:v>0.22459649122807021</c:v>
                </c:pt>
                <c:pt idx="11">
                  <c:v>0.31874999999999998</c:v>
                </c:pt>
                <c:pt idx="12">
                  <c:v>0.24320339912280703</c:v>
                </c:pt>
                <c:pt idx="13">
                  <c:v>0.25</c:v>
                </c:pt>
                <c:pt idx="14">
                  <c:v>0.51666666666666672</c:v>
                </c:pt>
                <c:pt idx="15">
                  <c:v>0.11666666666666665</c:v>
                </c:pt>
              </c:numCache>
            </c:numRef>
          </c:val>
          <c:extLst>
            <c:ext xmlns:c16="http://schemas.microsoft.com/office/drawing/2014/chart" uri="{C3380CC4-5D6E-409C-BE32-E72D297353CC}">
              <c16:uniqueId val="{00000020-134E-407E-98AF-660206D72788}"/>
            </c:ext>
          </c:extLst>
        </c:ser>
        <c:dLbls>
          <c:showLegendKey val="0"/>
          <c:showVal val="0"/>
          <c:showCatName val="0"/>
          <c:showSerName val="0"/>
          <c:showPercent val="0"/>
          <c:showBubbleSize val="0"/>
        </c:dLbls>
        <c:gapWidth val="182"/>
        <c:axId val="1940987215"/>
        <c:axId val="1940987631"/>
      </c:barChart>
      <c:catAx>
        <c:axId val="194098721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40987631"/>
        <c:crosses val="autoZero"/>
        <c:auto val="1"/>
        <c:lblAlgn val="ctr"/>
        <c:lblOffset val="100"/>
        <c:noMultiLvlLbl val="0"/>
      </c:catAx>
      <c:valAx>
        <c:axId val="1940987631"/>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4098721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kumimoji="0" lang="es-CO" sz="1400" b="1" i="0" u="none" strike="noStrike" kern="1200" cap="none" spc="0" normalizeH="0" baseline="0" noProof="0">
                <a:ln>
                  <a:noFill/>
                </a:ln>
                <a:solidFill>
                  <a:sysClr val="windowText" lastClr="000000">
                    <a:lumMod val="65000"/>
                    <a:lumOff val="35000"/>
                  </a:sysClr>
                </a:solidFill>
                <a:effectLst/>
                <a:uLnTx/>
                <a:uFillTx/>
                <a:latin typeface="Calibri" panose="020F0502020204030204"/>
              </a:rPr>
              <a:t>Porcentaje de Participación </a:t>
            </a:r>
          </a:p>
          <a:p>
            <a:pPr>
              <a:defRPr b="1"/>
            </a:pPr>
            <a:r>
              <a:rPr kumimoji="0" lang="es-CO" sz="1400" b="1" i="0" u="none" strike="noStrike" kern="1200" cap="none" spc="0" normalizeH="0" baseline="0" noProof="0">
                <a:ln>
                  <a:noFill/>
                </a:ln>
                <a:solidFill>
                  <a:sysClr val="windowText" lastClr="000000">
                    <a:lumMod val="65000"/>
                    <a:lumOff val="35000"/>
                  </a:sysClr>
                </a:solidFill>
                <a:effectLst/>
                <a:uLnTx/>
                <a:uFillTx/>
                <a:latin typeface="Calibri" panose="020F0502020204030204"/>
              </a:rPr>
              <a:t>por Tipo de Proceso</a:t>
            </a:r>
          </a:p>
        </c:rich>
      </c:tx>
      <c:layout>
        <c:manualLayout>
          <c:xMode val="edge"/>
          <c:yMode val="edge"/>
          <c:x val="0.61884057875707421"/>
          <c:y val="0.15172272387436658"/>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4.0438244763823947E-2"/>
          <c:y val="5.7542947588286597E-2"/>
          <c:w val="0.53514791160026243"/>
          <c:h val="0.90435328362592016"/>
        </c:manualLayout>
      </c:layout>
      <c:doughnutChart>
        <c:varyColors val="1"/>
        <c:ser>
          <c:idx val="0"/>
          <c:order val="0"/>
          <c:spPr>
            <a:scene3d>
              <a:camera prst="orthographicFront"/>
              <a:lightRig rig="threePt" dir="t"/>
            </a:scene3d>
            <a:sp3d>
              <a:bevelT/>
            </a:sp3d>
          </c:spPr>
          <c:dPt>
            <c:idx val="0"/>
            <c:bubble3D val="0"/>
            <c:spPr>
              <a:solidFill>
                <a:srgbClr val="00B0F0"/>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1-3805-44E0-82E3-37660BC3CA80}"/>
              </c:ext>
            </c:extLst>
          </c:dPt>
          <c:dPt>
            <c:idx val="1"/>
            <c:bubble3D val="0"/>
            <c:spPr>
              <a:solidFill>
                <a:schemeClr val="accent6">
                  <a:lumMod val="75000"/>
                </a:schemeClr>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3-3805-44E0-82E3-37660BC3CA80}"/>
              </c:ext>
            </c:extLst>
          </c:dPt>
          <c:dPt>
            <c:idx val="2"/>
            <c:bubble3D val="0"/>
            <c:spPr>
              <a:solidFill>
                <a:srgbClr val="00B050"/>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5-3805-44E0-82E3-37660BC3CA80}"/>
              </c:ext>
            </c:extLst>
          </c:dPt>
          <c:dPt>
            <c:idx val="3"/>
            <c:bubble3D val="0"/>
            <c:spPr>
              <a:solidFill>
                <a:srgbClr val="FFCC00"/>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7-3805-44E0-82E3-37660BC3CA80}"/>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'3.Resum Desemp Procesos POA T1'!$B$30:$B$33</c:f>
              <c:strCache>
                <c:ptCount val="4"/>
                <c:pt idx="0">
                  <c:v>Procesos Estratégicos </c:v>
                </c:pt>
                <c:pt idx="1">
                  <c:v>Procesos Misionales </c:v>
                </c:pt>
                <c:pt idx="2">
                  <c:v>Procesos Apoyo </c:v>
                </c:pt>
                <c:pt idx="3">
                  <c:v>Procesos de Evaluación, Seguimiento y Control</c:v>
                </c:pt>
              </c:strCache>
            </c:strRef>
          </c:cat>
          <c:val>
            <c:numRef>
              <c:f>'3.Resum Desemp Procesos POA T1'!$C$30:$C$33</c:f>
              <c:numCache>
                <c:formatCode>0</c:formatCode>
                <c:ptCount val="4"/>
                <c:pt idx="0">
                  <c:v>20</c:v>
                </c:pt>
                <c:pt idx="1">
                  <c:v>35</c:v>
                </c:pt>
                <c:pt idx="2">
                  <c:v>26</c:v>
                </c:pt>
                <c:pt idx="3">
                  <c:v>6</c:v>
                </c:pt>
              </c:numCache>
            </c:numRef>
          </c:val>
          <c:extLst>
            <c:ext xmlns:c16="http://schemas.microsoft.com/office/drawing/2014/chart" uri="{C3380CC4-5D6E-409C-BE32-E72D297353CC}">
              <c16:uniqueId val="{00000008-3805-44E0-82E3-37660BC3CA80}"/>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layout>
        <c:manualLayout>
          <c:xMode val="edge"/>
          <c:yMode val="edge"/>
          <c:x val="0.66866588234675184"/>
          <c:y val="0.38070957114506621"/>
          <c:w val="0.30537343374401005"/>
          <c:h val="0.4040558670796695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22776486098742529"/>
          <c:y val="7.3490691159390137E-2"/>
          <c:w val="0.50204833805241578"/>
          <c:h val="0.67930200655359141"/>
        </c:manualLayout>
      </c:layout>
      <c:pieChart>
        <c:varyColors val="1"/>
        <c:ser>
          <c:idx val="0"/>
          <c:order val="0"/>
          <c:tx>
            <c:strRef>
              <c:f>'4.Segto Medición POA 2022 T4'!$E$34</c:f>
              <c:strCache>
                <c:ptCount val="1"/>
              </c:strCache>
            </c:strRef>
          </c:tx>
          <c:explosion val="5"/>
          <c:dPt>
            <c:idx val="0"/>
            <c:bubble3D val="0"/>
            <c:spPr>
              <a:solidFill>
                <a:srgbClr val="99FF3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7D7C-4746-9A4C-8A612452A573}"/>
              </c:ext>
            </c:extLst>
          </c:dPt>
          <c:dPt>
            <c:idx val="1"/>
            <c:bubble3D val="0"/>
            <c:spPr>
              <a:solidFill>
                <a:srgbClr val="00B0F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7D7C-4746-9A4C-8A612452A573}"/>
              </c:ext>
            </c:extLst>
          </c:dPt>
          <c:dPt>
            <c:idx val="2"/>
            <c:bubble3D val="0"/>
            <c:spPr>
              <a:solidFill>
                <a:srgbClr val="FF33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7D7C-4746-9A4C-8A612452A573}"/>
              </c:ext>
            </c:extLst>
          </c:dPt>
          <c:dPt>
            <c:idx val="3"/>
            <c:bubble3D val="0"/>
            <c:spPr>
              <a:solidFill>
                <a:schemeClr val="tx2">
                  <a:lumMod val="20000"/>
                  <a:lumOff val="8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7D7C-4746-9A4C-8A612452A573}"/>
              </c:ext>
            </c:extLst>
          </c:dPt>
          <c:dLbls>
            <c:dLbl>
              <c:idx val="0"/>
              <c:layout>
                <c:manualLayout>
                  <c:x val="-0.17950268852256016"/>
                  <c:y val="5.1157987809791958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D7C-4746-9A4C-8A612452A573}"/>
                </c:ext>
              </c:extLst>
            </c:dLbl>
            <c:dLbl>
              <c:idx val="1"/>
              <c:layout>
                <c:manualLayout>
                  <c:x val="9.4892337117628567E-2"/>
                  <c:y val="-0.2245342032236447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D7C-4746-9A4C-8A612452A573}"/>
                </c:ext>
              </c:extLst>
            </c:dLbl>
            <c:dLbl>
              <c:idx val="2"/>
              <c:layout>
                <c:manualLayout>
                  <c:x val="0.15605982166697316"/>
                  <c:y val="6.4969099092086049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D7C-4746-9A4C-8A612452A573}"/>
                </c:ext>
              </c:extLst>
            </c:dLbl>
            <c:dLbl>
              <c:idx val="3"/>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6="http://schemas.microsoft.com/office/drawing/2014/chart" uri="{C3380CC4-5D6E-409C-BE32-E72D297353CC}">
                  <c16:uniqueId val="{00000007-7D7C-4746-9A4C-8A612452A573}"/>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T4'!$D$27:$D$30</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T4'!$E$27:$E$30</c:f>
              <c:numCache>
                <c:formatCode>0</c:formatCode>
                <c:ptCount val="4"/>
                <c:pt idx="0">
                  <c:v>0</c:v>
                </c:pt>
                <c:pt idx="1">
                  <c:v>0</c:v>
                </c:pt>
                <c:pt idx="2">
                  <c:v>78</c:v>
                </c:pt>
                <c:pt idx="3">
                  <c:v>9</c:v>
                </c:pt>
              </c:numCache>
            </c:numRef>
          </c:val>
          <c:extLst>
            <c:ext xmlns:c16="http://schemas.microsoft.com/office/drawing/2014/chart" uri="{C3380CC4-5D6E-409C-BE32-E72D297353CC}">
              <c16:uniqueId val="{00000008-7D7C-4746-9A4C-8A612452A573}"/>
            </c:ext>
          </c:extLst>
        </c:ser>
        <c:ser>
          <c:idx val="1"/>
          <c:order val="1"/>
          <c:tx>
            <c:strRef>
              <c:f>'4.Segto Medición POA 2022 T4'!$F$34</c:f>
              <c:strCache>
                <c:ptCount val="1"/>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7D7C-4746-9A4C-8A612452A573}"/>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C-7D7C-4746-9A4C-8A612452A573}"/>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E-7D7C-4746-9A4C-8A612452A573}"/>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0-7D7C-4746-9A4C-8A612452A573}"/>
              </c:ext>
            </c:extLst>
          </c:dPt>
          <c:cat>
            <c:strRef>
              <c:f>'4.Segto Medición POA 2022 T4'!$D$27:$D$30</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T4'!$F$56:$F$59</c:f>
              <c:numCache>
                <c:formatCode>0%</c:formatCode>
                <c:ptCount val="4"/>
              </c:numCache>
            </c:numRef>
          </c:val>
          <c:extLst>
            <c:ext xmlns:c16="http://schemas.microsoft.com/office/drawing/2014/chart" uri="{C3380CC4-5D6E-409C-BE32-E72D297353CC}">
              <c16:uniqueId val="{00000011-7D7C-4746-9A4C-8A612452A57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Cumplimiento Programación - Acumulado</a:t>
            </a:r>
          </a:p>
          <a:p>
            <a:pPr>
              <a:defRPr b="1"/>
            </a:pPr>
            <a:r>
              <a:rPr lang="es-CO" b="1"/>
              <a:t>Corte </a:t>
            </a:r>
            <a:r>
              <a:rPr lang="es-CO" b="1" baseline="0"/>
              <a:t>31/12/2021</a:t>
            </a:r>
            <a:endParaRPr lang="es-CO" b="1"/>
          </a:p>
        </c:rich>
      </c:tx>
      <c:layout>
        <c:manualLayout>
          <c:xMode val="edge"/>
          <c:yMode val="edge"/>
          <c:x val="0.32313872398663868"/>
          <c:y val="1.537070633841938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spPr>
            <a:scene3d>
              <a:camera prst="orthographicFront"/>
              <a:lightRig rig="threePt" dir="t"/>
            </a:scene3d>
            <a:sp3d>
              <a:bevelT/>
              <a:bevelB/>
            </a:sp3d>
          </c:spPr>
          <c:dPt>
            <c:idx val="0"/>
            <c:bubble3D val="0"/>
            <c:spPr>
              <a:solidFill>
                <a:srgbClr val="66FF33"/>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1-528D-46F2-949C-B6E2137A0777}"/>
              </c:ext>
            </c:extLst>
          </c:dPt>
          <c:dPt>
            <c:idx val="1"/>
            <c:bubble3D val="0"/>
            <c:spPr>
              <a:solidFill>
                <a:srgbClr val="0099FF"/>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3-528D-46F2-949C-B6E2137A0777}"/>
              </c:ext>
            </c:extLst>
          </c:dPt>
          <c:dPt>
            <c:idx val="2"/>
            <c:bubble3D val="0"/>
            <c:spPr>
              <a:solidFill>
                <a:srgbClr val="FF0000"/>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5-528D-46F2-949C-B6E2137A0777}"/>
              </c:ext>
            </c:extLst>
          </c:dPt>
          <c:dPt>
            <c:idx val="3"/>
            <c:bubble3D val="0"/>
            <c:spPr>
              <a:solidFill>
                <a:schemeClr val="accent1">
                  <a:lumMod val="40000"/>
                  <a:lumOff val="60000"/>
                </a:schemeClr>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7-528D-46F2-949C-B6E2137A0777}"/>
              </c:ext>
            </c:extLst>
          </c:dPt>
          <c:dLbls>
            <c:dLbl>
              <c:idx val="0"/>
              <c:layout>
                <c:manualLayout>
                  <c:x val="-0.16833324031549513"/>
                  <c:y val="-1.0987885403833903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28D-46F2-949C-B6E2137A0777}"/>
                </c:ext>
              </c:extLst>
            </c:dLbl>
            <c:dLbl>
              <c:idx val="2"/>
              <c:layout>
                <c:manualLayout>
                  <c:x val="5.8297120736036795E-2"/>
                  <c:y val="8.5352549621576679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28D-46F2-949C-B6E2137A0777}"/>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T4'!$D$56:$D$59</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T4'!$E$56:$E$59</c:f>
              <c:numCache>
                <c:formatCode>0</c:formatCode>
                <c:ptCount val="4"/>
                <c:pt idx="0">
                  <c:v>0</c:v>
                </c:pt>
                <c:pt idx="1">
                  <c:v>1</c:v>
                </c:pt>
                <c:pt idx="2">
                  <c:v>85</c:v>
                </c:pt>
                <c:pt idx="3">
                  <c:v>1</c:v>
                </c:pt>
              </c:numCache>
            </c:numRef>
          </c:val>
          <c:extLst>
            <c:ext xmlns:c16="http://schemas.microsoft.com/office/drawing/2014/chart" uri="{C3380CC4-5D6E-409C-BE32-E72D297353CC}">
              <c16:uniqueId val="{00000008-528D-46F2-949C-B6E2137A0777}"/>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9.5125918709015531E-4"/>
          <c:y val="0.8196201271351593"/>
          <c:w val="0.57615093545586937"/>
          <c:h val="0.1636004024807946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22776486098742529"/>
          <c:y val="7.3490691159390137E-2"/>
          <c:w val="0.50204833805241578"/>
          <c:h val="0.67930200655359141"/>
        </c:manualLayout>
      </c:layout>
      <c:pieChart>
        <c:varyColors val="1"/>
        <c:ser>
          <c:idx val="0"/>
          <c:order val="0"/>
          <c:tx>
            <c:strRef>
              <c:f>'4.Segto Medición POA 2022 T2'!$E$34</c:f>
              <c:strCache>
                <c:ptCount val="1"/>
              </c:strCache>
            </c:strRef>
          </c:tx>
          <c:explosion val="5"/>
          <c:dPt>
            <c:idx val="0"/>
            <c:bubble3D val="0"/>
            <c:spPr>
              <a:solidFill>
                <a:srgbClr val="99FF3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0927-49BD-A3D8-1688224A3110}"/>
              </c:ext>
            </c:extLst>
          </c:dPt>
          <c:dPt>
            <c:idx val="1"/>
            <c:bubble3D val="0"/>
            <c:spPr>
              <a:solidFill>
                <a:srgbClr val="00B0F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0927-49BD-A3D8-1688224A3110}"/>
              </c:ext>
            </c:extLst>
          </c:dPt>
          <c:dPt>
            <c:idx val="2"/>
            <c:bubble3D val="0"/>
            <c:spPr>
              <a:solidFill>
                <a:srgbClr val="FF33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0927-49BD-A3D8-1688224A3110}"/>
              </c:ext>
            </c:extLst>
          </c:dPt>
          <c:dPt>
            <c:idx val="3"/>
            <c:bubble3D val="0"/>
            <c:spPr>
              <a:solidFill>
                <a:schemeClr val="tx2">
                  <a:lumMod val="20000"/>
                  <a:lumOff val="8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0927-49BD-A3D8-1688224A3110}"/>
              </c:ext>
            </c:extLst>
          </c:dPt>
          <c:dLbls>
            <c:dLbl>
              <c:idx val="0"/>
              <c:layout>
                <c:manualLayout>
                  <c:x val="-0.16876791945038003"/>
                  <c:y val="8.9483287654106722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927-49BD-A3D8-1688224A3110}"/>
                </c:ext>
              </c:extLst>
            </c:dLbl>
            <c:dLbl>
              <c:idx val="1"/>
              <c:layout>
                <c:manualLayout>
                  <c:x val="3.0483689919125721E-2"/>
                  <c:y val="-0.1807338925490948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927-49BD-A3D8-1688224A3110}"/>
                </c:ext>
              </c:extLst>
            </c:dLbl>
            <c:dLbl>
              <c:idx val="2"/>
              <c:layout>
                <c:manualLayout>
                  <c:x val="0.15176591111952611"/>
                  <c:y val="2.0061497208053122E-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927-49BD-A3D8-1688224A3110}"/>
                </c:ext>
              </c:extLst>
            </c:dLbl>
            <c:dLbl>
              <c:idx val="3"/>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6="http://schemas.microsoft.com/office/drawing/2014/chart" uri="{C3380CC4-5D6E-409C-BE32-E72D297353CC}">
                  <c16:uniqueId val="{00000007-0927-49BD-A3D8-1688224A3110}"/>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T2'!$D$27:$D$30</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T2'!$E$27:$E$30</c:f>
              <c:numCache>
                <c:formatCode>0</c:formatCode>
                <c:ptCount val="4"/>
                <c:pt idx="0">
                  <c:v>0</c:v>
                </c:pt>
                <c:pt idx="1">
                  <c:v>0</c:v>
                </c:pt>
                <c:pt idx="2">
                  <c:v>74</c:v>
                </c:pt>
                <c:pt idx="3">
                  <c:v>13</c:v>
                </c:pt>
              </c:numCache>
            </c:numRef>
          </c:val>
          <c:extLst>
            <c:ext xmlns:c16="http://schemas.microsoft.com/office/drawing/2014/chart" uri="{C3380CC4-5D6E-409C-BE32-E72D297353CC}">
              <c16:uniqueId val="{00000008-0927-49BD-A3D8-1688224A3110}"/>
            </c:ext>
          </c:extLst>
        </c:ser>
        <c:ser>
          <c:idx val="1"/>
          <c:order val="1"/>
          <c:tx>
            <c:strRef>
              <c:f>'4.Segto Medición POA 2022 T4'!$F$34</c:f>
              <c:strCache>
                <c:ptCount val="1"/>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0927-49BD-A3D8-1688224A3110}"/>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C-0927-49BD-A3D8-1688224A3110}"/>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E-0927-49BD-A3D8-1688224A3110}"/>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0-0927-49BD-A3D8-1688224A3110}"/>
              </c:ext>
            </c:extLst>
          </c:dPt>
          <c:cat>
            <c:strRef>
              <c:f>'4.Segto Medición POA 2022 T2'!$D$27:$D$30</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T4'!$F$56:$F$59</c:f>
              <c:numCache>
                <c:formatCode>0%</c:formatCode>
                <c:ptCount val="4"/>
              </c:numCache>
            </c:numRef>
          </c:val>
          <c:extLst>
            <c:ext xmlns:c16="http://schemas.microsoft.com/office/drawing/2014/chart" uri="{C3380CC4-5D6E-409C-BE32-E72D297353CC}">
              <c16:uniqueId val="{00000011-0927-49BD-A3D8-1688224A311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Cumplimiento Programación - Acumulado</a:t>
            </a:r>
          </a:p>
          <a:p>
            <a:pPr>
              <a:defRPr b="1"/>
            </a:pPr>
            <a:r>
              <a:rPr lang="es-CO" b="1"/>
              <a:t>Corte </a:t>
            </a:r>
            <a:r>
              <a:rPr lang="es-CO" b="1" baseline="0"/>
              <a:t>30/06/2022</a:t>
            </a:r>
            <a:endParaRPr lang="es-CO" b="1"/>
          </a:p>
        </c:rich>
      </c:tx>
      <c:layout>
        <c:manualLayout>
          <c:xMode val="edge"/>
          <c:yMode val="edge"/>
          <c:x val="0.32313872398663868"/>
          <c:y val="1.537070633841938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spPr>
            <a:scene3d>
              <a:camera prst="orthographicFront"/>
              <a:lightRig rig="threePt" dir="t"/>
            </a:scene3d>
            <a:sp3d>
              <a:bevelT/>
              <a:bevelB/>
            </a:sp3d>
          </c:spPr>
          <c:dPt>
            <c:idx val="0"/>
            <c:bubble3D val="0"/>
            <c:spPr>
              <a:solidFill>
                <a:srgbClr val="66FF33"/>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1-D4DA-4F71-836D-12569E6B6243}"/>
              </c:ext>
            </c:extLst>
          </c:dPt>
          <c:dPt>
            <c:idx val="1"/>
            <c:bubble3D val="0"/>
            <c:spPr>
              <a:solidFill>
                <a:srgbClr val="0099FF"/>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3-D4DA-4F71-836D-12569E6B6243}"/>
              </c:ext>
            </c:extLst>
          </c:dPt>
          <c:dPt>
            <c:idx val="2"/>
            <c:bubble3D val="0"/>
            <c:spPr>
              <a:solidFill>
                <a:srgbClr val="FF0000"/>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5-D4DA-4F71-836D-12569E6B6243}"/>
              </c:ext>
            </c:extLst>
          </c:dPt>
          <c:dPt>
            <c:idx val="3"/>
            <c:bubble3D val="0"/>
            <c:spPr>
              <a:solidFill>
                <a:schemeClr val="accent1">
                  <a:lumMod val="40000"/>
                  <a:lumOff val="60000"/>
                </a:schemeClr>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7-D4DA-4F71-836D-12569E6B6243}"/>
              </c:ext>
            </c:extLst>
          </c:dPt>
          <c:dLbls>
            <c:dLbl>
              <c:idx val="0"/>
              <c:layout>
                <c:manualLayout>
                  <c:x val="-0.16833324031549513"/>
                  <c:y val="-1.0987885403833903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4DA-4F71-836D-12569E6B6243}"/>
                </c:ext>
              </c:extLst>
            </c:dLbl>
            <c:dLbl>
              <c:idx val="1"/>
              <c:layout>
                <c:manualLayout>
                  <c:x val="4.4309321102575662E-2"/>
                  <c:y val="-0.145414860809255"/>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4DA-4F71-836D-12569E6B6243}"/>
                </c:ext>
              </c:extLst>
            </c:dLbl>
            <c:dLbl>
              <c:idx val="2"/>
              <c:layout>
                <c:manualLayout>
                  <c:x val="0.13258482141486183"/>
                  <c:y val="1.6783809831916944E-3"/>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4DA-4F71-836D-12569E6B6243}"/>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T2'!$D$56:$D$59</c:f>
              <c:strCache>
                <c:ptCount val="4"/>
                <c:pt idx="0">
                  <c:v>No de Indicadores con Meta Cumplida según progrLación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T2'!$E$56:$E$59</c:f>
              <c:numCache>
                <c:formatCode>0</c:formatCode>
                <c:ptCount val="4"/>
                <c:pt idx="0">
                  <c:v>1</c:v>
                </c:pt>
                <c:pt idx="1">
                  <c:v>5</c:v>
                </c:pt>
                <c:pt idx="2">
                  <c:v>71</c:v>
                </c:pt>
                <c:pt idx="3">
                  <c:v>10</c:v>
                </c:pt>
              </c:numCache>
            </c:numRef>
          </c:val>
          <c:extLst>
            <c:ext xmlns:c16="http://schemas.microsoft.com/office/drawing/2014/chart" uri="{C3380CC4-5D6E-409C-BE32-E72D297353CC}">
              <c16:uniqueId val="{00000008-D4DA-4F71-836D-12569E6B6243}"/>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9.5125918709015531E-4"/>
          <c:y val="0.8196201271351593"/>
          <c:w val="0.57615093545586937"/>
          <c:h val="0.1636004024807946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22776486098742529"/>
          <c:y val="7.3490691159390137E-2"/>
          <c:w val="0.50204833805241578"/>
          <c:h val="0.67930200655359141"/>
        </c:manualLayout>
      </c:layout>
      <c:pieChart>
        <c:varyColors val="1"/>
        <c:ser>
          <c:idx val="0"/>
          <c:order val="0"/>
          <c:tx>
            <c:strRef>
              <c:f>'4.Segto Medición POA 2022 T4'!$E$34</c:f>
              <c:strCache>
                <c:ptCount val="1"/>
              </c:strCache>
            </c:strRef>
          </c:tx>
          <c:explosion val="5"/>
          <c:dPt>
            <c:idx val="0"/>
            <c:bubble3D val="0"/>
            <c:spPr>
              <a:solidFill>
                <a:srgbClr val="99FF3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9AB6-4E6E-B858-2A13B7589467}"/>
              </c:ext>
            </c:extLst>
          </c:dPt>
          <c:dPt>
            <c:idx val="1"/>
            <c:bubble3D val="0"/>
            <c:spPr>
              <a:solidFill>
                <a:srgbClr val="00B0F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9AB6-4E6E-B858-2A13B7589467}"/>
              </c:ext>
            </c:extLst>
          </c:dPt>
          <c:dPt>
            <c:idx val="2"/>
            <c:bubble3D val="0"/>
            <c:spPr>
              <a:solidFill>
                <a:srgbClr val="FF33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9AB6-4E6E-B858-2A13B7589467}"/>
              </c:ext>
            </c:extLst>
          </c:dPt>
          <c:dPt>
            <c:idx val="3"/>
            <c:bubble3D val="0"/>
            <c:spPr>
              <a:solidFill>
                <a:schemeClr val="tx2">
                  <a:lumMod val="20000"/>
                  <a:lumOff val="8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9AB6-4E6E-B858-2A13B7589467}"/>
              </c:ext>
            </c:extLst>
          </c:dPt>
          <c:dLbls>
            <c:dLbl>
              <c:idx val="0"/>
              <c:layout>
                <c:manualLayout>
                  <c:x val="-0.17950268852256016"/>
                  <c:y val="5.1157987809791958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AB6-4E6E-B858-2A13B7589467}"/>
                </c:ext>
              </c:extLst>
            </c:dLbl>
            <c:dLbl>
              <c:idx val="1"/>
              <c:layout>
                <c:manualLayout>
                  <c:x val="9.4892337117628567E-2"/>
                  <c:y val="-0.2245342032236447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AB6-4E6E-B858-2A13B7589467}"/>
                </c:ext>
              </c:extLst>
            </c:dLbl>
            <c:dLbl>
              <c:idx val="2"/>
              <c:layout>
                <c:manualLayout>
                  <c:x val="0.15605982166697316"/>
                  <c:y val="6.4969099092086049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AB6-4E6E-B858-2A13B7589467}"/>
                </c:ext>
              </c:extLst>
            </c:dLbl>
            <c:dLbl>
              <c:idx val="3"/>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6="http://schemas.microsoft.com/office/drawing/2014/chart" uri="{C3380CC4-5D6E-409C-BE32-E72D297353CC}">
                  <c16:uniqueId val="{00000007-9AB6-4E6E-B858-2A13B7589467}"/>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T4'!$D$27:$D$30</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T4'!$E$27:$E$30</c:f>
              <c:numCache>
                <c:formatCode>0</c:formatCode>
                <c:ptCount val="4"/>
                <c:pt idx="0">
                  <c:v>0</c:v>
                </c:pt>
                <c:pt idx="1">
                  <c:v>0</c:v>
                </c:pt>
                <c:pt idx="2">
                  <c:v>78</c:v>
                </c:pt>
                <c:pt idx="3">
                  <c:v>9</c:v>
                </c:pt>
              </c:numCache>
            </c:numRef>
          </c:val>
          <c:extLst>
            <c:ext xmlns:c16="http://schemas.microsoft.com/office/drawing/2014/chart" uri="{C3380CC4-5D6E-409C-BE32-E72D297353CC}">
              <c16:uniqueId val="{00000008-9AB6-4E6E-B858-2A13B7589467}"/>
            </c:ext>
          </c:extLst>
        </c:ser>
        <c:ser>
          <c:idx val="1"/>
          <c:order val="1"/>
          <c:tx>
            <c:strRef>
              <c:f>'4.Segto Medición POA 2022 T4'!$F$34</c:f>
              <c:strCache>
                <c:ptCount val="1"/>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9AB6-4E6E-B858-2A13B7589467}"/>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C-9AB6-4E6E-B858-2A13B7589467}"/>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E-9AB6-4E6E-B858-2A13B7589467}"/>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0-9AB6-4E6E-B858-2A13B7589467}"/>
              </c:ext>
            </c:extLst>
          </c:dPt>
          <c:cat>
            <c:strRef>
              <c:f>'4.Segto Medición POA 2022 T4'!$D$27:$D$30</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T4'!$F$56:$F$59</c:f>
              <c:numCache>
                <c:formatCode>0%</c:formatCode>
                <c:ptCount val="4"/>
              </c:numCache>
            </c:numRef>
          </c:val>
          <c:extLst>
            <c:ext xmlns:c16="http://schemas.microsoft.com/office/drawing/2014/chart" uri="{C3380CC4-5D6E-409C-BE32-E72D297353CC}">
              <c16:uniqueId val="{00000011-9AB6-4E6E-B858-2A13B7589467}"/>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Cumplimiento Programación - Acumulado</a:t>
            </a:r>
          </a:p>
          <a:p>
            <a:pPr>
              <a:defRPr b="1"/>
            </a:pPr>
            <a:r>
              <a:rPr lang="es-CO" b="1"/>
              <a:t>Corte </a:t>
            </a:r>
            <a:r>
              <a:rPr lang="es-CO" b="1" baseline="0"/>
              <a:t>31/12/2021</a:t>
            </a:r>
            <a:endParaRPr lang="es-CO" b="1"/>
          </a:p>
        </c:rich>
      </c:tx>
      <c:layout>
        <c:manualLayout>
          <c:xMode val="edge"/>
          <c:yMode val="edge"/>
          <c:x val="0.32313872398663868"/>
          <c:y val="1.537070633841938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spPr>
            <a:scene3d>
              <a:camera prst="orthographicFront"/>
              <a:lightRig rig="threePt" dir="t"/>
            </a:scene3d>
            <a:sp3d>
              <a:bevelT/>
              <a:bevelB/>
            </a:sp3d>
          </c:spPr>
          <c:dPt>
            <c:idx val="0"/>
            <c:bubble3D val="0"/>
            <c:spPr>
              <a:solidFill>
                <a:srgbClr val="66FF33"/>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1-2162-4D07-A8FA-8CC16A8814DB}"/>
              </c:ext>
            </c:extLst>
          </c:dPt>
          <c:dPt>
            <c:idx val="1"/>
            <c:bubble3D val="0"/>
            <c:spPr>
              <a:solidFill>
                <a:srgbClr val="0099FF"/>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3-2162-4D07-A8FA-8CC16A8814DB}"/>
              </c:ext>
            </c:extLst>
          </c:dPt>
          <c:dPt>
            <c:idx val="2"/>
            <c:bubble3D val="0"/>
            <c:spPr>
              <a:solidFill>
                <a:srgbClr val="FF0000"/>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5-2162-4D07-A8FA-8CC16A8814DB}"/>
              </c:ext>
            </c:extLst>
          </c:dPt>
          <c:dPt>
            <c:idx val="3"/>
            <c:bubble3D val="0"/>
            <c:spPr>
              <a:solidFill>
                <a:schemeClr val="accent1">
                  <a:lumMod val="40000"/>
                  <a:lumOff val="60000"/>
                </a:schemeClr>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7-2162-4D07-A8FA-8CC16A8814DB}"/>
              </c:ext>
            </c:extLst>
          </c:dPt>
          <c:dLbls>
            <c:dLbl>
              <c:idx val="0"/>
              <c:layout>
                <c:manualLayout>
                  <c:x val="-0.16833324031549513"/>
                  <c:y val="-1.0987885403833903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162-4D07-A8FA-8CC16A8814DB}"/>
                </c:ext>
              </c:extLst>
            </c:dLbl>
            <c:dLbl>
              <c:idx val="2"/>
              <c:layout>
                <c:manualLayout>
                  <c:x val="5.8297120736036795E-2"/>
                  <c:y val="8.5352549621576679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162-4D07-A8FA-8CC16A8814DB}"/>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T4'!$D$56:$D$59</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T4'!$E$56:$E$59</c:f>
              <c:numCache>
                <c:formatCode>0</c:formatCode>
                <c:ptCount val="4"/>
                <c:pt idx="0">
                  <c:v>0</c:v>
                </c:pt>
                <c:pt idx="1">
                  <c:v>1</c:v>
                </c:pt>
                <c:pt idx="2">
                  <c:v>85</c:v>
                </c:pt>
                <c:pt idx="3">
                  <c:v>1</c:v>
                </c:pt>
              </c:numCache>
            </c:numRef>
          </c:val>
          <c:extLst>
            <c:ext xmlns:c16="http://schemas.microsoft.com/office/drawing/2014/chart" uri="{C3380CC4-5D6E-409C-BE32-E72D297353CC}">
              <c16:uniqueId val="{00000008-2162-4D07-A8FA-8CC16A8814DB}"/>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9.5125918709015531E-4"/>
          <c:y val="0.8196201271351593"/>
          <c:w val="0.57615093545586937"/>
          <c:h val="0.1636004024807946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22776486098742529"/>
          <c:y val="7.3490691159390137E-2"/>
          <c:w val="0.50204833805241578"/>
          <c:h val="0.67930200655359141"/>
        </c:manualLayout>
      </c:layout>
      <c:pieChart>
        <c:varyColors val="1"/>
        <c:ser>
          <c:idx val="0"/>
          <c:order val="0"/>
          <c:tx>
            <c:strRef>
              <c:f>'4.Segto Medición POA 2022 T3'!$E$34</c:f>
              <c:strCache>
                <c:ptCount val="1"/>
              </c:strCache>
            </c:strRef>
          </c:tx>
          <c:explosion val="5"/>
          <c:dPt>
            <c:idx val="0"/>
            <c:bubble3D val="0"/>
            <c:spPr>
              <a:solidFill>
                <a:srgbClr val="99FF3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51C2-4456-8881-9C3FB487CF4E}"/>
              </c:ext>
            </c:extLst>
          </c:dPt>
          <c:dPt>
            <c:idx val="1"/>
            <c:bubble3D val="0"/>
            <c:spPr>
              <a:solidFill>
                <a:srgbClr val="00B0F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51C2-4456-8881-9C3FB487CF4E}"/>
              </c:ext>
            </c:extLst>
          </c:dPt>
          <c:dPt>
            <c:idx val="2"/>
            <c:bubble3D val="0"/>
            <c:spPr>
              <a:solidFill>
                <a:srgbClr val="FF33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51C2-4456-8881-9C3FB487CF4E}"/>
              </c:ext>
            </c:extLst>
          </c:dPt>
          <c:dPt>
            <c:idx val="3"/>
            <c:bubble3D val="0"/>
            <c:spPr>
              <a:solidFill>
                <a:schemeClr val="tx2">
                  <a:lumMod val="20000"/>
                  <a:lumOff val="8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51C2-4456-8881-9C3FB487CF4E}"/>
              </c:ext>
            </c:extLst>
          </c:dPt>
          <c:dLbls>
            <c:dLbl>
              <c:idx val="0"/>
              <c:layout>
                <c:manualLayout>
                  <c:x val="-0.16876791945038003"/>
                  <c:y val="8.9483287654106722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1C2-4456-8881-9C3FB487CF4E}"/>
                </c:ext>
              </c:extLst>
            </c:dLbl>
            <c:dLbl>
              <c:idx val="1"/>
              <c:layout>
                <c:manualLayout>
                  <c:x val="3.0483689919125721E-2"/>
                  <c:y val="-0.1807338925490948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1C2-4456-8881-9C3FB487CF4E}"/>
                </c:ext>
              </c:extLst>
            </c:dLbl>
            <c:dLbl>
              <c:idx val="2"/>
              <c:layout>
                <c:manualLayout>
                  <c:x val="0.15176591111952611"/>
                  <c:y val="2.0061497208053122E-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1C2-4456-8881-9C3FB487CF4E}"/>
                </c:ext>
              </c:extLst>
            </c:dLbl>
            <c:dLbl>
              <c:idx val="3"/>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6="http://schemas.microsoft.com/office/drawing/2014/chart" uri="{C3380CC4-5D6E-409C-BE32-E72D297353CC}">
                  <c16:uniqueId val="{00000007-51C2-4456-8881-9C3FB487CF4E}"/>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T3'!$D$27:$D$30</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T3'!$E$27:$E$30</c:f>
              <c:numCache>
                <c:formatCode>0</c:formatCode>
                <c:ptCount val="4"/>
                <c:pt idx="0">
                  <c:v>0</c:v>
                </c:pt>
                <c:pt idx="1">
                  <c:v>0</c:v>
                </c:pt>
                <c:pt idx="2">
                  <c:v>78</c:v>
                </c:pt>
                <c:pt idx="3">
                  <c:v>9</c:v>
                </c:pt>
              </c:numCache>
            </c:numRef>
          </c:val>
          <c:extLst>
            <c:ext xmlns:c16="http://schemas.microsoft.com/office/drawing/2014/chart" uri="{C3380CC4-5D6E-409C-BE32-E72D297353CC}">
              <c16:uniqueId val="{00000008-51C2-4456-8881-9C3FB487CF4E}"/>
            </c:ext>
          </c:extLst>
        </c:ser>
        <c:ser>
          <c:idx val="1"/>
          <c:order val="1"/>
          <c:tx>
            <c:strRef>
              <c:f>'4.Segto Medición POA 2022 T4'!$F$34</c:f>
              <c:strCache>
                <c:ptCount val="1"/>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51C2-4456-8881-9C3FB487CF4E}"/>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C-51C2-4456-8881-9C3FB487CF4E}"/>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E-51C2-4456-8881-9C3FB487CF4E}"/>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0-51C2-4456-8881-9C3FB487CF4E}"/>
              </c:ext>
            </c:extLst>
          </c:dPt>
          <c:cat>
            <c:strRef>
              <c:f>'4.Segto Medición POA 2022 T3'!$D$27:$D$30</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T4'!$F$56:$F$59</c:f>
              <c:numCache>
                <c:formatCode>0%</c:formatCode>
                <c:ptCount val="4"/>
              </c:numCache>
            </c:numRef>
          </c:val>
          <c:extLst>
            <c:ext xmlns:c16="http://schemas.microsoft.com/office/drawing/2014/chart" uri="{C3380CC4-5D6E-409C-BE32-E72D297353CC}">
              <c16:uniqueId val="{00000011-51C2-4456-8881-9C3FB487CF4E}"/>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Cumplimiento Programación - Acumulado</a:t>
            </a:r>
          </a:p>
          <a:p>
            <a:pPr>
              <a:defRPr b="1"/>
            </a:pPr>
            <a:r>
              <a:rPr lang="es-CO" b="1"/>
              <a:t>Corte </a:t>
            </a:r>
            <a:r>
              <a:rPr lang="es-CO" b="1" baseline="0"/>
              <a:t>30/09/2022</a:t>
            </a:r>
            <a:endParaRPr lang="es-CO" b="1"/>
          </a:p>
        </c:rich>
      </c:tx>
      <c:layout>
        <c:manualLayout>
          <c:xMode val="edge"/>
          <c:yMode val="edge"/>
          <c:x val="0.32313872398663868"/>
          <c:y val="1.537070633841938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spPr>
            <a:scene3d>
              <a:camera prst="orthographicFront"/>
              <a:lightRig rig="threePt" dir="t"/>
            </a:scene3d>
            <a:sp3d>
              <a:bevelT/>
              <a:bevelB/>
            </a:sp3d>
          </c:spPr>
          <c:dPt>
            <c:idx val="0"/>
            <c:bubble3D val="0"/>
            <c:spPr>
              <a:solidFill>
                <a:srgbClr val="66FF33"/>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1-2E6B-4583-80E0-A6814C747450}"/>
              </c:ext>
            </c:extLst>
          </c:dPt>
          <c:dPt>
            <c:idx val="1"/>
            <c:bubble3D val="0"/>
            <c:spPr>
              <a:solidFill>
                <a:srgbClr val="0099FF"/>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3-2E6B-4583-80E0-A6814C747450}"/>
              </c:ext>
            </c:extLst>
          </c:dPt>
          <c:dPt>
            <c:idx val="2"/>
            <c:bubble3D val="0"/>
            <c:spPr>
              <a:solidFill>
                <a:srgbClr val="FF0000"/>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5-2E6B-4583-80E0-A6814C747450}"/>
              </c:ext>
            </c:extLst>
          </c:dPt>
          <c:dPt>
            <c:idx val="3"/>
            <c:bubble3D val="0"/>
            <c:spPr>
              <a:solidFill>
                <a:schemeClr val="accent1">
                  <a:lumMod val="40000"/>
                  <a:lumOff val="60000"/>
                </a:schemeClr>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7-2E6B-4583-80E0-A6814C747450}"/>
              </c:ext>
            </c:extLst>
          </c:dPt>
          <c:dLbls>
            <c:dLbl>
              <c:idx val="0"/>
              <c:layout>
                <c:manualLayout>
                  <c:x val="-0.16833324031549513"/>
                  <c:y val="-1.0987885403833903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E6B-4583-80E0-A6814C747450}"/>
                </c:ext>
              </c:extLst>
            </c:dLbl>
            <c:dLbl>
              <c:idx val="1"/>
              <c:layout>
                <c:manualLayout>
                  <c:x val="4.4309321102575662E-2"/>
                  <c:y val="-0.145414860809255"/>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E6B-4583-80E0-A6814C747450}"/>
                </c:ext>
              </c:extLst>
            </c:dLbl>
            <c:dLbl>
              <c:idx val="2"/>
              <c:layout>
                <c:manualLayout>
                  <c:x val="0.13258482141486183"/>
                  <c:y val="1.6783809831916944E-3"/>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E6B-4583-80E0-A6814C747450}"/>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T3'!$D$56:$D$59</c:f>
              <c:strCache>
                <c:ptCount val="4"/>
                <c:pt idx="0">
                  <c:v>No de Indicadores con Meta Cumplida según progrLación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T3'!$E$56:$E$59</c:f>
              <c:numCache>
                <c:formatCode>0</c:formatCode>
                <c:ptCount val="4"/>
                <c:pt idx="0">
                  <c:v>0</c:v>
                </c:pt>
                <c:pt idx="1">
                  <c:v>2</c:v>
                </c:pt>
                <c:pt idx="2">
                  <c:v>79</c:v>
                </c:pt>
                <c:pt idx="3">
                  <c:v>6</c:v>
                </c:pt>
              </c:numCache>
            </c:numRef>
          </c:val>
          <c:extLst>
            <c:ext xmlns:c16="http://schemas.microsoft.com/office/drawing/2014/chart" uri="{C3380CC4-5D6E-409C-BE32-E72D297353CC}">
              <c16:uniqueId val="{00000008-2E6B-4583-80E0-A6814C747450}"/>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9.5125918709015531E-4"/>
          <c:y val="0.8196201271351593"/>
          <c:w val="0.57615093545586937"/>
          <c:h val="0.1636004024807946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22776486098742529"/>
          <c:y val="7.3490691159390137E-2"/>
          <c:w val="0.50204833805241578"/>
          <c:h val="0.67930200655359141"/>
        </c:manualLayout>
      </c:layout>
      <c:pieChart>
        <c:varyColors val="1"/>
        <c:ser>
          <c:idx val="0"/>
          <c:order val="0"/>
          <c:tx>
            <c:strRef>
              <c:f>'4.Segto Medición POA 2022 T4'!$E$34</c:f>
              <c:strCache>
                <c:ptCount val="1"/>
              </c:strCache>
            </c:strRef>
          </c:tx>
          <c:explosion val="5"/>
          <c:dPt>
            <c:idx val="0"/>
            <c:bubble3D val="0"/>
            <c:spPr>
              <a:solidFill>
                <a:srgbClr val="99FF3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F0EA-4A8D-9727-27A4A293A0A5}"/>
              </c:ext>
            </c:extLst>
          </c:dPt>
          <c:dPt>
            <c:idx val="1"/>
            <c:bubble3D val="0"/>
            <c:spPr>
              <a:solidFill>
                <a:srgbClr val="00B0F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F0EA-4A8D-9727-27A4A293A0A5}"/>
              </c:ext>
            </c:extLst>
          </c:dPt>
          <c:dPt>
            <c:idx val="2"/>
            <c:bubble3D val="0"/>
            <c:spPr>
              <a:solidFill>
                <a:srgbClr val="FF33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F0EA-4A8D-9727-27A4A293A0A5}"/>
              </c:ext>
            </c:extLst>
          </c:dPt>
          <c:dPt>
            <c:idx val="3"/>
            <c:bubble3D val="0"/>
            <c:spPr>
              <a:solidFill>
                <a:schemeClr val="tx2">
                  <a:lumMod val="20000"/>
                  <a:lumOff val="8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F0EA-4A8D-9727-27A4A293A0A5}"/>
              </c:ext>
            </c:extLst>
          </c:dPt>
          <c:dLbls>
            <c:dLbl>
              <c:idx val="0"/>
              <c:layout>
                <c:manualLayout>
                  <c:x val="-0.17950268852256016"/>
                  <c:y val="5.1157987809791958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0EA-4A8D-9727-27A4A293A0A5}"/>
                </c:ext>
              </c:extLst>
            </c:dLbl>
            <c:dLbl>
              <c:idx val="1"/>
              <c:layout>
                <c:manualLayout>
                  <c:x val="9.4892337117628567E-2"/>
                  <c:y val="-0.2245342032236447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0EA-4A8D-9727-27A4A293A0A5}"/>
                </c:ext>
              </c:extLst>
            </c:dLbl>
            <c:dLbl>
              <c:idx val="2"/>
              <c:layout>
                <c:manualLayout>
                  <c:x val="0.15605982166697316"/>
                  <c:y val="6.4969099092086049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0EA-4A8D-9727-27A4A293A0A5}"/>
                </c:ext>
              </c:extLst>
            </c:dLbl>
            <c:dLbl>
              <c:idx val="3"/>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6="http://schemas.microsoft.com/office/drawing/2014/chart" uri="{C3380CC4-5D6E-409C-BE32-E72D297353CC}">
                  <c16:uniqueId val="{00000007-F0EA-4A8D-9727-27A4A293A0A5}"/>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T4'!$D$27:$D$30</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T4'!$E$27:$E$30</c:f>
              <c:numCache>
                <c:formatCode>0</c:formatCode>
                <c:ptCount val="4"/>
                <c:pt idx="0">
                  <c:v>0</c:v>
                </c:pt>
                <c:pt idx="1">
                  <c:v>0</c:v>
                </c:pt>
                <c:pt idx="2">
                  <c:v>78</c:v>
                </c:pt>
                <c:pt idx="3">
                  <c:v>9</c:v>
                </c:pt>
              </c:numCache>
            </c:numRef>
          </c:val>
          <c:extLst>
            <c:ext xmlns:c16="http://schemas.microsoft.com/office/drawing/2014/chart" uri="{C3380CC4-5D6E-409C-BE32-E72D297353CC}">
              <c16:uniqueId val="{00000008-F0EA-4A8D-9727-27A4A293A0A5}"/>
            </c:ext>
          </c:extLst>
        </c:ser>
        <c:ser>
          <c:idx val="1"/>
          <c:order val="1"/>
          <c:tx>
            <c:strRef>
              <c:f>'4.Segto Medición POA 2022 T4'!$F$34</c:f>
              <c:strCache>
                <c:ptCount val="1"/>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F0EA-4A8D-9727-27A4A293A0A5}"/>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C-F0EA-4A8D-9727-27A4A293A0A5}"/>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E-F0EA-4A8D-9727-27A4A293A0A5}"/>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0-F0EA-4A8D-9727-27A4A293A0A5}"/>
              </c:ext>
            </c:extLst>
          </c:dPt>
          <c:cat>
            <c:strRef>
              <c:f>'4.Segto Medición POA 2022 T4'!$D$27:$D$30</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T4'!$F$56:$F$59</c:f>
              <c:numCache>
                <c:formatCode>0%</c:formatCode>
                <c:ptCount val="4"/>
              </c:numCache>
            </c:numRef>
          </c:val>
          <c:extLst>
            <c:ext xmlns:c16="http://schemas.microsoft.com/office/drawing/2014/chart" uri="{C3380CC4-5D6E-409C-BE32-E72D297353CC}">
              <c16:uniqueId val="{00000011-F0EA-4A8D-9727-27A4A293A0A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Cumplimiento Programación - Acumulado</a:t>
            </a:r>
          </a:p>
          <a:p>
            <a:pPr>
              <a:defRPr b="1"/>
            </a:pPr>
            <a:r>
              <a:rPr lang="es-CO" b="1"/>
              <a:t>Corte </a:t>
            </a:r>
            <a:r>
              <a:rPr lang="es-CO" b="1" baseline="0"/>
              <a:t>31/12/2021</a:t>
            </a:r>
            <a:endParaRPr lang="es-CO" b="1"/>
          </a:p>
        </c:rich>
      </c:tx>
      <c:layout>
        <c:manualLayout>
          <c:xMode val="edge"/>
          <c:yMode val="edge"/>
          <c:x val="0.32313872398663868"/>
          <c:y val="1.537070633841938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spPr>
            <a:scene3d>
              <a:camera prst="orthographicFront"/>
              <a:lightRig rig="threePt" dir="t"/>
            </a:scene3d>
            <a:sp3d>
              <a:bevelT/>
              <a:bevelB/>
            </a:sp3d>
          </c:spPr>
          <c:dPt>
            <c:idx val="0"/>
            <c:bubble3D val="0"/>
            <c:spPr>
              <a:solidFill>
                <a:srgbClr val="66FF33"/>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1-C41B-4876-B35F-E0E6F4E111B8}"/>
              </c:ext>
            </c:extLst>
          </c:dPt>
          <c:dPt>
            <c:idx val="1"/>
            <c:bubble3D val="0"/>
            <c:spPr>
              <a:solidFill>
                <a:srgbClr val="0099FF"/>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3-C41B-4876-B35F-E0E6F4E111B8}"/>
              </c:ext>
            </c:extLst>
          </c:dPt>
          <c:dPt>
            <c:idx val="2"/>
            <c:bubble3D val="0"/>
            <c:spPr>
              <a:solidFill>
                <a:srgbClr val="FF0000"/>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5-C41B-4876-B35F-E0E6F4E111B8}"/>
              </c:ext>
            </c:extLst>
          </c:dPt>
          <c:dPt>
            <c:idx val="3"/>
            <c:bubble3D val="0"/>
            <c:spPr>
              <a:solidFill>
                <a:schemeClr val="accent1">
                  <a:lumMod val="40000"/>
                  <a:lumOff val="60000"/>
                </a:schemeClr>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7-C41B-4876-B35F-E0E6F4E111B8}"/>
              </c:ext>
            </c:extLst>
          </c:dPt>
          <c:dLbls>
            <c:dLbl>
              <c:idx val="0"/>
              <c:layout>
                <c:manualLayout>
                  <c:x val="-0.16833324031549513"/>
                  <c:y val="-1.0987885403833903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41B-4876-B35F-E0E6F4E111B8}"/>
                </c:ext>
              </c:extLst>
            </c:dLbl>
            <c:dLbl>
              <c:idx val="2"/>
              <c:layout>
                <c:manualLayout>
                  <c:x val="5.8297120736036795E-2"/>
                  <c:y val="8.5352549621576679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41B-4876-B35F-E0E6F4E111B8}"/>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T4'!$D$56:$D$59</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T4'!$E$56:$E$59</c:f>
              <c:numCache>
                <c:formatCode>0</c:formatCode>
                <c:ptCount val="4"/>
                <c:pt idx="0">
                  <c:v>0</c:v>
                </c:pt>
                <c:pt idx="1">
                  <c:v>1</c:v>
                </c:pt>
                <c:pt idx="2">
                  <c:v>85</c:v>
                </c:pt>
                <c:pt idx="3">
                  <c:v>1</c:v>
                </c:pt>
              </c:numCache>
            </c:numRef>
          </c:val>
          <c:extLst>
            <c:ext xmlns:c16="http://schemas.microsoft.com/office/drawing/2014/chart" uri="{C3380CC4-5D6E-409C-BE32-E72D297353CC}">
              <c16:uniqueId val="{00000008-C41B-4876-B35F-E0E6F4E111B8}"/>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9.5125918709015531E-4"/>
          <c:y val="0.8196201271351593"/>
          <c:w val="0.57615093545586937"/>
          <c:h val="0.1636004024807946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22776486098742529"/>
          <c:y val="7.3490691159390137E-2"/>
          <c:w val="0.50204833805241578"/>
          <c:h val="0.67930200655359141"/>
        </c:manualLayout>
      </c:layout>
      <c:pieChart>
        <c:varyColors val="1"/>
        <c:ser>
          <c:idx val="0"/>
          <c:order val="0"/>
          <c:tx>
            <c:strRef>
              <c:f>'4.Segto Medición POA 2022 T2'!$E$34</c:f>
              <c:strCache>
                <c:ptCount val="1"/>
              </c:strCache>
            </c:strRef>
          </c:tx>
          <c:explosion val="5"/>
          <c:dPt>
            <c:idx val="0"/>
            <c:bubble3D val="0"/>
            <c:spPr>
              <a:solidFill>
                <a:srgbClr val="99FF3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1018-4B52-978B-81E64BE6C49E}"/>
              </c:ext>
            </c:extLst>
          </c:dPt>
          <c:dPt>
            <c:idx val="1"/>
            <c:bubble3D val="0"/>
            <c:spPr>
              <a:solidFill>
                <a:srgbClr val="00B0F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1018-4B52-978B-81E64BE6C49E}"/>
              </c:ext>
            </c:extLst>
          </c:dPt>
          <c:dPt>
            <c:idx val="2"/>
            <c:bubble3D val="0"/>
            <c:spPr>
              <a:solidFill>
                <a:srgbClr val="FF33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1018-4B52-978B-81E64BE6C49E}"/>
              </c:ext>
            </c:extLst>
          </c:dPt>
          <c:dPt>
            <c:idx val="3"/>
            <c:bubble3D val="0"/>
            <c:spPr>
              <a:solidFill>
                <a:schemeClr val="tx2">
                  <a:lumMod val="20000"/>
                  <a:lumOff val="8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1018-4B52-978B-81E64BE6C49E}"/>
              </c:ext>
            </c:extLst>
          </c:dPt>
          <c:dLbls>
            <c:dLbl>
              <c:idx val="0"/>
              <c:layout>
                <c:manualLayout>
                  <c:x val="-0.16876791945038003"/>
                  <c:y val="8.9483287654106722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018-4B52-978B-81E64BE6C49E}"/>
                </c:ext>
              </c:extLst>
            </c:dLbl>
            <c:dLbl>
              <c:idx val="1"/>
              <c:layout>
                <c:manualLayout>
                  <c:x val="3.0483689919125721E-2"/>
                  <c:y val="-0.1807338925490948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018-4B52-978B-81E64BE6C49E}"/>
                </c:ext>
              </c:extLst>
            </c:dLbl>
            <c:dLbl>
              <c:idx val="2"/>
              <c:layout>
                <c:manualLayout>
                  <c:x val="0.15176591111952611"/>
                  <c:y val="2.0061497208053122E-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018-4B52-978B-81E64BE6C49E}"/>
                </c:ext>
              </c:extLst>
            </c:dLbl>
            <c:dLbl>
              <c:idx val="3"/>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6="http://schemas.microsoft.com/office/drawing/2014/chart" uri="{C3380CC4-5D6E-409C-BE32-E72D297353CC}">
                  <c16:uniqueId val="{00000007-1018-4B52-978B-81E64BE6C49E}"/>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T2'!$D$27:$D$30</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T2'!$E$27:$E$30</c:f>
              <c:numCache>
                <c:formatCode>0</c:formatCode>
                <c:ptCount val="4"/>
                <c:pt idx="0">
                  <c:v>0</c:v>
                </c:pt>
                <c:pt idx="1">
                  <c:v>0</c:v>
                </c:pt>
                <c:pt idx="2">
                  <c:v>74</c:v>
                </c:pt>
                <c:pt idx="3">
                  <c:v>13</c:v>
                </c:pt>
              </c:numCache>
            </c:numRef>
          </c:val>
          <c:extLst>
            <c:ext xmlns:c16="http://schemas.microsoft.com/office/drawing/2014/chart" uri="{C3380CC4-5D6E-409C-BE32-E72D297353CC}">
              <c16:uniqueId val="{00000008-1018-4B52-978B-81E64BE6C49E}"/>
            </c:ext>
          </c:extLst>
        </c:ser>
        <c:ser>
          <c:idx val="1"/>
          <c:order val="1"/>
          <c:tx>
            <c:strRef>
              <c:f>'4.Segto Medición POA 2022 T4'!$F$34</c:f>
              <c:strCache>
                <c:ptCount val="1"/>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1018-4B52-978B-81E64BE6C49E}"/>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C-1018-4B52-978B-81E64BE6C49E}"/>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E-1018-4B52-978B-81E64BE6C49E}"/>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0-1018-4B52-978B-81E64BE6C49E}"/>
              </c:ext>
            </c:extLst>
          </c:dPt>
          <c:cat>
            <c:strRef>
              <c:f>'4.Segto Medición POA 2022 T2'!$D$27:$D$30</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T4'!$F$56:$F$59</c:f>
              <c:numCache>
                <c:formatCode>0%</c:formatCode>
                <c:ptCount val="4"/>
              </c:numCache>
            </c:numRef>
          </c:val>
          <c:extLst>
            <c:ext xmlns:c16="http://schemas.microsoft.com/office/drawing/2014/chart" uri="{C3380CC4-5D6E-409C-BE32-E72D297353CC}">
              <c16:uniqueId val="{00000011-1018-4B52-978B-81E64BE6C49E}"/>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Cumplimiento Programación - Acumulado</a:t>
            </a:r>
          </a:p>
          <a:p>
            <a:pPr>
              <a:defRPr b="1"/>
            </a:pPr>
            <a:r>
              <a:rPr lang="es-CO" b="1"/>
              <a:t>Corte </a:t>
            </a:r>
            <a:r>
              <a:rPr lang="es-CO" b="1" baseline="0"/>
              <a:t>30/06/2022</a:t>
            </a:r>
            <a:endParaRPr lang="es-CO" b="1"/>
          </a:p>
        </c:rich>
      </c:tx>
      <c:layout>
        <c:manualLayout>
          <c:xMode val="edge"/>
          <c:yMode val="edge"/>
          <c:x val="0.32313872398663868"/>
          <c:y val="1.537070633841938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spPr>
            <a:scene3d>
              <a:camera prst="orthographicFront"/>
              <a:lightRig rig="threePt" dir="t"/>
            </a:scene3d>
            <a:sp3d>
              <a:bevelT/>
              <a:bevelB/>
            </a:sp3d>
          </c:spPr>
          <c:dPt>
            <c:idx val="0"/>
            <c:bubble3D val="0"/>
            <c:spPr>
              <a:solidFill>
                <a:srgbClr val="66FF33"/>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1-AAAC-4084-94C8-F5E0E4E46253}"/>
              </c:ext>
            </c:extLst>
          </c:dPt>
          <c:dPt>
            <c:idx val="1"/>
            <c:bubble3D val="0"/>
            <c:spPr>
              <a:solidFill>
                <a:srgbClr val="0099FF"/>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3-AAAC-4084-94C8-F5E0E4E46253}"/>
              </c:ext>
            </c:extLst>
          </c:dPt>
          <c:dPt>
            <c:idx val="2"/>
            <c:bubble3D val="0"/>
            <c:spPr>
              <a:solidFill>
                <a:srgbClr val="FF0000"/>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5-AAAC-4084-94C8-F5E0E4E46253}"/>
              </c:ext>
            </c:extLst>
          </c:dPt>
          <c:dPt>
            <c:idx val="3"/>
            <c:bubble3D val="0"/>
            <c:spPr>
              <a:solidFill>
                <a:schemeClr val="accent1">
                  <a:lumMod val="40000"/>
                  <a:lumOff val="60000"/>
                </a:schemeClr>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7-AAAC-4084-94C8-F5E0E4E46253}"/>
              </c:ext>
            </c:extLst>
          </c:dPt>
          <c:dLbls>
            <c:dLbl>
              <c:idx val="0"/>
              <c:layout>
                <c:manualLayout>
                  <c:x val="-0.16833324031549513"/>
                  <c:y val="-1.0987885403833903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AAC-4084-94C8-F5E0E4E46253}"/>
                </c:ext>
              </c:extLst>
            </c:dLbl>
            <c:dLbl>
              <c:idx val="1"/>
              <c:layout>
                <c:manualLayout>
                  <c:x val="4.4309321102575662E-2"/>
                  <c:y val="-0.145414860809255"/>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AAC-4084-94C8-F5E0E4E46253}"/>
                </c:ext>
              </c:extLst>
            </c:dLbl>
            <c:dLbl>
              <c:idx val="2"/>
              <c:layout>
                <c:manualLayout>
                  <c:x val="0.13258482141486183"/>
                  <c:y val="1.6783809831916944E-3"/>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AAC-4084-94C8-F5E0E4E46253}"/>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T2'!$D$56:$D$59</c:f>
              <c:strCache>
                <c:ptCount val="4"/>
                <c:pt idx="0">
                  <c:v>No de Indicadores con Meta Cumplida según progrLación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T2'!$E$56:$E$59</c:f>
              <c:numCache>
                <c:formatCode>0</c:formatCode>
                <c:ptCount val="4"/>
                <c:pt idx="0">
                  <c:v>1</c:v>
                </c:pt>
                <c:pt idx="1">
                  <c:v>5</c:v>
                </c:pt>
                <c:pt idx="2">
                  <c:v>71</c:v>
                </c:pt>
                <c:pt idx="3">
                  <c:v>10</c:v>
                </c:pt>
              </c:numCache>
            </c:numRef>
          </c:val>
          <c:extLst>
            <c:ext xmlns:c16="http://schemas.microsoft.com/office/drawing/2014/chart" uri="{C3380CC4-5D6E-409C-BE32-E72D297353CC}">
              <c16:uniqueId val="{00000008-AAAC-4084-94C8-F5E0E4E46253}"/>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9.5125918709015531E-4"/>
          <c:y val="0.8196201271351593"/>
          <c:w val="0.57615093545586937"/>
          <c:h val="0.1636004024807946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a:t>Desempeño Promedio 
Año 2022</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'3.Resum Desemp Procesos POA T2'!$C$8</c:f>
              <c:strCache>
                <c:ptCount val="1"/>
                <c:pt idx="0">
                  <c:v>Desempeño Promedio 
Año 2022</c:v>
                </c:pt>
              </c:strCache>
            </c:strRef>
          </c:tx>
          <c:spPr>
            <a:solidFill>
              <a:srgbClr val="66FF33"/>
            </a:solidFill>
            <a:ln>
              <a:noFill/>
            </a:ln>
            <a:effectLst/>
            <a:scene3d>
              <a:camera prst="orthographicFront"/>
              <a:lightRig rig="threePt" dir="t"/>
            </a:scene3d>
            <a:sp3d>
              <a:bevelT/>
            </a:sp3d>
          </c:spPr>
          <c:invertIfNegative val="0"/>
          <c:dPt>
            <c:idx val="0"/>
            <c:invertIfNegative val="0"/>
            <c:bubble3D val="0"/>
            <c:spPr>
              <a:solidFill>
                <a:srgbClr val="66FF33"/>
              </a:solidFill>
              <a:ln>
                <a:noFill/>
              </a:ln>
              <a:effectLst/>
              <a:scene3d>
                <a:camera prst="orthographicFront"/>
                <a:lightRig rig="threePt" dir="t"/>
              </a:scene3d>
              <a:sp3d>
                <a:bevelT/>
              </a:sp3d>
            </c:spPr>
            <c:extLst>
              <c:ext xmlns:c16="http://schemas.microsoft.com/office/drawing/2014/chart" uri="{C3380CC4-5D6E-409C-BE32-E72D297353CC}">
                <c16:uniqueId val="{00000001-B3D0-401C-99DE-55FADC2BE93C}"/>
              </c:ext>
            </c:extLst>
          </c:dPt>
          <c:dPt>
            <c:idx val="1"/>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3-B3D0-401C-99DE-55FADC2BE93C}"/>
              </c:ext>
            </c:extLst>
          </c:dPt>
          <c:dPt>
            <c:idx val="2"/>
            <c:invertIfNegative val="0"/>
            <c:bubble3D val="0"/>
            <c:spPr>
              <a:solidFill>
                <a:srgbClr val="66FF33"/>
              </a:solidFill>
              <a:ln>
                <a:noFill/>
              </a:ln>
              <a:effectLst/>
              <a:scene3d>
                <a:camera prst="orthographicFront"/>
                <a:lightRig rig="threePt" dir="t"/>
              </a:scene3d>
              <a:sp3d>
                <a:bevelT/>
              </a:sp3d>
            </c:spPr>
            <c:extLst>
              <c:ext xmlns:c16="http://schemas.microsoft.com/office/drawing/2014/chart" uri="{C3380CC4-5D6E-409C-BE32-E72D297353CC}">
                <c16:uniqueId val="{00000005-B3D0-401C-99DE-55FADC2BE93C}"/>
              </c:ext>
            </c:extLst>
          </c:dPt>
          <c:dPt>
            <c:idx val="3"/>
            <c:invertIfNegative val="0"/>
            <c:bubble3D val="0"/>
            <c:spPr>
              <a:solidFill>
                <a:srgbClr val="66FF33"/>
              </a:solidFill>
              <a:ln>
                <a:noFill/>
              </a:ln>
              <a:effectLst/>
              <a:scene3d>
                <a:camera prst="orthographicFront"/>
                <a:lightRig rig="threePt" dir="t"/>
              </a:scene3d>
              <a:sp3d>
                <a:bevelT/>
              </a:sp3d>
            </c:spPr>
            <c:extLst>
              <c:ext xmlns:c16="http://schemas.microsoft.com/office/drawing/2014/chart" uri="{C3380CC4-5D6E-409C-BE32-E72D297353CC}">
                <c16:uniqueId val="{00000007-B3D0-401C-99DE-55FADC2BE93C}"/>
              </c:ext>
            </c:extLst>
          </c:dPt>
          <c:dPt>
            <c:idx val="4"/>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9-B3D0-401C-99DE-55FADC2BE93C}"/>
              </c:ext>
            </c:extLst>
          </c:dPt>
          <c:dPt>
            <c:idx val="5"/>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B-B3D0-401C-99DE-55FADC2BE93C}"/>
              </c:ext>
            </c:extLst>
          </c:dPt>
          <c:dPt>
            <c:idx val="6"/>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D-B3D0-401C-99DE-55FADC2BE93C}"/>
              </c:ext>
            </c:extLst>
          </c:dPt>
          <c:dPt>
            <c:idx val="7"/>
            <c:invertIfNegative val="0"/>
            <c:bubble3D val="0"/>
            <c:spPr>
              <a:solidFill>
                <a:srgbClr val="66FF33"/>
              </a:solidFill>
              <a:ln>
                <a:noFill/>
              </a:ln>
              <a:effectLst/>
              <a:scene3d>
                <a:camera prst="orthographicFront"/>
                <a:lightRig rig="threePt" dir="t"/>
              </a:scene3d>
              <a:sp3d>
                <a:bevelT/>
              </a:sp3d>
            </c:spPr>
            <c:extLst>
              <c:ext xmlns:c16="http://schemas.microsoft.com/office/drawing/2014/chart" uri="{C3380CC4-5D6E-409C-BE32-E72D297353CC}">
                <c16:uniqueId val="{0000000F-B3D0-401C-99DE-55FADC2BE93C}"/>
              </c:ext>
            </c:extLst>
          </c:dPt>
          <c:dPt>
            <c:idx val="8"/>
            <c:invertIfNegative val="0"/>
            <c:bubble3D val="0"/>
            <c:spPr>
              <a:solidFill>
                <a:srgbClr val="66FF33"/>
              </a:solidFill>
              <a:ln>
                <a:noFill/>
              </a:ln>
              <a:effectLst/>
              <a:scene3d>
                <a:camera prst="orthographicFront"/>
                <a:lightRig rig="threePt" dir="t"/>
              </a:scene3d>
              <a:sp3d>
                <a:bevelT/>
              </a:sp3d>
            </c:spPr>
            <c:extLst>
              <c:ext xmlns:c16="http://schemas.microsoft.com/office/drawing/2014/chart" uri="{C3380CC4-5D6E-409C-BE32-E72D297353CC}">
                <c16:uniqueId val="{00000011-B3D0-401C-99DE-55FADC2BE93C}"/>
              </c:ext>
            </c:extLst>
          </c:dPt>
          <c:dPt>
            <c:idx val="9"/>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13-B3D0-401C-99DE-55FADC2BE93C}"/>
              </c:ext>
            </c:extLst>
          </c:dPt>
          <c:dPt>
            <c:idx val="10"/>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15-B3D0-401C-99DE-55FADC2BE93C}"/>
              </c:ext>
            </c:extLst>
          </c:dPt>
          <c:dPt>
            <c:idx val="11"/>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17-B3D0-401C-99DE-55FADC2BE93C}"/>
              </c:ext>
            </c:extLst>
          </c:dPt>
          <c:dPt>
            <c:idx val="12"/>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19-B3D0-401C-99DE-55FADC2BE93C}"/>
              </c:ext>
            </c:extLst>
          </c:dPt>
          <c:dPt>
            <c:idx val="13"/>
            <c:invertIfNegative val="0"/>
            <c:bubble3D val="0"/>
            <c:spPr>
              <a:solidFill>
                <a:srgbClr val="66FF33"/>
              </a:solidFill>
              <a:ln>
                <a:noFill/>
              </a:ln>
              <a:effectLst/>
              <a:scene3d>
                <a:camera prst="orthographicFront"/>
                <a:lightRig rig="threePt" dir="t"/>
              </a:scene3d>
              <a:sp3d>
                <a:bevelT/>
              </a:sp3d>
            </c:spPr>
            <c:extLst>
              <c:ext xmlns:c16="http://schemas.microsoft.com/office/drawing/2014/chart" uri="{C3380CC4-5D6E-409C-BE32-E72D297353CC}">
                <c16:uniqueId val="{0000001B-B3D0-401C-99DE-55FADC2BE93C}"/>
              </c:ext>
            </c:extLst>
          </c:dPt>
          <c:dPt>
            <c:idx val="14"/>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1D-B3D0-401C-99DE-55FADC2BE93C}"/>
              </c:ext>
            </c:extLst>
          </c:dPt>
          <c:dPt>
            <c:idx val="15"/>
            <c:invertIfNegative val="0"/>
            <c:bubble3D val="0"/>
            <c:spPr>
              <a:solidFill>
                <a:srgbClr val="66FF33"/>
              </a:solidFill>
              <a:ln>
                <a:noFill/>
              </a:ln>
              <a:effectLst/>
              <a:scene3d>
                <a:camera prst="orthographicFront"/>
                <a:lightRig rig="threePt" dir="t"/>
              </a:scene3d>
              <a:sp3d>
                <a:bevelT/>
              </a:sp3d>
            </c:spPr>
            <c:extLst>
              <c:ext xmlns:c16="http://schemas.microsoft.com/office/drawing/2014/chart" uri="{C3380CC4-5D6E-409C-BE32-E72D297353CC}">
                <c16:uniqueId val="{0000001F-B3D0-401C-99DE-55FADC2BE93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'3.Resum Desemp Procesos POA T2'!$B$9:$B$24</c:f>
              <c:strCache>
                <c:ptCount val="16"/>
                <c:pt idx="0">
                  <c:v>01 Direccionamiento Estratégico</c:v>
                </c:pt>
                <c:pt idx="1">
                  <c:v>02 Gestión del Conocimiento e Innovación</c:v>
                </c:pt>
                <c:pt idx="2">
                  <c:v>03 Direccionamiento TIC</c:v>
                </c:pt>
                <c:pt idx="3">
                  <c:v>04 Comunicación Estratégica</c:v>
                </c:pt>
                <c:pt idx="4">
                  <c:v>14 Servicio al Usuario</c:v>
                </c:pt>
                <c:pt idx="5">
                  <c:v>05 Promoción y Defensa de Derechos</c:v>
                </c:pt>
                <c:pt idx="6">
                  <c:v>06 Prevención y Control de la Función Pública</c:v>
                </c:pt>
                <c:pt idx="7">
                  <c:v>07 Potestad Disciplinaria</c:v>
                </c:pt>
                <c:pt idx="8">
                  <c:v>08 Gestión del Talento Humano</c:v>
                </c:pt>
                <c:pt idx="9">
                  <c:v>09 Gestión Administrativa</c:v>
                </c:pt>
                <c:pt idx="10">
                  <c:v>10 Gestión Financiera</c:v>
                </c:pt>
                <c:pt idx="11">
                  <c:v>11 Gestión Contractual</c:v>
                </c:pt>
                <c:pt idx="12">
                  <c:v>12 Gestión Documental</c:v>
                </c:pt>
                <c:pt idx="13">
                  <c:v>13 Gestión Jurídica</c:v>
                </c:pt>
                <c:pt idx="14">
                  <c:v>15 Control Disciplinario Interno</c:v>
                </c:pt>
                <c:pt idx="15">
                  <c:v>16 Evaluación y Seguimiento</c:v>
                </c:pt>
              </c:strCache>
            </c:strRef>
          </c:cat>
          <c:val>
            <c:numRef>
              <c:f>'3.Resum Desemp Procesos POA T2'!$C$9:$C$24</c:f>
              <c:numCache>
                <c:formatCode>0.0%</c:formatCode>
                <c:ptCount val="16"/>
                <c:pt idx="0">
                  <c:v>0.30107142857142855</c:v>
                </c:pt>
                <c:pt idx="1">
                  <c:v>5.921052631578947E-2</c:v>
                </c:pt>
                <c:pt idx="2">
                  <c:v>0.17500000000000002</c:v>
                </c:pt>
                <c:pt idx="3">
                  <c:v>0.5</c:v>
                </c:pt>
                <c:pt idx="4">
                  <c:v>0.46629629629629626</c:v>
                </c:pt>
                <c:pt idx="5">
                  <c:v>0.23809622023450236</c:v>
                </c:pt>
                <c:pt idx="6">
                  <c:v>0.11701830507800658</c:v>
                </c:pt>
                <c:pt idx="7">
                  <c:v>0.19645833333333335</c:v>
                </c:pt>
                <c:pt idx="8">
                  <c:v>0.39953681972789118</c:v>
                </c:pt>
                <c:pt idx="9">
                  <c:v>0.53144329896907228</c:v>
                </c:pt>
                <c:pt idx="10">
                  <c:v>0.22459649122807021</c:v>
                </c:pt>
                <c:pt idx="11">
                  <c:v>0.53749999999999998</c:v>
                </c:pt>
                <c:pt idx="12">
                  <c:v>0.37603618421052631</c:v>
                </c:pt>
                <c:pt idx="13">
                  <c:v>0.5</c:v>
                </c:pt>
                <c:pt idx="14">
                  <c:v>0.51666666666666672</c:v>
                </c:pt>
                <c:pt idx="15">
                  <c:v>0.11666666666666665</c:v>
                </c:pt>
              </c:numCache>
            </c:numRef>
          </c:val>
          <c:extLst>
            <c:ext xmlns:c16="http://schemas.microsoft.com/office/drawing/2014/chart" uri="{C3380CC4-5D6E-409C-BE32-E72D297353CC}">
              <c16:uniqueId val="{00000020-B3D0-401C-99DE-55FADC2BE93C}"/>
            </c:ext>
          </c:extLst>
        </c:ser>
        <c:dLbls>
          <c:showLegendKey val="0"/>
          <c:showVal val="0"/>
          <c:showCatName val="0"/>
          <c:showSerName val="0"/>
          <c:showPercent val="0"/>
          <c:showBubbleSize val="0"/>
        </c:dLbls>
        <c:gapWidth val="182"/>
        <c:axId val="1940987215"/>
        <c:axId val="1940987631"/>
      </c:barChart>
      <c:catAx>
        <c:axId val="194098721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40987631"/>
        <c:crosses val="autoZero"/>
        <c:auto val="1"/>
        <c:lblAlgn val="ctr"/>
        <c:lblOffset val="100"/>
        <c:noMultiLvlLbl val="0"/>
      </c:catAx>
      <c:valAx>
        <c:axId val="1940987631"/>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4098721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kumimoji="0" lang="es-CO" sz="1400" b="1" i="0" u="none" strike="noStrike" kern="1200" cap="none" spc="0" normalizeH="0" baseline="0" noProof="0">
                <a:ln>
                  <a:noFill/>
                </a:ln>
                <a:solidFill>
                  <a:sysClr val="windowText" lastClr="000000">
                    <a:lumMod val="65000"/>
                    <a:lumOff val="35000"/>
                  </a:sysClr>
                </a:solidFill>
                <a:effectLst/>
                <a:uLnTx/>
                <a:uFillTx/>
                <a:latin typeface="Calibri" panose="020F0502020204030204"/>
              </a:rPr>
              <a:t>Porcentaje de Participación </a:t>
            </a:r>
          </a:p>
          <a:p>
            <a:pPr>
              <a:defRPr b="1"/>
            </a:pPr>
            <a:r>
              <a:rPr kumimoji="0" lang="es-CO" sz="1400" b="1" i="0" u="none" strike="noStrike" kern="1200" cap="none" spc="0" normalizeH="0" baseline="0" noProof="0">
                <a:ln>
                  <a:noFill/>
                </a:ln>
                <a:solidFill>
                  <a:sysClr val="windowText" lastClr="000000">
                    <a:lumMod val="65000"/>
                    <a:lumOff val="35000"/>
                  </a:sysClr>
                </a:solidFill>
                <a:effectLst/>
                <a:uLnTx/>
                <a:uFillTx/>
                <a:latin typeface="Calibri" panose="020F0502020204030204"/>
              </a:rPr>
              <a:t>por Tipo de Proceso</a:t>
            </a:r>
          </a:p>
        </c:rich>
      </c:tx>
      <c:layout>
        <c:manualLayout>
          <c:xMode val="edge"/>
          <c:yMode val="edge"/>
          <c:x val="0.61884057875707421"/>
          <c:y val="0.15172272387436658"/>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4.0438244763823947E-2"/>
          <c:y val="5.7542947588286597E-2"/>
          <c:w val="0.53514791160026243"/>
          <c:h val="0.90435328362592016"/>
        </c:manualLayout>
      </c:layout>
      <c:doughnutChart>
        <c:varyColors val="1"/>
        <c:ser>
          <c:idx val="0"/>
          <c:order val="0"/>
          <c:spPr>
            <a:scene3d>
              <a:camera prst="orthographicFront"/>
              <a:lightRig rig="threePt" dir="t"/>
            </a:scene3d>
            <a:sp3d>
              <a:bevelT/>
            </a:sp3d>
          </c:spPr>
          <c:dPt>
            <c:idx val="0"/>
            <c:bubble3D val="0"/>
            <c:spPr>
              <a:solidFill>
                <a:srgbClr val="00B0F0"/>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1-4CB5-4B2D-B210-A308ED441471}"/>
              </c:ext>
            </c:extLst>
          </c:dPt>
          <c:dPt>
            <c:idx val="1"/>
            <c:bubble3D val="0"/>
            <c:spPr>
              <a:solidFill>
                <a:schemeClr val="accent6">
                  <a:lumMod val="75000"/>
                </a:schemeClr>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3-4CB5-4B2D-B210-A308ED441471}"/>
              </c:ext>
            </c:extLst>
          </c:dPt>
          <c:dPt>
            <c:idx val="2"/>
            <c:bubble3D val="0"/>
            <c:spPr>
              <a:solidFill>
                <a:srgbClr val="00B050"/>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5-4CB5-4B2D-B210-A308ED441471}"/>
              </c:ext>
            </c:extLst>
          </c:dPt>
          <c:dPt>
            <c:idx val="3"/>
            <c:bubble3D val="0"/>
            <c:spPr>
              <a:solidFill>
                <a:srgbClr val="FFCC00"/>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7-4CB5-4B2D-B210-A308ED441471}"/>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'3.Resum Desemp Procesos POA T2'!$B$30:$B$33</c:f>
              <c:strCache>
                <c:ptCount val="4"/>
                <c:pt idx="0">
                  <c:v>Procesos Estratégicos </c:v>
                </c:pt>
                <c:pt idx="1">
                  <c:v>Procesos Misionales </c:v>
                </c:pt>
                <c:pt idx="2">
                  <c:v>Procesos Apoyo </c:v>
                </c:pt>
                <c:pt idx="3">
                  <c:v>Procesos de Evaluación, Seguimiento y Control</c:v>
                </c:pt>
              </c:strCache>
            </c:strRef>
          </c:cat>
          <c:val>
            <c:numRef>
              <c:f>'3.Resum Desemp Procesos POA T2'!$C$30:$C$33</c:f>
              <c:numCache>
                <c:formatCode>0</c:formatCode>
                <c:ptCount val="4"/>
                <c:pt idx="0">
                  <c:v>20</c:v>
                </c:pt>
                <c:pt idx="1">
                  <c:v>35</c:v>
                </c:pt>
                <c:pt idx="2">
                  <c:v>26</c:v>
                </c:pt>
                <c:pt idx="3">
                  <c:v>6</c:v>
                </c:pt>
              </c:numCache>
            </c:numRef>
          </c:val>
          <c:extLst>
            <c:ext xmlns:c16="http://schemas.microsoft.com/office/drawing/2014/chart" uri="{C3380CC4-5D6E-409C-BE32-E72D297353CC}">
              <c16:uniqueId val="{00000008-4CB5-4B2D-B210-A308ED441471}"/>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layout>
        <c:manualLayout>
          <c:xMode val="edge"/>
          <c:yMode val="edge"/>
          <c:x val="0.66866588234675184"/>
          <c:y val="0.38070957114506621"/>
          <c:w val="0.30537343374401005"/>
          <c:h val="0.4040558670796695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a:t>Desempeño Promedio 
Año 2022</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'3.Resum Desemp Procesos POA T3'!$C$8</c:f>
              <c:strCache>
                <c:ptCount val="1"/>
                <c:pt idx="0">
                  <c:v>Desempeño Promedio 
Año 2022</c:v>
                </c:pt>
              </c:strCache>
            </c:strRef>
          </c:tx>
          <c:spPr>
            <a:solidFill>
              <a:srgbClr val="66FF33"/>
            </a:solidFill>
            <a:ln>
              <a:noFill/>
            </a:ln>
            <a:effectLst/>
            <a:scene3d>
              <a:camera prst="orthographicFront"/>
              <a:lightRig rig="threePt" dir="t"/>
            </a:scene3d>
            <a:sp3d>
              <a:bevelT/>
            </a:sp3d>
          </c:spPr>
          <c:invertIfNegative val="0"/>
          <c:dPt>
            <c:idx val="0"/>
            <c:invertIfNegative val="0"/>
            <c:bubble3D val="0"/>
            <c:spPr>
              <a:solidFill>
                <a:srgbClr val="66FF33"/>
              </a:solidFill>
              <a:ln>
                <a:noFill/>
              </a:ln>
              <a:effectLst/>
              <a:scene3d>
                <a:camera prst="orthographicFront"/>
                <a:lightRig rig="threePt" dir="t"/>
              </a:scene3d>
              <a:sp3d>
                <a:bevelT/>
              </a:sp3d>
            </c:spPr>
            <c:extLst>
              <c:ext xmlns:c16="http://schemas.microsoft.com/office/drawing/2014/chart" uri="{C3380CC4-5D6E-409C-BE32-E72D297353CC}">
                <c16:uniqueId val="{00000001-9FCB-4E34-86DC-1F9684B41E55}"/>
              </c:ext>
            </c:extLst>
          </c:dPt>
          <c:dPt>
            <c:idx val="1"/>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3-9FCB-4E34-86DC-1F9684B41E55}"/>
              </c:ext>
            </c:extLst>
          </c:dPt>
          <c:dPt>
            <c:idx val="2"/>
            <c:invertIfNegative val="0"/>
            <c:bubble3D val="0"/>
            <c:spPr>
              <a:solidFill>
                <a:srgbClr val="66FF33"/>
              </a:solidFill>
              <a:ln>
                <a:noFill/>
              </a:ln>
              <a:effectLst/>
              <a:scene3d>
                <a:camera prst="orthographicFront"/>
                <a:lightRig rig="threePt" dir="t"/>
              </a:scene3d>
              <a:sp3d>
                <a:bevelT/>
              </a:sp3d>
            </c:spPr>
            <c:extLst>
              <c:ext xmlns:c16="http://schemas.microsoft.com/office/drawing/2014/chart" uri="{C3380CC4-5D6E-409C-BE32-E72D297353CC}">
                <c16:uniqueId val="{00000005-9FCB-4E34-86DC-1F9684B41E55}"/>
              </c:ext>
            </c:extLst>
          </c:dPt>
          <c:dPt>
            <c:idx val="3"/>
            <c:invertIfNegative val="0"/>
            <c:bubble3D val="0"/>
            <c:spPr>
              <a:solidFill>
                <a:srgbClr val="66FF33"/>
              </a:solidFill>
              <a:ln>
                <a:noFill/>
              </a:ln>
              <a:effectLst/>
              <a:scene3d>
                <a:camera prst="orthographicFront"/>
                <a:lightRig rig="threePt" dir="t"/>
              </a:scene3d>
              <a:sp3d>
                <a:bevelT/>
              </a:sp3d>
            </c:spPr>
            <c:extLst>
              <c:ext xmlns:c16="http://schemas.microsoft.com/office/drawing/2014/chart" uri="{C3380CC4-5D6E-409C-BE32-E72D297353CC}">
                <c16:uniqueId val="{00000007-9FCB-4E34-86DC-1F9684B41E55}"/>
              </c:ext>
            </c:extLst>
          </c:dPt>
          <c:dPt>
            <c:idx val="4"/>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9-9FCB-4E34-86DC-1F9684B41E55}"/>
              </c:ext>
            </c:extLst>
          </c:dPt>
          <c:dPt>
            <c:idx val="5"/>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B-9FCB-4E34-86DC-1F9684B41E55}"/>
              </c:ext>
            </c:extLst>
          </c:dPt>
          <c:dPt>
            <c:idx val="6"/>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D-9FCB-4E34-86DC-1F9684B41E55}"/>
              </c:ext>
            </c:extLst>
          </c:dPt>
          <c:dPt>
            <c:idx val="7"/>
            <c:invertIfNegative val="0"/>
            <c:bubble3D val="0"/>
            <c:spPr>
              <a:solidFill>
                <a:srgbClr val="66FF33"/>
              </a:solidFill>
              <a:ln>
                <a:noFill/>
              </a:ln>
              <a:effectLst/>
              <a:scene3d>
                <a:camera prst="orthographicFront"/>
                <a:lightRig rig="threePt" dir="t"/>
              </a:scene3d>
              <a:sp3d>
                <a:bevelT/>
              </a:sp3d>
            </c:spPr>
            <c:extLst>
              <c:ext xmlns:c16="http://schemas.microsoft.com/office/drawing/2014/chart" uri="{C3380CC4-5D6E-409C-BE32-E72D297353CC}">
                <c16:uniqueId val="{0000000F-9FCB-4E34-86DC-1F9684B41E55}"/>
              </c:ext>
            </c:extLst>
          </c:dPt>
          <c:dPt>
            <c:idx val="8"/>
            <c:invertIfNegative val="0"/>
            <c:bubble3D val="0"/>
            <c:spPr>
              <a:solidFill>
                <a:srgbClr val="66FF33"/>
              </a:solidFill>
              <a:ln>
                <a:noFill/>
              </a:ln>
              <a:effectLst/>
              <a:scene3d>
                <a:camera prst="orthographicFront"/>
                <a:lightRig rig="threePt" dir="t"/>
              </a:scene3d>
              <a:sp3d>
                <a:bevelT/>
              </a:sp3d>
            </c:spPr>
            <c:extLst>
              <c:ext xmlns:c16="http://schemas.microsoft.com/office/drawing/2014/chart" uri="{C3380CC4-5D6E-409C-BE32-E72D297353CC}">
                <c16:uniqueId val="{00000011-9FCB-4E34-86DC-1F9684B41E55}"/>
              </c:ext>
            </c:extLst>
          </c:dPt>
          <c:dPt>
            <c:idx val="9"/>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13-9FCB-4E34-86DC-1F9684B41E55}"/>
              </c:ext>
            </c:extLst>
          </c:dPt>
          <c:dPt>
            <c:idx val="10"/>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15-9FCB-4E34-86DC-1F9684B41E55}"/>
              </c:ext>
            </c:extLst>
          </c:dPt>
          <c:dPt>
            <c:idx val="11"/>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17-9FCB-4E34-86DC-1F9684B41E55}"/>
              </c:ext>
            </c:extLst>
          </c:dPt>
          <c:dPt>
            <c:idx val="12"/>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19-9FCB-4E34-86DC-1F9684B41E55}"/>
              </c:ext>
            </c:extLst>
          </c:dPt>
          <c:dPt>
            <c:idx val="13"/>
            <c:invertIfNegative val="0"/>
            <c:bubble3D val="0"/>
            <c:spPr>
              <a:solidFill>
                <a:srgbClr val="66FF33"/>
              </a:solidFill>
              <a:ln>
                <a:noFill/>
              </a:ln>
              <a:effectLst/>
              <a:scene3d>
                <a:camera prst="orthographicFront"/>
                <a:lightRig rig="threePt" dir="t"/>
              </a:scene3d>
              <a:sp3d>
                <a:bevelT/>
              </a:sp3d>
            </c:spPr>
            <c:extLst>
              <c:ext xmlns:c16="http://schemas.microsoft.com/office/drawing/2014/chart" uri="{C3380CC4-5D6E-409C-BE32-E72D297353CC}">
                <c16:uniqueId val="{0000001B-9FCB-4E34-86DC-1F9684B41E55}"/>
              </c:ext>
            </c:extLst>
          </c:dPt>
          <c:dPt>
            <c:idx val="14"/>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1D-9FCB-4E34-86DC-1F9684B41E55}"/>
              </c:ext>
            </c:extLst>
          </c:dPt>
          <c:dPt>
            <c:idx val="15"/>
            <c:invertIfNegative val="0"/>
            <c:bubble3D val="0"/>
            <c:spPr>
              <a:solidFill>
                <a:srgbClr val="66FF33"/>
              </a:solidFill>
              <a:ln>
                <a:noFill/>
              </a:ln>
              <a:effectLst/>
              <a:scene3d>
                <a:camera prst="orthographicFront"/>
                <a:lightRig rig="threePt" dir="t"/>
              </a:scene3d>
              <a:sp3d>
                <a:bevelT/>
              </a:sp3d>
            </c:spPr>
            <c:extLst>
              <c:ext xmlns:c16="http://schemas.microsoft.com/office/drawing/2014/chart" uri="{C3380CC4-5D6E-409C-BE32-E72D297353CC}">
                <c16:uniqueId val="{0000001F-9FCB-4E34-86DC-1F9684B41E5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'3.Resum Desemp Procesos POA T3'!$B$9:$B$24</c:f>
              <c:strCache>
                <c:ptCount val="16"/>
                <c:pt idx="0">
                  <c:v>01 Direccionamiento Estratégico</c:v>
                </c:pt>
                <c:pt idx="1">
                  <c:v>02 Gestión del Conocimiento e Innovación</c:v>
                </c:pt>
                <c:pt idx="2">
                  <c:v>03 Direccionamiento TIC</c:v>
                </c:pt>
                <c:pt idx="3">
                  <c:v>04 Comunicación Estratégica</c:v>
                </c:pt>
                <c:pt idx="4">
                  <c:v>14 Servicio al Usuario</c:v>
                </c:pt>
                <c:pt idx="5">
                  <c:v>05 Promoción y Defensa de Derechos</c:v>
                </c:pt>
                <c:pt idx="6">
                  <c:v>06 Prevención y Control de la Función Pública</c:v>
                </c:pt>
                <c:pt idx="7">
                  <c:v>07 Potestad Disciplinaria</c:v>
                </c:pt>
                <c:pt idx="8">
                  <c:v>08 Gestión del Talento Humano</c:v>
                </c:pt>
                <c:pt idx="9">
                  <c:v>09 Gestión Administrativa</c:v>
                </c:pt>
                <c:pt idx="10">
                  <c:v>10 Gestión Financiera</c:v>
                </c:pt>
                <c:pt idx="11">
                  <c:v>11 Gestión Contractual</c:v>
                </c:pt>
                <c:pt idx="12">
                  <c:v>12 Gestión Documental</c:v>
                </c:pt>
                <c:pt idx="13">
                  <c:v>13 Gestión Jurídica</c:v>
                </c:pt>
                <c:pt idx="14">
                  <c:v>15 Control Disciplinario Interno</c:v>
                </c:pt>
                <c:pt idx="15">
                  <c:v>16 Evaluación y Seguimiento</c:v>
                </c:pt>
              </c:strCache>
            </c:strRef>
          </c:cat>
          <c:val>
            <c:numRef>
              <c:f>'3.Resum Desemp Procesos POA T3'!$C$9:$C$24</c:f>
              <c:numCache>
                <c:formatCode>0.0%</c:formatCode>
                <c:ptCount val="16"/>
                <c:pt idx="0">
                  <c:v>0.30107142857142855</c:v>
                </c:pt>
                <c:pt idx="1">
                  <c:v>5.921052631578947E-2</c:v>
                </c:pt>
                <c:pt idx="2">
                  <c:v>0.17500000000000002</c:v>
                </c:pt>
                <c:pt idx="3">
                  <c:v>0.33300000000000002</c:v>
                </c:pt>
                <c:pt idx="4">
                  <c:v>0.28851851851851845</c:v>
                </c:pt>
                <c:pt idx="5">
                  <c:v>0.22884414267217554</c:v>
                </c:pt>
                <c:pt idx="6">
                  <c:v>0.11701830507800658</c:v>
                </c:pt>
                <c:pt idx="7">
                  <c:v>0.15908333333333333</c:v>
                </c:pt>
                <c:pt idx="8">
                  <c:v>0.33756116071428571</c:v>
                </c:pt>
                <c:pt idx="9">
                  <c:v>0.35412886597938142</c:v>
                </c:pt>
                <c:pt idx="10">
                  <c:v>0.22459649122807021</c:v>
                </c:pt>
                <c:pt idx="11">
                  <c:v>0.39124999999999999</c:v>
                </c:pt>
                <c:pt idx="12">
                  <c:v>0.28725328947368423</c:v>
                </c:pt>
                <c:pt idx="13">
                  <c:v>0.33300000000000002</c:v>
                </c:pt>
                <c:pt idx="14">
                  <c:v>0.51666666666666672</c:v>
                </c:pt>
                <c:pt idx="15">
                  <c:v>0.11666666666666665</c:v>
                </c:pt>
              </c:numCache>
            </c:numRef>
          </c:val>
          <c:extLst>
            <c:ext xmlns:c16="http://schemas.microsoft.com/office/drawing/2014/chart" uri="{C3380CC4-5D6E-409C-BE32-E72D297353CC}">
              <c16:uniqueId val="{00000020-9FCB-4E34-86DC-1F9684B41E55}"/>
            </c:ext>
          </c:extLst>
        </c:ser>
        <c:dLbls>
          <c:showLegendKey val="0"/>
          <c:showVal val="0"/>
          <c:showCatName val="0"/>
          <c:showSerName val="0"/>
          <c:showPercent val="0"/>
          <c:showBubbleSize val="0"/>
        </c:dLbls>
        <c:gapWidth val="182"/>
        <c:axId val="1940987215"/>
        <c:axId val="1940987631"/>
      </c:barChart>
      <c:catAx>
        <c:axId val="194098721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40987631"/>
        <c:crosses val="autoZero"/>
        <c:auto val="1"/>
        <c:lblAlgn val="ctr"/>
        <c:lblOffset val="100"/>
        <c:noMultiLvlLbl val="0"/>
      </c:catAx>
      <c:valAx>
        <c:axId val="1940987631"/>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4098721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kumimoji="0" lang="es-CO" sz="1400" b="1" i="0" u="none" strike="noStrike" kern="1200" cap="none" spc="0" normalizeH="0" baseline="0" noProof="0">
                <a:ln>
                  <a:noFill/>
                </a:ln>
                <a:solidFill>
                  <a:sysClr val="windowText" lastClr="000000">
                    <a:lumMod val="65000"/>
                    <a:lumOff val="35000"/>
                  </a:sysClr>
                </a:solidFill>
                <a:effectLst/>
                <a:uLnTx/>
                <a:uFillTx/>
                <a:latin typeface="Calibri" panose="020F0502020204030204"/>
              </a:rPr>
              <a:t>Porcentaje de Participación </a:t>
            </a:r>
          </a:p>
          <a:p>
            <a:pPr>
              <a:defRPr b="1"/>
            </a:pPr>
            <a:r>
              <a:rPr kumimoji="0" lang="es-CO" sz="1400" b="1" i="0" u="none" strike="noStrike" kern="1200" cap="none" spc="0" normalizeH="0" baseline="0" noProof="0">
                <a:ln>
                  <a:noFill/>
                </a:ln>
                <a:solidFill>
                  <a:sysClr val="windowText" lastClr="000000">
                    <a:lumMod val="65000"/>
                    <a:lumOff val="35000"/>
                  </a:sysClr>
                </a:solidFill>
                <a:effectLst/>
                <a:uLnTx/>
                <a:uFillTx/>
                <a:latin typeface="Calibri" panose="020F0502020204030204"/>
              </a:rPr>
              <a:t>por Tipo de Proceso</a:t>
            </a:r>
          </a:p>
        </c:rich>
      </c:tx>
      <c:layout>
        <c:manualLayout>
          <c:xMode val="edge"/>
          <c:yMode val="edge"/>
          <c:x val="0.61884057875707421"/>
          <c:y val="0.15172272387436658"/>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4.0438244763823947E-2"/>
          <c:y val="5.7542947588286597E-2"/>
          <c:w val="0.53514791160026243"/>
          <c:h val="0.90435328362592016"/>
        </c:manualLayout>
      </c:layout>
      <c:doughnutChart>
        <c:varyColors val="1"/>
        <c:ser>
          <c:idx val="0"/>
          <c:order val="0"/>
          <c:spPr>
            <a:scene3d>
              <a:camera prst="orthographicFront"/>
              <a:lightRig rig="threePt" dir="t"/>
            </a:scene3d>
            <a:sp3d>
              <a:bevelT/>
            </a:sp3d>
          </c:spPr>
          <c:dPt>
            <c:idx val="0"/>
            <c:bubble3D val="0"/>
            <c:spPr>
              <a:solidFill>
                <a:srgbClr val="00B0F0"/>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1-BEBB-418D-86D7-3EF4B23A6949}"/>
              </c:ext>
            </c:extLst>
          </c:dPt>
          <c:dPt>
            <c:idx val="1"/>
            <c:bubble3D val="0"/>
            <c:spPr>
              <a:solidFill>
                <a:schemeClr val="accent6">
                  <a:lumMod val="75000"/>
                </a:schemeClr>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3-BEBB-418D-86D7-3EF4B23A6949}"/>
              </c:ext>
            </c:extLst>
          </c:dPt>
          <c:dPt>
            <c:idx val="2"/>
            <c:bubble3D val="0"/>
            <c:spPr>
              <a:solidFill>
                <a:srgbClr val="00B050"/>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5-BEBB-418D-86D7-3EF4B23A6949}"/>
              </c:ext>
            </c:extLst>
          </c:dPt>
          <c:dPt>
            <c:idx val="3"/>
            <c:bubble3D val="0"/>
            <c:spPr>
              <a:solidFill>
                <a:srgbClr val="FFCC00"/>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7-BEBB-418D-86D7-3EF4B23A6949}"/>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'3.Resum Desemp Procesos POA T3'!$B$30:$B$33</c:f>
              <c:strCache>
                <c:ptCount val="4"/>
                <c:pt idx="0">
                  <c:v>Procesos Estratégicos </c:v>
                </c:pt>
                <c:pt idx="1">
                  <c:v>Procesos Misionales </c:v>
                </c:pt>
                <c:pt idx="2">
                  <c:v>Procesos Apoyo </c:v>
                </c:pt>
                <c:pt idx="3">
                  <c:v>Procesos de Evaluación, Seguimiento y Control</c:v>
                </c:pt>
              </c:strCache>
            </c:strRef>
          </c:cat>
          <c:val>
            <c:numRef>
              <c:f>'3.Resum Desemp Procesos POA T3'!$C$30:$C$33</c:f>
              <c:numCache>
                <c:formatCode>0</c:formatCode>
                <c:ptCount val="4"/>
                <c:pt idx="0">
                  <c:v>20</c:v>
                </c:pt>
                <c:pt idx="1">
                  <c:v>35</c:v>
                </c:pt>
                <c:pt idx="2">
                  <c:v>26</c:v>
                </c:pt>
                <c:pt idx="3">
                  <c:v>6</c:v>
                </c:pt>
              </c:numCache>
            </c:numRef>
          </c:val>
          <c:extLst>
            <c:ext xmlns:c16="http://schemas.microsoft.com/office/drawing/2014/chart" uri="{C3380CC4-5D6E-409C-BE32-E72D297353CC}">
              <c16:uniqueId val="{00000008-BEBB-418D-86D7-3EF4B23A6949}"/>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layout>
        <c:manualLayout>
          <c:xMode val="edge"/>
          <c:yMode val="edge"/>
          <c:x val="0.66866588234675184"/>
          <c:y val="0.38070957114506621"/>
          <c:w val="0.30537343374401005"/>
          <c:h val="0.4040558670796695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22776486098742529"/>
          <c:y val="7.3490691159390137E-2"/>
          <c:w val="0.50204833805241578"/>
          <c:h val="0.67930200655359141"/>
        </c:manualLayout>
      </c:layout>
      <c:pieChart>
        <c:varyColors val="1"/>
        <c:ser>
          <c:idx val="0"/>
          <c:order val="0"/>
          <c:tx>
            <c:strRef>
              <c:f>'4.Segto Medición POA 2022 T4'!$E$34</c:f>
              <c:strCache>
                <c:ptCount val="1"/>
              </c:strCache>
            </c:strRef>
          </c:tx>
          <c:explosion val="5"/>
          <c:dPt>
            <c:idx val="0"/>
            <c:bubble3D val="0"/>
            <c:spPr>
              <a:solidFill>
                <a:srgbClr val="99FF3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002C-409E-9B04-0E6C55C78E50}"/>
              </c:ext>
            </c:extLst>
          </c:dPt>
          <c:dPt>
            <c:idx val="1"/>
            <c:bubble3D val="0"/>
            <c:spPr>
              <a:solidFill>
                <a:srgbClr val="00B0F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002C-409E-9B04-0E6C55C78E50}"/>
              </c:ext>
            </c:extLst>
          </c:dPt>
          <c:dPt>
            <c:idx val="2"/>
            <c:bubble3D val="0"/>
            <c:spPr>
              <a:solidFill>
                <a:srgbClr val="FF33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002C-409E-9B04-0E6C55C78E50}"/>
              </c:ext>
            </c:extLst>
          </c:dPt>
          <c:dPt>
            <c:idx val="3"/>
            <c:bubble3D val="0"/>
            <c:spPr>
              <a:solidFill>
                <a:schemeClr val="tx2">
                  <a:lumMod val="20000"/>
                  <a:lumOff val="8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002C-409E-9B04-0E6C55C78E50}"/>
              </c:ext>
            </c:extLst>
          </c:dPt>
          <c:dLbls>
            <c:dLbl>
              <c:idx val="0"/>
              <c:layout>
                <c:manualLayout>
                  <c:x val="-0.17950268852256016"/>
                  <c:y val="5.1157987809791958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2C-409E-9B04-0E6C55C78E50}"/>
                </c:ext>
              </c:extLst>
            </c:dLbl>
            <c:dLbl>
              <c:idx val="1"/>
              <c:layout>
                <c:manualLayout>
                  <c:x val="9.4892337117628567E-2"/>
                  <c:y val="-0.2245342032236447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02C-409E-9B04-0E6C55C78E50}"/>
                </c:ext>
              </c:extLst>
            </c:dLbl>
            <c:dLbl>
              <c:idx val="2"/>
              <c:layout>
                <c:manualLayout>
                  <c:x val="0.15605982166697316"/>
                  <c:y val="6.4969099092086049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02C-409E-9B04-0E6C55C78E50}"/>
                </c:ext>
              </c:extLst>
            </c:dLbl>
            <c:dLbl>
              <c:idx val="3"/>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6="http://schemas.microsoft.com/office/drawing/2014/chart" uri="{C3380CC4-5D6E-409C-BE32-E72D297353CC}">
                  <c16:uniqueId val="{00000007-002C-409E-9B04-0E6C55C78E50}"/>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T4'!$D$27:$D$30</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T4'!$E$27:$E$30</c:f>
              <c:numCache>
                <c:formatCode>0</c:formatCode>
                <c:ptCount val="4"/>
                <c:pt idx="0">
                  <c:v>0</c:v>
                </c:pt>
                <c:pt idx="1">
                  <c:v>0</c:v>
                </c:pt>
                <c:pt idx="2">
                  <c:v>78</c:v>
                </c:pt>
                <c:pt idx="3">
                  <c:v>9</c:v>
                </c:pt>
              </c:numCache>
            </c:numRef>
          </c:val>
          <c:extLst>
            <c:ext xmlns:c16="http://schemas.microsoft.com/office/drawing/2014/chart" uri="{C3380CC4-5D6E-409C-BE32-E72D297353CC}">
              <c16:uniqueId val="{00000008-002C-409E-9B04-0E6C55C78E50}"/>
            </c:ext>
          </c:extLst>
        </c:ser>
        <c:ser>
          <c:idx val="1"/>
          <c:order val="1"/>
          <c:tx>
            <c:strRef>
              <c:f>'4.Segto Medición POA 2022 T4'!$F$34</c:f>
              <c:strCache>
                <c:ptCount val="1"/>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002C-409E-9B04-0E6C55C78E50}"/>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C-002C-409E-9B04-0E6C55C78E50}"/>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E-002C-409E-9B04-0E6C55C78E50}"/>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0-002C-409E-9B04-0E6C55C78E50}"/>
              </c:ext>
            </c:extLst>
          </c:dPt>
          <c:cat>
            <c:strRef>
              <c:f>'4.Segto Medición POA 2022 T4'!$D$27:$D$30</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T4'!$F$56:$F$59</c:f>
              <c:numCache>
                <c:formatCode>0%</c:formatCode>
                <c:ptCount val="4"/>
              </c:numCache>
            </c:numRef>
          </c:val>
          <c:extLst>
            <c:ext xmlns:c16="http://schemas.microsoft.com/office/drawing/2014/chart" uri="{C3380CC4-5D6E-409C-BE32-E72D297353CC}">
              <c16:uniqueId val="{00000011-002C-409E-9B04-0E6C55C78E5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Cumplimiento Programación - Acumulado</a:t>
            </a:r>
          </a:p>
          <a:p>
            <a:pPr>
              <a:defRPr b="1"/>
            </a:pPr>
            <a:r>
              <a:rPr lang="es-CO" b="1"/>
              <a:t>Corte </a:t>
            </a:r>
            <a:r>
              <a:rPr lang="es-CO" b="1" baseline="0"/>
              <a:t>31/12/2021</a:t>
            </a:r>
            <a:endParaRPr lang="es-CO" b="1"/>
          </a:p>
        </c:rich>
      </c:tx>
      <c:layout>
        <c:manualLayout>
          <c:xMode val="edge"/>
          <c:yMode val="edge"/>
          <c:x val="0.32313872398663868"/>
          <c:y val="1.537070633841938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spPr>
            <a:scene3d>
              <a:camera prst="orthographicFront"/>
              <a:lightRig rig="threePt" dir="t"/>
            </a:scene3d>
            <a:sp3d>
              <a:bevelT/>
              <a:bevelB/>
            </a:sp3d>
          </c:spPr>
          <c:dPt>
            <c:idx val="0"/>
            <c:bubble3D val="0"/>
            <c:spPr>
              <a:solidFill>
                <a:srgbClr val="66FF33"/>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1-AB74-41F3-A99B-B6A94F28C70C}"/>
              </c:ext>
            </c:extLst>
          </c:dPt>
          <c:dPt>
            <c:idx val="1"/>
            <c:bubble3D val="0"/>
            <c:spPr>
              <a:solidFill>
                <a:srgbClr val="0099FF"/>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3-AB74-41F3-A99B-B6A94F28C70C}"/>
              </c:ext>
            </c:extLst>
          </c:dPt>
          <c:dPt>
            <c:idx val="2"/>
            <c:bubble3D val="0"/>
            <c:spPr>
              <a:solidFill>
                <a:srgbClr val="FF0000"/>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5-AB74-41F3-A99B-B6A94F28C70C}"/>
              </c:ext>
            </c:extLst>
          </c:dPt>
          <c:dPt>
            <c:idx val="3"/>
            <c:bubble3D val="0"/>
            <c:spPr>
              <a:solidFill>
                <a:schemeClr val="accent1">
                  <a:lumMod val="40000"/>
                  <a:lumOff val="60000"/>
                </a:schemeClr>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7-AB74-41F3-A99B-B6A94F28C70C}"/>
              </c:ext>
            </c:extLst>
          </c:dPt>
          <c:dLbls>
            <c:dLbl>
              <c:idx val="0"/>
              <c:layout>
                <c:manualLayout>
                  <c:x val="-0.16833324031549513"/>
                  <c:y val="-1.0987885403833903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B74-41F3-A99B-B6A94F28C70C}"/>
                </c:ext>
              </c:extLst>
            </c:dLbl>
            <c:dLbl>
              <c:idx val="2"/>
              <c:layout>
                <c:manualLayout>
                  <c:x val="5.8297120736036795E-2"/>
                  <c:y val="8.5352549621576679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B74-41F3-A99B-B6A94F28C70C}"/>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T4'!$D$56:$D$59</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T4'!$E$56:$E$59</c:f>
              <c:numCache>
                <c:formatCode>0</c:formatCode>
                <c:ptCount val="4"/>
                <c:pt idx="0">
                  <c:v>0</c:v>
                </c:pt>
                <c:pt idx="1">
                  <c:v>1</c:v>
                </c:pt>
                <c:pt idx="2">
                  <c:v>85</c:v>
                </c:pt>
                <c:pt idx="3">
                  <c:v>1</c:v>
                </c:pt>
              </c:numCache>
            </c:numRef>
          </c:val>
          <c:extLst>
            <c:ext xmlns:c16="http://schemas.microsoft.com/office/drawing/2014/chart" uri="{C3380CC4-5D6E-409C-BE32-E72D297353CC}">
              <c16:uniqueId val="{00000008-AB74-41F3-A99B-B6A94F28C70C}"/>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9.5125918709015531E-4"/>
          <c:y val="0.8196201271351593"/>
          <c:w val="0.57615093545586937"/>
          <c:h val="0.1636004024807946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22776486098742529"/>
          <c:y val="7.3490691159390137E-2"/>
          <c:w val="0.50204833805241578"/>
          <c:h val="0.67930200655359141"/>
        </c:manualLayout>
      </c:layout>
      <c:pieChart>
        <c:varyColors val="1"/>
        <c:ser>
          <c:idx val="0"/>
          <c:order val="0"/>
          <c:tx>
            <c:strRef>
              <c:f>'4.Segto Medición POA 2022 T1'!$E$34</c:f>
              <c:strCache>
                <c:ptCount val="1"/>
              </c:strCache>
            </c:strRef>
          </c:tx>
          <c:explosion val="5"/>
          <c:dPt>
            <c:idx val="0"/>
            <c:bubble3D val="0"/>
            <c:spPr>
              <a:solidFill>
                <a:srgbClr val="99FF3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B3F2-4BF6-B9EE-56772352DADE}"/>
              </c:ext>
            </c:extLst>
          </c:dPt>
          <c:dPt>
            <c:idx val="1"/>
            <c:bubble3D val="0"/>
            <c:spPr>
              <a:solidFill>
                <a:srgbClr val="00B0F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B3F2-4BF6-B9EE-56772352DADE}"/>
              </c:ext>
            </c:extLst>
          </c:dPt>
          <c:dPt>
            <c:idx val="2"/>
            <c:bubble3D val="0"/>
            <c:spPr>
              <a:solidFill>
                <a:srgbClr val="FF33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B3F2-4BF6-B9EE-56772352DADE}"/>
              </c:ext>
            </c:extLst>
          </c:dPt>
          <c:dPt>
            <c:idx val="3"/>
            <c:bubble3D val="0"/>
            <c:spPr>
              <a:solidFill>
                <a:schemeClr val="tx2">
                  <a:lumMod val="20000"/>
                  <a:lumOff val="8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B3F2-4BF6-B9EE-56772352DADE}"/>
              </c:ext>
            </c:extLst>
          </c:dPt>
          <c:dLbls>
            <c:dLbl>
              <c:idx val="0"/>
              <c:layout>
                <c:manualLayout>
                  <c:x val="-0.16876791945038003"/>
                  <c:y val="8.9483287654106722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3F2-4BF6-B9EE-56772352DADE}"/>
                </c:ext>
              </c:extLst>
            </c:dLbl>
            <c:dLbl>
              <c:idx val="1"/>
              <c:layout>
                <c:manualLayout>
                  <c:x val="3.0483689919125721E-2"/>
                  <c:y val="-0.1807338925490948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3F2-4BF6-B9EE-56772352DADE}"/>
                </c:ext>
              </c:extLst>
            </c:dLbl>
            <c:dLbl>
              <c:idx val="2"/>
              <c:layout>
                <c:manualLayout>
                  <c:x val="0.15176591111952611"/>
                  <c:y val="2.0061497208053122E-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3F2-4BF6-B9EE-56772352DADE}"/>
                </c:ext>
              </c:extLst>
            </c:dLbl>
            <c:dLbl>
              <c:idx val="3"/>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6="http://schemas.microsoft.com/office/drawing/2014/chart" uri="{C3380CC4-5D6E-409C-BE32-E72D297353CC}">
                  <c16:uniqueId val="{00000007-B3F2-4BF6-B9EE-56772352DADE}"/>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T1'!$D$27:$D$30</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T1'!$E$27:$E$30</c:f>
              <c:numCache>
                <c:formatCode>0</c:formatCode>
                <c:ptCount val="4"/>
                <c:pt idx="0">
                  <c:v>33</c:v>
                </c:pt>
                <c:pt idx="1">
                  <c:v>27</c:v>
                </c:pt>
                <c:pt idx="2">
                  <c:v>11</c:v>
                </c:pt>
                <c:pt idx="3">
                  <c:v>16</c:v>
                </c:pt>
              </c:numCache>
            </c:numRef>
          </c:val>
          <c:extLst>
            <c:ext xmlns:c16="http://schemas.microsoft.com/office/drawing/2014/chart" uri="{C3380CC4-5D6E-409C-BE32-E72D297353CC}">
              <c16:uniqueId val="{00000008-B3F2-4BF6-B9EE-56772352DADE}"/>
            </c:ext>
          </c:extLst>
        </c:ser>
        <c:ser>
          <c:idx val="1"/>
          <c:order val="1"/>
          <c:tx>
            <c:strRef>
              <c:f>'4.Segto Medición POA 2022 T4'!$F$34</c:f>
              <c:strCache>
                <c:ptCount val="1"/>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B3F2-4BF6-B9EE-56772352DADE}"/>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C-B3F2-4BF6-B9EE-56772352DADE}"/>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E-B3F2-4BF6-B9EE-56772352DADE}"/>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0-B3F2-4BF6-B9EE-56772352DADE}"/>
              </c:ext>
            </c:extLst>
          </c:dPt>
          <c:cat>
            <c:strRef>
              <c:f>'4.Segto Medición POA 2022 T1'!$D$27:$D$30</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T4'!$F$56:$F$59</c:f>
              <c:numCache>
                <c:formatCode>0%</c:formatCode>
                <c:ptCount val="4"/>
              </c:numCache>
            </c:numRef>
          </c:val>
          <c:extLst>
            <c:ext xmlns:c16="http://schemas.microsoft.com/office/drawing/2014/chart" uri="{C3380CC4-5D6E-409C-BE32-E72D297353CC}">
              <c16:uniqueId val="{00000011-B3F2-4BF6-B9EE-56772352DADE}"/>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Cumplimiento Programación - Acumulado</a:t>
            </a:r>
          </a:p>
          <a:p>
            <a:pPr>
              <a:defRPr b="1"/>
            </a:pPr>
            <a:r>
              <a:rPr lang="es-CO" b="1"/>
              <a:t>Corte </a:t>
            </a:r>
            <a:r>
              <a:rPr lang="es-CO" b="1" baseline="0"/>
              <a:t>31/12/2021</a:t>
            </a:r>
            <a:endParaRPr lang="es-CO" b="1"/>
          </a:p>
        </c:rich>
      </c:tx>
      <c:layout>
        <c:manualLayout>
          <c:xMode val="edge"/>
          <c:yMode val="edge"/>
          <c:x val="0.32313872398663868"/>
          <c:y val="1.537070633841938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spPr>
            <a:scene3d>
              <a:camera prst="orthographicFront"/>
              <a:lightRig rig="threePt" dir="t"/>
            </a:scene3d>
            <a:sp3d>
              <a:bevelT/>
              <a:bevelB/>
            </a:sp3d>
          </c:spPr>
          <c:dPt>
            <c:idx val="0"/>
            <c:bubble3D val="0"/>
            <c:spPr>
              <a:solidFill>
                <a:srgbClr val="66FF33"/>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1-F093-4713-B8E7-B727B8446D58}"/>
              </c:ext>
            </c:extLst>
          </c:dPt>
          <c:dPt>
            <c:idx val="1"/>
            <c:bubble3D val="0"/>
            <c:spPr>
              <a:solidFill>
                <a:srgbClr val="0099FF"/>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3-F093-4713-B8E7-B727B8446D58}"/>
              </c:ext>
            </c:extLst>
          </c:dPt>
          <c:dPt>
            <c:idx val="2"/>
            <c:bubble3D val="0"/>
            <c:spPr>
              <a:solidFill>
                <a:srgbClr val="FF0000"/>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5-F093-4713-B8E7-B727B8446D58}"/>
              </c:ext>
            </c:extLst>
          </c:dPt>
          <c:dPt>
            <c:idx val="3"/>
            <c:bubble3D val="0"/>
            <c:spPr>
              <a:solidFill>
                <a:schemeClr val="accent1">
                  <a:lumMod val="40000"/>
                  <a:lumOff val="60000"/>
                </a:schemeClr>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7-F093-4713-B8E7-B727B8446D58}"/>
              </c:ext>
            </c:extLst>
          </c:dPt>
          <c:dLbls>
            <c:dLbl>
              <c:idx val="0"/>
              <c:layout>
                <c:manualLayout>
                  <c:x val="-0.16833324031549513"/>
                  <c:y val="-1.0987885403833903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093-4713-B8E7-B727B8446D58}"/>
                </c:ext>
              </c:extLst>
            </c:dLbl>
            <c:dLbl>
              <c:idx val="1"/>
              <c:layout>
                <c:manualLayout>
                  <c:x val="4.4309321102575662E-2"/>
                  <c:y val="-0.145414860809255"/>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093-4713-B8E7-B727B8446D58}"/>
                </c:ext>
              </c:extLst>
            </c:dLbl>
            <c:dLbl>
              <c:idx val="2"/>
              <c:layout>
                <c:manualLayout>
                  <c:x val="0.13258482141486183"/>
                  <c:y val="1.6783809831916944E-3"/>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093-4713-B8E7-B727B8446D58}"/>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T1'!$D$56:$D$59</c:f>
              <c:strCache>
                <c:ptCount val="4"/>
                <c:pt idx="0">
                  <c:v>No de Indicadores con Meta Cumplida según progrLación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T1'!$E$56:$E$59</c:f>
              <c:numCache>
                <c:formatCode>0</c:formatCode>
                <c:ptCount val="4"/>
                <c:pt idx="0">
                  <c:v>33</c:v>
                </c:pt>
                <c:pt idx="1">
                  <c:v>27</c:v>
                </c:pt>
                <c:pt idx="2">
                  <c:v>11</c:v>
                </c:pt>
                <c:pt idx="3">
                  <c:v>16</c:v>
                </c:pt>
              </c:numCache>
            </c:numRef>
          </c:val>
          <c:extLst>
            <c:ext xmlns:c16="http://schemas.microsoft.com/office/drawing/2014/chart" uri="{C3380CC4-5D6E-409C-BE32-E72D297353CC}">
              <c16:uniqueId val="{00000008-F093-4713-B8E7-B727B8446D58}"/>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9.5125918709015531E-4"/>
          <c:y val="0.8196201271351593"/>
          <c:w val="0.57615093545586937"/>
          <c:h val="0.1636004024807946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a:t>Desempeño Promedio 
Año 2022</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'3.Resum Desemp Procesos POA T1'!$C$8</c:f>
              <c:strCache>
                <c:ptCount val="1"/>
                <c:pt idx="0">
                  <c:v>Desempeño Promedio 
Año 2022</c:v>
                </c:pt>
              </c:strCache>
            </c:strRef>
          </c:tx>
          <c:spPr>
            <a:solidFill>
              <a:srgbClr val="66FF33"/>
            </a:solidFill>
            <a:ln>
              <a:noFill/>
            </a:ln>
            <a:effectLst/>
            <a:scene3d>
              <a:camera prst="orthographicFront"/>
              <a:lightRig rig="threePt" dir="t"/>
            </a:scene3d>
            <a:sp3d>
              <a:bevelT/>
            </a:sp3d>
          </c:spPr>
          <c:invertIfNegative val="0"/>
          <c:dPt>
            <c:idx val="0"/>
            <c:invertIfNegative val="0"/>
            <c:bubble3D val="0"/>
            <c:spPr>
              <a:solidFill>
                <a:srgbClr val="66FF33"/>
              </a:solidFill>
              <a:ln>
                <a:noFill/>
              </a:ln>
              <a:effectLst/>
              <a:scene3d>
                <a:camera prst="orthographicFront"/>
                <a:lightRig rig="threePt" dir="t"/>
              </a:scene3d>
              <a:sp3d>
                <a:bevelT/>
              </a:sp3d>
            </c:spPr>
            <c:extLst>
              <c:ext xmlns:c16="http://schemas.microsoft.com/office/drawing/2014/chart" uri="{C3380CC4-5D6E-409C-BE32-E72D297353CC}">
                <c16:uniqueId val="{00000013-894A-4910-A57B-F4544D443F5A}"/>
              </c:ext>
            </c:extLst>
          </c:dPt>
          <c:dPt>
            <c:idx val="1"/>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2-F9CC-4A3E-9CFD-5EEDFFF7CEFD}"/>
              </c:ext>
            </c:extLst>
          </c:dPt>
          <c:dPt>
            <c:idx val="2"/>
            <c:invertIfNegative val="0"/>
            <c:bubble3D val="0"/>
            <c:spPr>
              <a:solidFill>
                <a:srgbClr val="66FF33"/>
              </a:solidFill>
              <a:ln>
                <a:noFill/>
              </a:ln>
              <a:effectLst/>
              <a:scene3d>
                <a:camera prst="orthographicFront"/>
                <a:lightRig rig="threePt" dir="t"/>
              </a:scene3d>
              <a:sp3d>
                <a:bevelT/>
              </a:sp3d>
            </c:spPr>
            <c:extLst>
              <c:ext xmlns:c16="http://schemas.microsoft.com/office/drawing/2014/chart" uri="{C3380CC4-5D6E-409C-BE32-E72D297353CC}">
                <c16:uniqueId val="{0000001B-D13F-4E02-8782-6856BEF803B5}"/>
              </c:ext>
            </c:extLst>
          </c:dPt>
          <c:dPt>
            <c:idx val="3"/>
            <c:invertIfNegative val="0"/>
            <c:bubble3D val="0"/>
            <c:spPr>
              <a:solidFill>
                <a:srgbClr val="66FF33"/>
              </a:solidFill>
              <a:ln>
                <a:noFill/>
              </a:ln>
              <a:effectLst/>
              <a:scene3d>
                <a:camera prst="orthographicFront"/>
                <a:lightRig rig="threePt" dir="t"/>
              </a:scene3d>
              <a:sp3d>
                <a:bevelT/>
              </a:sp3d>
            </c:spPr>
            <c:extLst>
              <c:ext xmlns:c16="http://schemas.microsoft.com/office/drawing/2014/chart" uri="{C3380CC4-5D6E-409C-BE32-E72D297353CC}">
                <c16:uniqueId val="{0000001A-D13F-4E02-8782-6856BEF803B5}"/>
              </c:ext>
            </c:extLst>
          </c:dPt>
          <c:dPt>
            <c:idx val="4"/>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0-6737-4599-87C8-EB5C9F6704E5}"/>
              </c:ext>
            </c:extLst>
          </c:dPt>
          <c:dPt>
            <c:idx val="5"/>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3-F9CC-4A3E-9CFD-5EEDFFF7CEFD}"/>
              </c:ext>
            </c:extLst>
          </c:dPt>
          <c:dPt>
            <c:idx val="6"/>
            <c:invertIfNegative val="0"/>
            <c:bubble3D val="0"/>
            <c:spPr>
              <a:solidFill>
                <a:srgbClr val="FFFF00"/>
              </a:solidFill>
              <a:ln>
                <a:noFill/>
              </a:ln>
              <a:effectLst/>
              <a:scene3d>
                <a:camera prst="orthographicFront"/>
                <a:lightRig rig="threePt" dir="t"/>
              </a:scene3d>
              <a:sp3d>
                <a:bevelT/>
              </a:sp3d>
            </c:spPr>
            <c:extLst>
              <c:ext xmlns:c16="http://schemas.microsoft.com/office/drawing/2014/chart" uri="{C3380CC4-5D6E-409C-BE32-E72D297353CC}">
                <c16:uniqueId val="{00000004-F9CC-4A3E-9CFD-5EEDFFF7CEFD}"/>
              </c:ext>
            </c:extLst>
          </c:dPt>
          <c:dPt>
            <c:idx val="7"/>
            <c:invertIfNegative val="0"/>
            <c:bubble3D val="0"/>
            <c:spPr>
              <a:solidFill>
                <a:srgbClr val="66FF33"/>
              </a:solidFill>
              <a:ln>
                <a:noFill/>
              </a:ln>
              <a:effectLst/>
              <a:scene3d>
                <a:camera prst="orthographicFront"/>
                <a:lightRig rig="threePt" dir="t"/>
              </a:scene3d>
              <a:sp3d>
                <a:bevelT/>
              </a:sp3d>
            </c:spPr>
            <c:extLst>
              <c:ext xmlns:c16="http://schemas.microsoft.com/office/drawing/2014/chart" uri="{C3380CC4-5D6E-409C-BE32-E72D297353CC}">
                <c16:uniqueId val="{00000005-F9CC-4A3E-9CFD-5EEDFFF7CEFD}"/>
              </c:ext>
            </c:extLst>
          </c:dPt>
          <c:dPt>
            <c:idx val="8"/>
            <c:invertIfNegative val="0"/>
            <c:bubble3D val="0"/>
            <c:spPr>
              <a:solidFill>
                <a:srgbClr val="66FF33"/>
              </a:solidFill>
              <a:ln>
                <a:noFill/>
              </a:ln>
              <a:effectLst/>
              <a:scene3d>
                <a:camera prst="orthographicFront"/>
                <a:lightRig rig="threePt" dir="t"/>
              </a:scene3d>
              <a:sp3d>
                <a:bevelT/>
              </a:sp3d>
            </c:spPr>
            <c:extLst>
              <c:ext xmlns:c16="http://schemas.microsoft.com/office/drawing/2014/chart" uri="{C3380CC4-5D6E-409C-BE32-E72D297353CC}">
                <c16:uniqueId val="{00000014-894A-4910-A57B-F4544D443F5A}"/>
              </c:ext>
            </c:extLst>
          </c:dPt>
          <c:dPt>
            <c:idx val="9"/>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15-894A-4910-A57B-F4544D443F5A}"/>
              </c:ext>
            </c:extLst>
          </c:dPt>
          <c:dPt>
            <c:idx val="10"/>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7-F9CC-4A3E-9CFD-5EEDFFF7CEFD}"/>
              </c:ext>
            </c:extLst>
          </c:dPt>
          <c:dPt>
            <c:idx val="11"/>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8-F9CC-4A3E-9CFD-5EEDFFF7CEFD}"/>
              </c:ext>
            </c:extLst>
          </c:dPt>
          <c:dPt>
            <c:idx val="12"/>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9-F9CC-4A3E-9CFD-5EEDFFF7CEFD}"/>
              </c:ext>
            </c:extLst>
          </c:dPt>
          <c:dPt>
            <c:idx val="13"/>
            <c:invertIfNegative val="0"/>
            <c:bubble3D val="0"/>
            <c:spPr>
              <a:solidFill>
                <a:srgbClr val="66FF33"/>
              </a:solidFill>
              <a:ln>
                <a:noFill/>
              </a:ln>
              <a:effectLst/>
              <a:scene3d>
                <a:camera prst="orthographicFront"/>
                <a:lightRig rig="threePt" dir="t"/>
              </a:scene3d>
              <a:sp3d>
                <a:bevelT/>
              </a:sp3d>
            </c:spPr>
            <c:extLst>
              <c:ext xmlns:c16="http://schemas.microsoft.com/office/drawing/2014/chart" uri="{C3380CC4-5D6E-409C-BE32-E72D297353CC}">
                <c16:uniqueId val="{00000018-D13F-4E02-8782-6856BEF803B5}"/>
              </c:ext>
            </c:extLst>
          </c:dPt>
          <c:dPt>
            <c:idx val="14"/>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A-F9CC-4A3E-9CFD-5EEDFFF7CEFD}"/>
              </c:ext>
            </c:extLst>
          </c:dPt>
          <c:dPt>
            <c:idx val="15"/>
            <c:invertIfNegative val="0"/>
            <c:bubble3D val="0"/>
            <c:spPr>
              <a:solidFill>
                <a:srgbClr val="66FF33"/>
              </a:solidFill>
              <a:ln>
                <a:noFill/>
              </a:ln>
              <a:effectLst/>
              <a:scene3d>
                <a:camera prst="orthographicFront"/>
                <a:lightRig rig="threePt" dir="t"/>
              </a:scene3d>
              <a:sp3d>
                <a:bevelT/>
              </a:sp3d>
            </c:spPr>
            <c:extLst>
              <c:ext xmlns:c16="http://schemas.microsoft.com/office/drawing/2014/chart" uri="{C3380CC4-5D6E-409C-BE32-E72D297353CC}">
                <c16:uniqueId val="{00000019-D13F-4E02-8782-6856BEF803B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'3.Resum Desemp Procesos POA T1'!$B$9:$B$24</c:f>
              <c:strCache>
                <c:ptCount val="16"/>
                <c:pt idx="0">
                  <c:v>01 Direccionamiento Estratégico</c:v>
                </c:pt>
                <c:pt idx="1">
                  <c:v>02 Gestión del Conocimiento e Innovación</c:v>
                </c:pt>
                <c:pt idx="2">
                  <c:v>03 Direccionamiento TIC</c:v>
                </c:pt>
                <c:pt idx="3">
                  <c:v>04 Comunicación Estratégica</c:v>
                </c:pt>
                <c:pt idx="4">
                  <c:v>14 Servicio al Usuario</c:v>
                </c:pt>
                <c:pt idx="5">
                  <c:v>05 Promoción y Defensa de Derechos</c:v>
                </c:pt>
                <c:pt idx="6">
                  <c:v>06 Prevención y Control de la Función Pública</c:v>
                </c:pt>
                <c:pt idx="7">
                  <c:v>07 Potestad Disciplinaria</c:v>
                </c:pt>
                <c:pt idx="8">
                  <c:v>08 Gestión del Talento Humano</c:v>
                </c:pt>
                <c:pt idx="9">
                  <c:v>09 Gestión Administrativa</c:v>
                </c:pt>
                <c:pt idx="10">
                  <c:v>10 Gestión Financiera</c:v>
                </c:pt>
                <c:pt idx="11">
                  <c:v>11 Gestión Contractual</c:v>
                </c:pt>
                <c:pt idx="12">
                  <c:v>12 Gestión Documental</c:v>
                </c:pt>
                <c:pt idx="13">
                  <c:v>13 Gestión Jurídica</c:v>
                </c:pt>
                <c:pt idx="14">
                  <c:v>15 Control Disciplinario Interno</c:v>
                </c:pt>
                <c:pt idx="15">
                  <c:v>16 Evaluación y Seguimiento</c:v>
                </c:pt>
              </c:strCache>
            </c:strRef>
          </c:cat>
          <c:val>
            <c:numRef>
              <c:f>'3.Resum Desemp Procesos POA T1'!$C$9:$C$24</c:f>
              <c:numCache>
                <c:formatCode>0.0%</c:formatCode>
                <c:ptCount val="16"/>
                <c:pt idx="0">
                  <c:v>0.30107142857142855</c:v>
                </c:pt>
                <c:pt idx="1">
                  <c:v>5.921052631578947E-2</c:v>
                </c:pt>
                <c:pt idx="2">
                  <c:v>0.17500000000000002</c:v>
                </c:pt>
                <c:pt idx="3">
                  <c:v>0.25</c:v>
                </c:pt>
                <c:pt idx="4">
                  <c:v>0.19990740740740742</c:v>
                </c:pt>
                <c:pt idx="5">
                  <c:v>0.22424580472203703</c:v>
                </c:pt>
                <c:pt idx="6">
                  <c:v>0.11701830507800658</c:v>
                </c:pt>
                <c:pt idx="7">
                  <c:v>0.14054166666666668</c:v>
                </c:pt>
                <c:pt idx="8">
                  <c:v>0.30672285820578232</c:v>
                </c:pt>
                <c:pt idx="9">
                  <c:v>0.26576460481099656</c:v>
                </c:pt>
                <c:pt idx="10">
                  <c:v>0.22459649122807021</c:v>
                </c:pt>
                <c:pt idx="11">
                  <c:v>0.31874999999999998</c:v>
                </c:pt>
                <c:pt idx="12">
                  <c:v>0.24320339912280703</c:v>
                </c:pt>
                <c:pt idx="13">
                  <c:v>0.25</c:v>
                </c:pt>
                <c:pt idx="14">
                  <c:v>0.51666666666666672</c:v>
                </c:pt>
                <c:pt idx="15">
                  <c:v>0.11666666666666665</c:v>
                </c:pt>
              </c:numCache>
            </c:numRef>
          </c:val>
          <c:extLst>
            <c:ext xmlns:c16="http://schemas.microsoft.com/office/drawing/2014/chart" uri="{C3380CC4-5D6E-409C-BE32-E72D297353CC}">
              <c16:uniqueId val="{00000000-4D8A-4FBC-B3D3-C38F310F74A1}"/>
            </c:ext>
          </c:extLst>
        </c:ser>
        <c:dLbls>
          <c:showLegendKey val="0"/>
          <c:showVal val="0"/>
          <c:showCatName val="0"/>
          <c:showSerName val="0"/>
          <c:showPercent val="0"/>
          <c:showBubbleSize val="0"/>
        </c:dLbls>
        <c:gapWidth val="182"/>
        <c:axId val="1940987215"/>
        <c:axId val="1940987631"/>
      </c:barChart>
      <c:catAx>
        <c:axId val="194098721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40987631"/>
        <c:crosses val="autoZero"/>
        <c:auto val="1"/>
        <c:lblAlgn val="ctr"/>
        <c:lblOffset val="100"/>
        <c:noMultiLvlLbl val="0"/>
      </c:catAx>
      <c:valAx>
        <c:axId val="1940987631"/>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4098721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kumimoji="0" lang="es-CO" sz="1400" b="1" i="0" u="none" strike="noStrike" kern="1200" cap="none" spc="0" normalizeH="0" baseline="0" noProof="0">
                <a:ln>
                  <a:noFill/>
                </a:ln>
                <a:solidFill>
                  <a:sysClr val="windowText" lastClr="000000">
                    <a:lumMod val="65000"/>
                    <a:lumOff val="35000"/>
                  </a:sysClr>
                </a:solidFill>
                <a:effectLst/>
                <a:uLnTx/>
                <a:uFillTx/>
                <a:latin typeface="Calibri" panose="020F0502020204030204"/>
              </a:rPr>
              <a:t>Porcentaje de Participación </a:t>
            </a:r>
          </a:p>
          <a:p>
            <a:pPr>
              <a:defRPr b="1"/>
            </a:pPr>
            <a:r>
              <a:rPr kumimoji="0" lang="es-CO" sz="1400" b="1" i="0" u="none" strike="noStrike" kern="1200" cap="none" spc="0" normalizeH="0" baseline="0" noProof="0">
                <a:ln>
                  <a:noFill/>
                </a:ln>
                <a:solidFill>
                  <a:sysClr val="windowText" lastClr="000000">
                    <a:lumMod val="65000"/>
                    <a:lumOff val="35000"/>
                  </a:sysClr>
                </a:solidFill>
                <a:effectLst/>
                <a:uLnTx/>
                <a:uFillTx/>
                <a:latin typeface="Calibri" panose="020F0502020204030204"/>
              </a:rPr>
              <a:t>por Tipo de Proceso</a:t>
            </a:r>
          </a:p>
        </c:rich>
      </c:tx>
      <c:layout>
        <c:manualLayout>
          <c:xMode val="edge"/>
          <c:yMode val="edge"/>
          <c:x val="0.61884057875707421"/>
          <c:y val="0.15172272387436658"/>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4.0438244763823947E-2"/>
          <c:y val="5.7542947588286597E-2"/>
          <c:w val="0.53514791160026243"/>
          <c:h val="0.90435328362592016"/>
        </c:manualLayout>
      </c:layout>
      <c:doughnutChart>
        <c:varyColors val="1"/>
        <c:ser>
          <c:idx val="0"/>
          <c:order val="0"/>
          <c:spPr>
            <a:scene3d>
              <a:camera prst="orthographicFront"/>
              <a:lightRig rig="threePt" dir="t"/>
            </a:scene3d>
            <a:sp3d>
              <a:bevelT/>
            </a:sp3d>
          </c:spPr>
          <c:dPt>
            <c:idx val="0"/>
            <c:bubble3D val="0"/>
            <c:spPr>
              <a:solidFill>
                <a:srgbClr val="00B0F0"/>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3-4B1D-4018-8304-52432D5BA90B}"/>
              </c:ext>
            </c:extLst>
          </c:dPt>
          <c:dPt>
            <c:idx val="1"/>
            <c:bubble3D val="0"/>
            <c:spPr>
              <a:solidFill>
                <a:schemeClr val="accent6">
                  <a:lumMod val="75000"/>
                </a:schemeClr>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4-4B1D-4018-8304-52432D5BA90B}"/>
              </c:ext>
            </c:extLst>
          </c:dPt>
          <c:dPt>
            <c:idx val="2"/>
            <c:bubble3D val="0"/>
            <c:spPr>
              <a:solidFill>
                <a:srgbClr val="00B050"/>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2-4B1D-4018-8304-52432D5BA90B}"/>
              </c:ext>
            </c:extLst>
          </c:dPt>
          <c:dPt>
            <c:idx val="3"/>
            <c:bubble3D val="0"/>
            <c:spPr>
              <a:solidFill>
                <a:srgbClr val="FFCC00"/>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5-4B1D-4018-8304-52432D5BA90B}"/>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'3.Resum Desemp Procesos POA T1'!$B$30:$B$33</c:f>
              <c:strCache>
                <c:ptCount val="4"/>
                <c:pt idx="0">
                  <c:v>Procesos Estratégicos </c:v>
                </c:pt>
                <c:pt idx="1">
                  <c:v>Procesos Misionales </c:v>
                </c:pt>
                <c:pt idx="2">
                  <c:v>Procesos Apoyo </c:v>
                </c:pt>
                <c:pt idx="3">
                  <c:v>Procesos de Evaluación, Seguimiento y Control</c:v>
                </c:pt>
              </c:strCache>
            </c:strRef>
          </c:cat>
          <c:val>
            <c:numRef>
              <c:f>'3.Resum Desemp Procesos POA T1'!$C$30:$C$33</c:f>
              <c:numCache>
                <c:formatCode>0</c:formatCode>
                <c:ptCount val="4"/>
                <c:pt idx="0">
                  <c:v>20</c:v>
                </c:pt>
                <c:pt idx="1">
                  <c:v>35</c:v>
                </c:pt>
                <c:pt idx="2">
                  <c:v>26</c:v>
                </c:pt>
                <c:pt idx="3">
                  <c:v>6</c:v>
                </c:pt>
              </c:numCache>
            </c:numRef>
          </c:val>
          <c:extLst>
            <c:ext xmlns:c16="http://schemas.microsoft.com/office/drawing/2014/chart" uri="{C3380CC4-5D6E-409C-BE32-E72D297353CC}">
              <c16:uniqueId val="{00000000-4B1D-4018-8304-52432D5BA90B}"/>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layout>
        <c:manualLayout>
          <c:xMode val="edge"/>
          <c:yMode val="edge"/>
          <c:x val="0.66866588234675184"/>
          <c:y val="0.38070957114506621"/>
          <c:w val="0.30537343374401005"/>
          <c:h val="0.4040558670796695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8" Type="http://schemas.openxmlformats.org/officeDocument/2006/relationships/chart" Target="../charts/chart14.xml"/><Relationship Id="rId3" Type="http://schemas.openxmlformats.org/officeDocument/2006/relationships/chart" Target="../charts/chart9.xml"/><Relationship Id="rId7" Type="http://schemas.openxmlformats.org/officeDocument/2006/relationships/chart" Target="../charts/chart13.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4" Type="http://schemas.openxmlformats.org/officeDocument/2006/relationships/chart" Target="../charts/chart18.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 Id="rId4" Type="http://schemas.openxmlformats.org/officeDocument/2006/relationships/chart" Target="../charts/chart26.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oneCellAnchor>
    <xdr:from>
      <xdr:col>0</xdr:col>
      <xdr:colOff>257174</xdr:colOff>
      <xdr:row>0</xdr:row>
      <xdr:rowOff>142876</xdr:rowOff>
    </xdr:from>
    <xdr:ext cx="1790702" cy="533400"/>
    <xdr:pic>
      <xdr:nvPicPr>
        <xdr:cNvPr id="2" name="Picture 4" descr="Macintosh HD:Users:personeriabogota:Documents:Personeria:2016:Julio:Propuesta logo:Logo Nuevo Personeria cuadricula-02.png">
          <a:extLst>
            <a:ext uri="{FF2B5EF4-FFF2-40B4-BE49-F238E27FC236}">
              <a16:creationId xmlns:a16="http://schemas.microsoft.com/office/drawing/2014/main" id="{2852C26E-39BD-40B3-B13F-5A1375D8B73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257174" y="142876"/>
          <a:ext cx="1790702" cy="533400"/>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257174</xdr:colOff>
      <xdr:row>0</xdr:row>
      <xdr:rowOff>142876</xdr:rowOff>
    </xdr:from>
    <xdr:ext cx="1790702" cy="533400"/>
    <xdr:pic>
      <xdr:nvPicPr>
        <xdr:cNvPr id="2" name="Picture 4" descr="Macintosh HD:Users:personeriabogota:Documents:Personeria:2016:Julio:Propuesta logo:Logo Nuevo Personeria cuadricula-02.png">
          <a:extLst>
            <a:ext uri="{FF2B5EF4-FFF2-40B4-BE49-F238E27FC236}">
              <a16:creationId xmlns:a16="http://schemas.microsoft.com/office/drawing/2014/main" id="{694218D4-D837-4D3C-B844-241EAED002B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257174" y="142876"/>
          <a:ext cx="1790702" cy="533400"/>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twoCellAnchor>
    <xdr:from>
      <xdr:col>1</xdr:col>
      <xdr:colOff>0</xdr:colOff>
      <xdr:row>7</xdr:row>
      <xdr:rowOff>0</xdr:rowOff>
    </xdr:from>
    <xdr:to>
      <xdr:col>2</xdr:col>
      <xdr:colOff>0</xdr:colOff>
      <xdr:row>15</xdr:row>
      <xdr:rowOff>0</xdr:rowOff>
    </xdr:to>
    <xdr:sp macro="" textlink="">
      <xdr:nvSpPr>
        <xdr:cNvPr id="2" name="AutoShape 23">
          <a:extLst>
            <a:ext uri="{FF2B5EF4-FFF2-40B4-BE49-F238E27FC236}">
              <a16:creationId xmlns:a16="http://schemas.microsoft.com/office/drawing/2014/main" id="{FEB468A2-68C7-440C-BCA9-B389D25C0704}"/>
            </a:ext>
          </a:extLst>
        </xdr:cNvPr>
        <xdr:cNvSpPr>
          <a:spLocks noChangeArrowheads="1"/>
        </xdr:cNvSpPr>
      </xdr:nvSpPr>
      <xdr:spPr bwMode="auto">
        <a:xfrm>
          <a:off x="297180" y="2415540"/>
          <a:ext cx="11148060" cy="254660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23</xdr:row>
      <xdr:rowOff>0</xdr:rowOff>
    </xdr:from>
    <xdr:to>
      <xdr:col>2</xdr:col>
      <xdr:colOff>0</xdr:colOff>
      <xdr:row>46</xdr:row>
      <xdr:rowOff>0</xdr:rowOff>
    </xdr:to>
    <xdr:sp macro="" textlink="">
      <xdr:nvSpPr>
        <xdr:cNvPr id="3" name="AutoShape 23">
          <a:extLst>
            <a:ext uri="{FF2B5EF4-FFF2-40B4-BE49-F238E27FC236}">
              <a16:creationId xmlns:a16="http://schemas.microsoft.com/office/drawing/2014/main" id="{FEB154DF-3B67-4BF4-B14E-8D5C34022711}"/>
            </a:ext>
          </a:extLst>
        </xdr:cNvPr>
        <xdr:cNvSpPr>
          <a:spLocks noChangeArrowheads="1"/>
        </xdr:cNvSpPr>
      </xdr:nvSpPr>
      <xdr:spPr bwMode="auto">
        <a:xfrm>
          <a:off x="297180" y="29420820"/>
          <a:ext cx="11148060" cy="648462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3</xdr:col>
      <xdr:colOff>1828800</xdr:colOff>
      <xdr:row>6</xdr:row>
      <xdr:rowOff>381000</xdr:rowOff>
    </xdr:from>
    <xdr:to>
      <xdr:col>11</xdr:col>
      <xdr:colOff>228600</xdr:colOff>
      <xdr:row>15</xdr:row>
      <xdr:rowOff>171450</xdr:rowOff>
    </xdr:to>
    <xdr:grpSp>
      <xdr:nvGrpSpPr>
        <xdr:cNvPr id="7" name="Grupo 6">
          <a:extLst>
            <a:ext uri="{FF2B5EF4-FFF2-40B4-BE49-F238E27FC236}">
              <a16:creationId xmlns:a16="http://schemas.microsoft.com/office/drawing/2014/main" id="{66685E67-B145-40A0-A366-88E465D2117E}"/>
            </a:ext>
          </a:extLst>
        </xdr:cNvPr>
        <xdr:cNvGrpSpPr/>
      </xdr:nvGrpSpPr>
      <xdr:grpSpPr>
        <a:xfrm>
          <a:off x="14916150" y="2857500"/>
          <a:ext cx="10782300" cy="11296650"/>
          <a:chOff x="13658850" y="2381250"/>
          <a:chExt cx="10782300" cy="11296650"/>
        </a:xfrm>
      </xdr:grpSpPr>
      <xdr:graphicFrame macro="">
        <xdr:nvGraphicFramePr>
          <xdr:cNvPr id="5" name="Gráfico 4">
            <a:extLst>
              <a:ext uri="{FF2B5EF4-FFF2-40B4-BE49-F238E27FC236}">
                <a16:creationId xmlns:a16="http://schemas.microsoft.com/office/drawing/2014/main" id="{08C1D475-BD48-43BD-AE74-34ADD3858778}"/>
              </a:ext>
            </a:extLst>
          </xdr:cNvPr>
          <xdr:cNvGraphicFramePr>
            <a:graphicFrameLocks/>
          </xdr:cNvGraphicFramePr>
        </xdr:nvGraphicFramePr>
        <xdr:xfrm>
          <a:off x="13658850" y="2381250"/>
          <a:ext cx="10782300" cy="1129665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6" name="CuadroTexto 5">
            <a:extLst>
              <a:ext uri="{FF2B5EF4-FFF2-40B4-BE49-F238E27FC236}">
                <a16:creationId xmlns:a16="http://schemas.microsoft.com/office/drawing/2014/main" id="{4539C8D2-3A8E-49EE-B2AF-4DD89CF3F0FB}"/>
              </a:ext>
            </a:extLst>
          </xdr:cNvPr>
          <xdr:cNvSpPr txBox="1"/>
        </xdr:nvSpPr>
        <xdr:spPr>
          <a:xfrm>
            <a:off x="14935200" y="3638550"/>
            <a:ext cx="8134350" cy="1371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a:t>GRADO DE CUMPLIMIENTO</a:t>
            </a:r>
            <a:r>
              <a:rPr lang="es-CO" sz="2800" b="1" baseline="0"/>
              <a:t> OBJETIVOS  ESTRATÉGICOS Y DE LA CALIDAD</a:t>
            </a:r>
            <a:endParaRPr lang="es-CO" sz="2800" b="1"/>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7</xdr:row>
      <xdr:rowOff>0</xdr:rowOff>
    </xdr:from>
    <xdr:to>
      <xdr:col>3</xdr:col>
      <xdr:colOff>0</xdr:colOff>
      <xdr:row>30</xdr:row>
      <xdr:rowOff>0</xdr:rowOff>
    </xdr:to>
    <xdr:sp macro="" textlink="">
      <xdr:nvSpPr>
        <xdr:cNvPr id="2" name="AutoShape 23">
          <a:extLst>
            <a:ext uri="{FF2B5EF4-FFF2-40B4-BE49-F238E27FC236}">
              <a16:creationId xmlns:a16="http://schemas.microsoft.com/office/drawing/2014/main" id="{1A3F905D-C4D3-413F-B0CD-73970569648C}"/>
            </a:ext>
          </a:extLst>
        </xdr:cNvPr>
        <xdr:cNvSpPr>
          <a:spLocks noChangeArrowheads="1"/>
        </xdr:cNvSpPr>
      </xdr:nvSpPr>
      <xdr:spPr bwMode="auto">
        <a:xfrm>
          <a:off x="297180" y="1981200"/>
          <a:ext cx="31531560" cy="1003325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38</xdr:row>
      <xdr:rowOff>0</xdr:rowOff>
    </xdr:from>
    <xdr:to>
      <xdr:col>3</xdr:col>
      <xdr:colOff>0</xdr:colOff>
      <xdr:row>61</xdr:row>
      <xdr:rowOff>0</xdr:rowOff>
    </xdr:to>
    <xdr:sp macro="" textlink="">
      <xdr:nvSpPr>
        <xdr:cNvPr id="4" name="AutoShape 23">
          <a:extLst>
            <a:ext uri="{FF2B5EF4-FFF2-40B4-BE49-F238E27FC236}">
              <a16:creationId xmlns:a16="http://schemas.microsoft.com/office/drawing/2014/main" id="{497185E9-2A3F-48F7-B156-2A43068EDF84}"/>
            </a:ext>
          </a:extLst>
        </xdr:cNvPr>
        <xdr:cNvSpPr>
          <a:spLocks noChangeArrowheads="1"/>
        </xdr:cNvSpPr>
      </xdr:nvSpPr>
      <xdr:spPr bwMode="auto">
        <a:xfrm>
          <a:off x="290945" y="2438400"/>
          <a:ext cx="11152910" cy="2637905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5</xdr:col>
      <xdr:colOff>1163779</xdr:colOff>
      <xdr:row>7</xdr:row>
      <xdr:rowOff>258040</xdr:rowOff>
    </xdr:from>
    <xdr:to>
      <xdr:col>15</xdr:col>
      <xdr:colOff>800100</xdr:colOff>
      <xdr:row>17</xdr:row>
      <xdr:rowOff>933450</xdr:rowOff>
    </xdr:to>
    <xdr:graphicFrame macro="">
      <xdr:nvGraphicFramePr>
        <xdr:cNvPr id="5" name="Gráfico 4">
          <a:extLst>
            <a:ext uri="{FF2B5EF4-FFF2-40B4-BE49-F238E27FC236}">
              <a16:creationId xmlns:a16="http://schemas.microsoft.com/office/drawing/2014/main" id="{885EA56C-1B01-489B-9500-882AD89484E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6</xdr:row>
      <xdr:rowOff>0</xdr:rowOff>
    </xdr:from>
    <xdr:to>
      <xdr:col>3</xdr:col>
      <xdr:colOff>0</xdr:colOff>
      <xdr:row>48</xdr:row>
      <xdr:rowOff>0</xdr:rowOff>
    </xdr:to>
    <xdr:sp macro="" textlink="">
      <xdr:nvSpPr>
        <xdr:cNvPr id="2" name="AutoShape 23">
          <a:extLst>
            <a:ext uri="{FF2B5EF4-FFF2-40B4-BE49-F238E27FC236}">
              <a16:creationId xmlns:a16="http://schemas.microsoft.com/office/drawing/2014/main" id="{3154AA38-842A-4A7F-AF85-1228AB6937F0}"/>
            </a:ext>
          </a:extLst>
        </xdr:cNvPr>
        <xdr:cNvSpPr>
          <a:spLocks noChangeArrowheads="1"/>
        </xdr:cNvSpPr>
      </xdr:nvSpPr>
      <xdr:spPr bwMode="auto">
        <a:xfrm>
          <a:off x="297180" y="2415540"/>
          <a:ext cx="11148060" cy="2546604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5</xdr:row>
      <xdr:rowOff>0</xdr:rowOff>
    </xdr:from>
    <xdr:to>
      <xdr:col>12</xdr:col>
      <xdr:colOff>0</xdr:colOff>
      <xdr:row>94</xdr:row>
      <xdr:rowOff>0</xdr:rowOff>
    </xdr:to>
    <xdr:sp macro="" textlink="">
      <xdr:nvSpPr>
        <xdr:cNvPr id="2" name="AutoShape 23">
          <a:extLst>
            <a:ext uri="{FF2B5EF4-FFF2-40B4-BE49-F238E27FC236}">
              <a16:creationId xmlns:a16="http://schemas.microsoft.com/office/drawing/2014/main" id="{38906399-37BF-4003-ACC6-17A0E894C068}"/>
            </a:ext>
          </a:extLst>
        </xdr:cNvPr>
        <xdr:cNvSpPr>
          <a:spLocks noChangeArrowheads="1"/>
        </xdr:cNvSpPr>
      </xdr:nvSpPr>
      <xdr:spPr bwMode="auto">
        <a:xfrm>
          <a:off x="297180" y="1981200"/>
          <a:ext cx="31531560" cy="9656826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735106</xdr:colOff>
      <xdr:row>5</xdr:row>
      <xdr:rowOff>179295</xdr:rowOff>
    </xdr:from>
    <xdr:to>
      <xdr:col>16</xdr:col>
      <xdr:colOff>1156446</xdr:colOff>
      <xdr:row>24</xdr:row>
      <xdr:rowOff>170330</xdr:rowOff>
    </xdr:to>
    <xdr:graphicFrame macro="">
      <xdr:nvGraphicFramePr>
        <xdr:cNvPr id="5" name="Gráfico 4">
          <a:extLst>
            <a:ext uri="{FF2B5EF4-FFF2-40B4-BE49-F238E27FC236}">
              <a16:creationId xmlns:a16="http://schemas.microsoft.com/office/drawing/2014/main" id="{38EB82DB-23E6-4E8B-B6FB-4C6ED6DF1D9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452716</xdr:colOff>
      <xdr:row>34</xdr:row>
      <xdr:rowOff>80681</xdr:rowOff>
    </xdr:from>
    <xdr:to>
      <xdr:col>16</xdr:col>
      <xdr:colOff>2581835</xdr:colOff>
      <xdr:row>54</xdr:row>
      <xdr:rowOff>71716</xdr:rowOff>
    </xdr:to>
    <xdr:graphicFrame macro="">
      <xdr:nvGraphicFramePr>
        <xdr:cNvPr id="2" name="Gráfico 1">
          <a:extLst>
            <a:ext uri="{FF2B5EF4-FFF2-40B4-BE49-F238E27FC236}">
              <a16:creationId xmlns:a16="http://schemas.microsoft.com/office/drawing/2014/main" id="{7C01D88A-3A06-4E4F-B35D-B8A17F0AA5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518160</xdr:colOff>
      <xdr:row>6</xdr:row>
      <xdr:rowOff>125730</xdr:rowOff>
    </xdr:from>
    <xdr:to>
      <xdr:col>6</xdr:col>
      <xdr:colOff>3131820</xdr:colOff>
      <xdr:row>26</xdr:row>
      <xdr:rowOff>243840</xdr:rowOff>
    </xdr:to>
    <xdr:graphicFrame macro="">
      <xdr:nvGraphicFramePr>
        <xdr:cNvPr id="2" name="Gráfico 1">
          <a:extLst>
            <a:ext uri="{FF2B5EF4-FFF2-40B4-BE49-F238E27FC236}">
              <a16:creationId xmlns:a16="http://schemas.microsoft.com/office/drawing/2014/main" id="{6039E17B-228E-43FE-A641-512A5968FB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129989</xdr:colOff>
      <xdr:row>26</xdr:row>
      <xdr:rowOff>605115</xdr:rowOff>
    </xdr:from>
    <xdr:to>
      <xdr:col>10</xdr:col>
      <xdr:colOff>618564</xdr:colOff>
      <xdr:row>33</xdr:row>
      <xdr:rowOff>188256</xdr:rowOff>
    </xdr:to>
    <xdr:graphicFrame macro="">
      <xdr:nvGraphicFramePr>
        <xdr:cNvPr id="3" name="Gráfico 2">
          <a:extLst>
            <a:ext uri="{FF2B5EF4-FFF2-40B4-BE49-F238E27FC236}">
              <a16:creationId xmlns:a16="http://schemas.microsoft.com/office/drawing/2014/main" id="{A0DC7005-C79B-4275-9C6C-0270E5046A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9</xdr:col>
      <xdr:colOff>735106</xdr:colOff>
      <xdr:row>5</xdr:row>
      <xdr:rowOff>179295</xdr:rowOff>
    </xdr:from>
    <xdr:to>
      <xdr:col>16</xdr:col>
      <xdr:colOff>1156446</xdr:colOff>
      <xdr:row>24</xdr:row>
      <xdr:rowOff>170330</xdr:rowOff>
    </xdr:to>
    <xdr:graphicFrame macro="">
      <xdr:nvGraphicFramePr>
        <xdr:cNvPr id="2" name="Gráfico 1">
          <a:extLst>
            <a:ext uri="{FF2B5EF4-FFF2-40B4-BE49-F238E27FC236}">
              <a16:creationId xmlns:a16="http://schemas.microsoft.com/office/drawing/2014/main" id="{EF413C6F-C03E-4D90-B24B-063B0700E4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452716</xdr:colOff>
      <xdr:row>34</xdr:row>
      <xdr:rowOff>80681</xdr:rowOff>
    </xdr:from>
    <xdr:to>
      <xdr:col>16</xdr:col>
      <xdr:colOff>2581835</xdr:colOff>
      <xdr:row>53</xdr:row>
      <xdr:rowOff>71716</xdr:rowOff>
    </xdr:to>
    <xdr:graphicFrame macro="">
      <xdr:nvGraphicFramePr>
        <xdr:cNvPr id="3" name="Gráfico 2">
          <a:extLst>
            <a:ext uri="{FF2B5EF4-FFF2-40B4-BE49-F238E27FC236}">
              <a16:creationId xmlns:a16="http://schemas.microsoft.com/office/drawing/2014/main" id="{40785769-D73B-45C5-B3CB-D13C3051D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735106</xdr:colOff>
      <xdr:row>5</xdr:row>
      <xdr:rowOff>179295</xdr:rowOff>
    </xdr:from>
    <xdr:to>
      <xdr:col>16</xdr:col>
      <xdr:colOff>1156446</xdr:colOff>
      <xdr:row>24</xdr:row>
      <xdr:rowOff>170330</xdr:rowOff>
    </xdr:to>
    <xdr:graphicFrame macro="">
      <xdr:nvGraphicFramePr>
        <xdr:cNvPr id="4" name="Gráfico 3">
          <a:extLst>
            <a:ext uri="{FF2B5EF4-FFF2-40B4-BE49-F238E27FC236}">
              <a16:creationId xmlns:a16="http://schemas.microsoft.com/office/drawing/2014/main" id="{B58AAC16-7FA4-4CEA-AD3A-29252015B7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452716</xdr:colOff>
      <xdr:row>34</xdr:row>
      <xdr:rowOff>80681</xdr:rowOff>
    </xdr:from>
    <xdr:to>
      <xdr:col>16</xdr:col>
      <xdr:colOff>2581835</xdr:colOff>
      <xdr:row>54</xdr:row>
      <xdr:rowOff>71716</xdr:rowOff>
    </xdr:to>
    <xdr:graphicFrame macro="">
      <xdr:nvGraphicFramePr>
        <xdr:cNvPr id="5" name="Gráfico 4">
          <a:extLst>
            <a:ext uri="{FF2B5EF4-FFF2-40B4-BE49-F238E27FC236}">
              <a16:creationId xmlns:a16="http://schemas.microsoft.com/office/drawing/2014/main" id="{BE061101-B055-44AA-BA31-A194AC29FE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735106</xdr:colOff>
      <xdr:row>5</xdr:row>
      <xdr:rowOff>179295</xdr:rowOff>
    </xdr:from>
    <xdr:to>
      <xdr:col>16</xdr:col>
      <xdr:colOff>1156446</xdr:colOff>
      <xdr:row>24</xdr:row>
      <xdr:rowOff>170330</xdr:rowOff>
    </xdr:to>
    <xdr:graphicFrame macro="">
      <xdr:nvGraphicFramePr>
        <xdr:cNvPr id="6" name="Gráfico 5">
          <a:extLst>
            <a:ext uri="{FF2B5EF4-FFF2-40B4-BE49-F238E27FC236}">
              <a16:creationId xmlns:a16="http://schemas.microsoft.com/office/drawing/2014/main" id="{BB333EAA-D316-496A-9FB0-EDA12E51A2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452716</xdr:colOff>
      <xdr:row>34</xdr:row>
      <xdr:rowOff>80681</xdr:rowOff>
    </xdr:from>
    <xdr:to>
      <xdr:col>16</xdr:col>
      <xdr:colOff>2581835</xdr:colOff>
      <xdr:row>53</xdr:row>
      <xdr:rowOff>71716</xdr:rowOff>
    </xdr:to>
    <xdr:graphicFrame macro="">
      <xdr:nvGraphicFramePr>
        <xdr:cNvPr id="7" name="Gráfico 6">
          <a:extLst>
            <a:ext uri="{FF2B5EF4-FFF2-40B4-BE49-F238E27FC236}">
              <a16:creationId xmlns:a16="http://schemas.microsoft.com/office/drawing/2014/main" id="{EEC66926-906C-48C2-80ED-BB7F247319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735106</xdr:colOff>
      <xdr:row>5</xdr:row>
      <xdr:rowOff>179295</xdr:rowOff>
    </xdr:from>
    <xdr:to>
      <xdr:col>16</xdr:col>
      <xdr:colOff>1156446</xdr:colOff>
      <xdr:row>24</xdr:row>
      <xdr:rowOff>170330</xdr:rowOff>
    </xdr:to>
    <xdr:graphicFrame macro="">
      <xdr:nvGraphicFramePr>
        <xdr:cNvPr id="8" name="Gráfico 7">
          <a:extLst>
            <a:ext uri="{FF2B5EF4-FFF2-40B4-BE49-F238E27FC236}">
              <a16:creationId xmlns:a16="http://schemas.microsoft.com/office/drawing/2014/main" id="{9DA0E36E-D686-4771-B9C4-7EA7574D7F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452716</xdr:colOff>
      <xdr:row>34</xdr:row>
      <xdr:rowOff>80681</xdr:rowOff>
    </xdr:from>
    <xdr:to>
      <xdr:col>16</xdr:col>
      <xdr:colOff>2581835</xdr:colOff>
      <xdr:row>54</xdr:row>
      <xdr:rowOff>71716</xdr:rowOff>
    </xdr:to>
    <xdr:graphicFrame macro="">
      <xdr:nvGraphicFramePr>
        <xdr:cNvPr id="9" name="Gráfico 8">
          <a:extLst>
            <a:ext uri="{FF2B5EF4-FFF2-40B4-BE49-F238E27FC236}">
              <a16:creationId xmlns:a16="http://schemas.microsoft.com/office/drawing/2014/main" id="{26542588-124E-408D-A5F6-C99F9D8FCE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9</xdr:col>
      <xdr:colOff>735106</xdr:colOff>
      <xdr:row>5</xdr:row>
      <xdr:rowOff>179295</xdr:rowOff>
    </xdr:from>
    <xdr:to>
      <xdr:col>16</xdr:col>
      <xdr:colOff>1156446</xdr:colOff>
      <xdr:row>24</xdr:row>
      <xdr:rowOff>170330</xdr:rowOff>
    </xdr:to>
    <xdr:graphicFrame macro="">
      <xdr:nvGraphicFramePr>
        <xdr:cNvPr id="2" name="Gráfico 1">
          <a:extLst>
            <a:ext uri="{FF2B5EF4-FFF2-40B4-BE49-F238E27FC236}">
              <a16:creationId xmlns:a16="http://schemas.microsoft.com/office/drawing/2014/main" id="{DEF70CD4-FE44-4169-92D6-932DF72EC9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452716</xdr:colOff>
      <xdr:row>34</xdr:row>
      <xdr:rowOff>80681</xdr:rowOff>
    </xdr:from>
    <xdr:to>
      <xdr:col>16</xdr:col>
      <xdr:colOff>2581835</xdr:colOff>
      <xdr:row>53</xdr:row>
      <xdr:rowOff>71716</xdr:rowOff>
    </xdr:to>
    <xdr:graphicFrame macro="">
      <xdr:nvGraphicFramePr>
        <xdr:cNvPr id="3" name="Gráfico 2">
          <a:extLst>
            <a:ext uri="{FF2B5EF4-FFF2-40B4-BE49-F238E27FC236}">
              <a16:creationId xmlns:a16="http://schemas.microsoft.com/office/drawing/2014/main" id="{179E0450-0971-4703-A626-4EAA2CB242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735106</xdr:colOff>
      <xdr:row>5</xdr:row>
      <xdr:rowOff>179295</xdr:rowOff>
    </xdr:from>
    <xdr:to>
      <xdr:col>16</xdr:col>
      <xdr:colOff>1156446</xdr:colOff>
      <xdr:row>24</xdr:row>
      <xdr:rowOff>170330</xdr:rowOff>
    </xdr:to>
    <xdr:graphicFrame macro="">
      <xdr:nvGraphicFramePr>
        <xdr:cNvPr id="4" name="Gráfico 3">
          <a:extLst>
            <a:ext uri="{FF2B5EF4-FFF2-40B4-BE49-F238E27FC236}">
              <a16:creationId xmlns:a16="http://schemas.microsoft.com/office/drawing/2014/main" id="{ED12BA94-D682-44BA-AE84-766D5610FA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452716</xdr:colOff>
      <xdr:row>34</xdr:row>
      <xdr:rowOff>80681</xdr:rowOff>
    </xdr:from>
    <xdr:to>
      <xdr:col>16</xdr:col>
      <xdr:colOff>2581835</xdr:colOff>
      <xdr:row>54</xdr:row>
      <xdr:rowOff>71716</xdr:rowOff>
    </xdr:to>
    <xdr:graphicFrame macro="">
      <xdr:nvGraphicFramePr>
        <xdr:cNvPr id="5" name="Gráfico 4">
          <a:extLst>
            <a:ext uri="{FF2B5EF4-FFF2-40B4-BE49-F238E27FC236}">
              <a16:creationId xmlns:a16="http://schemas.microsoft.com/office/drawing/2014/main" id="{B8986855-E950-40C6-BB36-FD5C2A6949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3</xdr:col>
      <xdr:colOff>518160</xdr:colOff>
      <xdr:row>6</xdr:row>
      <xdr:rowOff>125730</xdr:rowOff>
    </xdr:from>
    <xdr:to>
      <xdr:col>6</xdr:col>
      <xdr:colOff>3131820</xdr:colOff>
      <xdr:row>26</xdr:row>
      <xdr:rowOff>243840</xdr:rowOff>
    </xdr:to>
    <xdr:graphicFrame macro="">
      <xdr:nvGraphicFramePr>
        <xdr:cNvPr id="2" name="Gráfico 1">
          <a:extLst>
            <a:ext uri="{FF2B5EF4-FFF2-40B4-BE49-F238E27FC236}">
              <a16:creationId xmlns:a16="http://schemas.microsoft.com/office/drawing/2014/main" id="{F16CBA3B-9E8C-4E53-81C7-8AD828771B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129989</xdr:colOff>
      <xdr:row>26</xdr:row>
      <xdr:rowOff>605115</xdr:rowOff>
    </xdr:from>
    <xdr:to>
      <xdr:col>10</xdr:col>
      <xdr:colOff>618564</xdr:colOff>
      <xdr:row>33</xdr:row>
      <xdr:rowOff>188256</xdr:rowOff>
    </xdr:to>
    <xdr:graphicFrame macro="">
      <xdr:nvGraphicFramePr>
        <xdr:cNvPr id="3" name="Gráfico 2">
          <a:extLst>
            <a:ext uri="{FF2B5EF4-FFF2-40B4-BE49-F238E27FC236}">
              <a16:creationId xmlns:a16="http://schemas.microsoft.com/office/drawing/2014/main" id="{33F1B3AF-6124-4B0C-8F8A-CBD2B47D9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3</xdr:col>
      <xdr:colOff>518160</xdr:colOff>
      <xdr:row>6</xdr:row>
      <xdr:rowOff>125730</xdr:rowOff>
    </xdr:from>
    <xdr:to>
      <xdr:col>6</xdr:col>
      <xdr:colOff>3131820</xdr:colOff>
      <xdr:row>26</xdr:row>
      <xdr:rowOff>243840</xdr:rowOff>
    </xdr:to>
    <xdr:graphicFrame macro="">
      <xdr:nvGraphicFramePr>
        <xdr:cNvPr id="2" name="Gráfico 1">
          <a:extLst>
            <a:ext uri="{FF2B5EF4-FFF2-40B4-BE49-F238E27FC236}">
              <a16:creationId xmlns:a16="http://schemas.microsoft.com/office/drawing/2014/main" id="{7B2856A3-EB37-4490-8180-AD857DE269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129989</xdr:colOff>
      <xdr:row>26</xdr:row>
      <xdr:rowOff>605115</xdr:rowOff>
    </xdr:from>
    <xdr:to>
      <xdr:col>10</xdr:col>
      <xdr:colOff>618564</xdr:colOff>
      <xdr:row>33</xdr:row>
      <xdr:rowOff>188256</xdr:rowOff>
    </xdr:to>
    <xdr:graphicFrame macro="">
      <xdr:nvGraphicFramePr>
        <xdr:cNvPr id="3" name="Gráfico 2">
          <a:extLst>
            <a:ext uri="{FF2B5EF4-FFF2-40B4-BE49-F238E27FC236}">
              <a16:creationId xmlns:a16="http://schemas.microsoft.com/office/drawing/2014/main" id="{9AB9FF5C-76D9-44EA-A319-FF7B0D9623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9</xdr:col>
      <xdr:colOff>735106</xdr:colOff>
      <xdr:row>5</xdr:row>
      <xdr:rowOff>179295</xdr:rowOff>
    </xdr:from>
    <xdr:to>
      <xdr:col>16</xdr:col>
      <xdr:colOff>1156446</xdr:colOff>
      <xdr:row>24</xdr:row>
      <xdr:rowOff>170330</xdr:rowOff>
    </xdr:to>
    <xdr:graphicFrame macro="">
      <xdr:nvGraphicFramePr>
        <xdr:cNvPr id="2" name="Gráfico 1">
          <a:extLst>
            <a:ext uri="{FF2B5EF4-FFF2-40B4-BE49-F238E27FC236}">
              <a16:creationId xmlns:a16="http://schemas.microsoft.com/office/drawing/2014/main" id="{363FA5A0-CEE1-4A25-A10D-3F82DD0891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452716</xdr:colOff>
      <xdr:row>34</xdr:row>
      <xdr:rowOff>80681</xdr:rowOff>
    </xdr:from>
    <xdr:to>
      <xdr:col>16</xdr:col>
      <xdr:colOff>2581835</xdr:colOff>
      <xdr:row>53</xdr:row>
      <xdr:rowOff>71716</xdr:rowOff>
    </xdr:to>
    <xdr:graphicFrame macro="">
      <xdr:nvGraphicFramePr>
        <xdr:cNvPr id="3" name="Gráfico 2">
          <a:extLst>
            <a:ext uri="{FF2B5EF4-FFF2-40B4-BE49-F238E27FC236}">
              <a16:creationId xmlns:a16="http://schemas.microsoft.com/office/drawing/2014/main" id="{CDE62399-C229-4279-82F8-598AC53024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735106</xdr:colOff>
      <xdr:row>5</xdr:row>
      <xdr:rowOff>179295</xdr:rowOff>
    </xdr:from>
    <xdr:to>
      <xdr:col>16</xdr:col>
      <xdr:colOff>1156446</xdr:colOff>
      <xdr:row>24</xdr:row>
      <xdr:rowOff>170330</xdr:rowOff>
    </xdr:to>
    <xdr:graphicFrame macro="">
      <xdr:nvGraphicFramePr>
        <xdr:cNvPr id="4" name="Gráfico 3">
          <a:extLst>
            <a:ext uri="{FF2B5EF4-FFF2-40B4-BE49-F238E27FC236}">
              <a16:creationId xmlns:a16="http://schemas.microsoft.com/office/drawing/2014/main" id="{C4C23827-995A-4E31-800B-0BE09D6B40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452716</xdr:colOff>
      <xdr:row>34</xdr:row>
      <xdr:rowOff>80681</xdr:rowOff>
    </xdr:from>
    <xdr:to>
      <xdr:col>16</xdr:col>
      <xdr:colOff>2581835</xdr:colOff>
      <xdr:row>54</xdr:row>
      <xdr:rowOff>71716</xdr:rowOff>
    </xdr:to>
    <xdr:graphicFrame macro="">
      <xdr:nvGraphicFramePr>
        <xdr:cNvPr id="5" name="Gráfico 4">
          <a:extLst>
            <a:ext uri="{FF2B5EF4-FFF2-40B4-BE49-F238E27FC236}">
              <a16:creationId xmlns:a16="http://schemas.microsoft.com/office/drawing/2014/main" id="{F343FBBD-5A81-4590-8E46-1382B06BAE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3</xdr:col>
      <xdr:colOff>518160</xdr:colOff>
      <xdr:row>6</xdr:row>
      <xdr:rowOff>125730</xdr:rowOff>
    </xdr:from>
    <xdr:to>
      <xdr:col>6</xdr:col>
      <xdr:colOff>3131820</xdr:colOff>
      <xdr:row>26</xdr:row>
      <xdr:rowOff>243840</xdr:rowOff>
    </xdr:to>
    <xdr:graphicFrame macro="">
      <xdr:nvGraphicFramePr>
        <xdr:cNvPr id="3" name="Gráfico 2">
          <a:extLst>
            <a:ext uri="{FF2B5EF4-FFF2-40B4-BE49-F238E27FC236}">
              <a16:creationId xmlns:a16="http://schemas.microsoft.com/office/drawing/2014/main" id="{C6926C16-2ABF-4C55-8769-21CADEE4ABD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129989</xdr:colOff>
      <xdr:row>26</xdr:row>
      <xdr:rowOff>605115</xdr:rowOff>
    </xdr:from>
    <xdr:to>
      <xdr:col>10</xdr:col>
      <xdr:colOff>618564</xdr:colOff>
      <xdr:row>33</xdr:row>
      <xdr:rowOff>188256</xdr:rowOff>
    </xdr:to>
    <xdr:graphicFrame macro="">
      <xdr:nvGraphicFramePr>
        <xdr:cNvPr id="4" name="Gráfico 3">
          <a:extLst>
            <a:ext uri="{FF2B5EF4-FFF2-40B4-BE49-F238E27FC236}">
              <a16:creationId xmlns:a16="http://schemas.microsoft.com/office/drawing/2014/main" id="{7402DE3F-7BE6-4E41-A152-300A097511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9</xdr:row>
      <xdr:rowOff>0</xdr:rowOff>
    </xdr:from>
    <xdr:to>
      <xdr:col>10</xdr:col>
      <xdr:colOff>0</xdr:colOff>
      <xdr:row>99</xdr:row>
      <xdr:rowOff>0</xdr:rowOff>
    </xdr:to>
    <xdr:sp macro="" textlink="">
      <xdr:nvSpPr>
        <xdr:cNvPr id="2" name="AutoShape 23">
          <a:extLst>
            <a:ext uri="{FF2B5EF4-FFF2-40B4-BE49-F238E27FC236}">
              <a16:creationId xmlns:a16="http://schemas.microsoft.com/office/drawing/2014/main" id="{75DDAB46-DF76-4E02-B751-EE79E51C3D91}"/>
            </a:ext>
          </a:extLst>
        </xdr:cNvPr>
        <xdr:cNvSpPr>
          <a:spLocks noChangeArrowheads="1"/>
        </xdr:cNvSpPr>
      </xdr:nvSpPr>
      <xdr:spPr bwMode="auto">
        <a:xfrm>
          <a:off x="297180" y="1798320"/>
          <a:ext cx="24528780" cy="9288018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9</xdr:row>
      <xdr:rowOff>0</xdr:rowOff>
    </xdr:from>
    <xdr:to>
      <xdr:col>10</xdr:col>
      <xdr:colOff>0</xdr:colOff>
      <xdr:row>99</xdr:row>
      <xdr:rowOff>0</xdr:rowOff>
    </xdr:to>
    <xdr:sp macro="" textlink="">
      <xdr:nvSpPr>
        <xdr:cNvPr id="2" name="AutoShape 23">
          <a:extLst>
            <a:ext uri="{FF2B5EF4-FFF2-40B4-BE49-F238E27FC236}">
              <a16:creationId xmlns:a16="http://schemas.microsoft.com/office/drawing/2014/main" id="{43624B26-D309-43E8-AB6C-716DE5315BE6}"/>
            </a:ext>
          </a:extLst>
        </xdr:cNvPr>
        <xdr:cNvSpPr>
          <a:spLocks noChangeArrowheads="1"/>
        </xdr:cNvSpPr>
      </xdr:nvSpPr>
      <xdr:spPr bwMode="auto">
        <a:xfrm>
          <a:off x="285750" y="2466975"/>
          <a:ext cx="28498800" cy="104775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19</xdr:row>
      <xdr:rowOff>0</xdr:rowOff>
    </xdr:to>
    <xdr:sp macro="" textlink="">
      <xdr:nvSpPr>
        <xdr:cNvPr id="2" name="AutoShape 23">
          <a:extLst>
            <a:ext uri="{FF2B5EF4-FFF2-40B4-BE49-F238E27FC236}">
              <a16:creationId xmlns:a16="http://schemas.microsoft.com/office/drawing/2014/main" id="{376C5C69-1355-45C7-801A-D2D83D303018}"/>
            </a:ext>
          </a:extLst>
        </xdr:cNvPr>
        <xdr:cNvSpPr>
          <a:spLocks noChangeArrowheads="1"/>
        </xdr:cNvSpPr>
      </xdr:nvSpPr>
      <xdr:spPr bwMode="auto">
        <a:xfrm>
          <a:off x="285750" y="1419225"/>
          <a:ext cx="16659225" cy="104775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19</xdr:row>
      <xdr:rowOff>0</xdr:rowOff>
    </xdr:to>
    <xdr:sp macro="" textlink="">
      <xdr:nvSpPr>
        <xdr:cNvPr id="2" name="AutoShape 23">
          <a:extLst>
            <a:ext uri="{FF2B5EF4-FFF2-40B4-BE49-F238E27FC236}">
              <a16:creationId xmlns:a16="http://schemas.microsoft.com/office/drawing/2014/main" id="{F011ED11-92A7-4511-8B26-1DEFEE58F356}"/>
            </a:ext>
          </a:extLst>
        </xdr:cNvPr>
        <xdr:cNvSpPr>
          <a:spLocks noChangeArrowheads="1"/>
        </xdr:cNvSpPr>
      </xdr:nvSpPr>
      <xdr:spPr bwMode="auto">
        <a:xfrm>
          <a:off x="285750" y="3286125"/>
          <a:ext cx="32470725" cy="94869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22</xdr:row>
      <xdr:rowOff>0</xdr:rowOff>
    </xdr:to>
    <xdr:sp macro="" textlink="">
      <xdr:nvSpPr>
        <xdr:cNvPr id="2" name="AutoShape 23">
          <a:extLst>
            <a:ext uri="{FF2B5EF4-FFF2-40B4-BE49-F238E27FC236}">
              <a16:creationId xmlns:a16="http://schemas.microsoft.com/office/drawing/2014/main" id="{8DFF5D04-40A7-4BC4-8946-D7C53DF447B0}"/>
            </a:ext>
          </a:extLst>
        </xdr:cNvPr>
        <xdr:cNvSpPr>
          <a:spLocks noChangeArrowheads="1"/>
        </xdr:cNvSpPr>
      </xdr:nvSpPr>
      <xdr:spPr bwMode="auto">
        <a:xfrm>
          <a:off x="285750" y="3657600"/>
          <a:ext cx="33166050" cy="111252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17</xdr:row>
      <xdr:rowOff>0</xdr:rowOff>
    </xdr:to>
    <xdr:sp macro="" textlink="">
      <xdr:nvSpPr>
        <xdr:cNvPr id="4" name="AutoShape 23">
          <a:extLst>
            <a:ext uri="{FF2B5EF4-FFF2-40B4-BE49-F238E27FC236}">
              <a16:creationId xmlns:a16="http://schemas.microsoft.com/office/drawing/2014/main" id="{EB3DB6B0-623E-4218-9C4B-1633C1FB9673}"/>
            </a:ext>
          </a:extLst>
        </xdr:cNvPr>
        <xdr:cNvSpPr>
          <a:spLocks noChangeArrowheads="1"/>
        </xdr:cNvSpPr>
      </xdr:nvSpPr>
      <xdr:spPr bwMode="auto">
        <a:xfrm>
          <a:off x="285750" y="3657600"/>
          <a:ext cx="32556450" cy="47625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35</xdr:row>
      <xdr:rowOff>0</xdr:rowOff>
    </xdr:to>
    <xdr:sp macro="" textlink="">
      <xdr:nvSpPr>
        <xdr:cNvPr id="2" name="AutoShape 23">
          <a:extLst>
            <a:ext uri="{FF2B5EF4-FFF2-40B4-BE49-F238E27FC236}">
              <a16:creationId xmlns:a16="http://schemas.microsoft.com/office/drawing/2014/main" id="{A4D544FA-FDE4-4E1E-84AF-4B44FE661078}"/>
            </a:ext>
          </a:extLst>
        </xdr:cNvPr>
        <xdr:cNvSpPr>
          <a:spLocks noChangeArrowheads="1"/>
        </xdr:cNvSpPr>
      </xdr:nvSpPr>
      <xdr:spPr bwMode="auto">
        <a:xfrm>
          <a:off x="285750" y="3657600"/>
          <a:ext cx="37890450" cy="361473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9</xdr:row>
      <xdr:rowOff>0</xdr:rowOff>
    </xdr:from>
    <xdr:to>
      <xdr:col>11</xdr:col>
      <xdr:colOff>0</xdr:colOff>
      <xdr:row>19</xdr:row>
      <xdr:rowOff>0</xdr:rowOff>
    </xdr:to>
    <xdr:sp macro="" textlink="">
      <xdr:nvSpPr>
        <xdr:cNvPr id="2" name="AutoShape 23">
          <a:extLst>
            <a:ext uri="{FF2B5EF4-FFF2-40B4-BE49-F238E27FC236}">
              <a16:creationId xmlns:a16="http://schemas.microsoft.com/office/drawing/2014/main" id="{BEEF41DB-9FCF-4425-8858-7FD0B86C507F}"/>
            </a:ext>
          </a:extLst>
        </xdr:cNvPr>
        <xdr:cNvSpPr>
          <a:spLocks noChangeArrowheads="1"/>
        </xdr:cNvSpPr>
      </xdr:nvSpPr>
      <xdr:spPr bwMode="auto">
        <a:xfrm>
          <a:off x="285750" y="1828800"/>
          <a:ext cx="20974050" cy="8686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11</xdr:row>
      <xdr:rowOff>0</xdr:rowOff>
    </xdr:from>
    <xdr:to>
      <xdr:col>15</xdr:col>
      <xdr:colOff>0</xdr:colOff>
      <xdr:row>22</xdr:row>
      <xdr:rowOff>0</xdr:rowOff>
    </xdr:to>
    <xdr:sp macro="" textlink="">
      <xdr:nvSpPr>
        <xdr:cNvPr id="4" name="AutoShape 23">
          <a:extLst>
            <a:ext uri="{FF2B5EF4-FFF2-40B4-BE49-F238E27FC236}">
              <a16:creationId xmlns:a16="http://schemas.microsoft.com/office/drawing/2014/main" id="{1C5A1E08-4D68-48DB-A433-BE1CC8FE7E65}"/>
            </a:ext>
          </a:extLst>
        </xdr:cNvPr>
        <xdr:cNvSpPr>
          <a:spLocks noChangeArrowheads="1"/>
        </xdr:cNvSpPr>
      </xdr:nvSpPr>
      <xdr:spPr bwMode="auto">
        <a:xfrm>
          <a:off x="285750" y="3657600"/>
          <a:ext cx="32518350" cy="1532572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23</xdr:row>
      <xdr:rowOff>0</xdr:rowOff>
    </xdr:to>
    <xdr:sp macro="" textlink="">
      <xdr:nvSpPr>
        <xdr:cNvPr id="2" name="AutoShape 23">
          <a:extLst>
            <a:ext uri="{FF2B5EF4-FFF2-40B4-BE49-F238E27FC236}">
              <a16:creationId xmlns:a16="http://schemas.microsoft.com/office/drawing/2014/main" id="{9F560E0F-31EA-4A35-A351-F1301A4F4785}"/>
            </a:ext>
          </a:extLst>
        </xdr:cNvPr>
        <xdr:cNvSpPr>
          <a:spLocks noChangeArrowheads="1"/>
        </xdr:cNvSpPr>
      </xdr:nvSpPr>
      <xdr:spPr bwMode="auto">
        <a:xfrm>
          <a:off x="285750" y="3657600"/>
          <a:ext cx="33166050" cy="102393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23</xdr:row>
      <xdr:rowOff>0</xdr:rowOff>
    </xdr:to>
    <xdr:sp macro="" textlink="">
      <xdr:nvSpPr>
        <xdr:cNvPr id="2" name="AutoShape 23">
          <a:extLst>
            <a:ext uri="{FF2B5EF4-FFF2-40B4-BE49-F238E27FC236}">
              <a16:creationId xmlns:a16="http://schemas.microsoft.com/office/drawing/2014/main" id="{DC82016B-DEE4-428E-9349-543D2D015116}"/>
            </a:ext>
          </a:extLst>
        </xdr:cNvPr>
        <xdr:cNvSpPr>
          <a:spLocks noChangeArrowheads="1"/>
        </xdr:cNvSpPr>
      </xdr:nvSpPr>
      <xdr:spPr bwMode="auto">
        <a:xfrm>
          <a:off x="285750" y="3657600"/>
          <a:ext cx="32699325" cy="233362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17</xdr:row>
      <xdr:rowOff>0</xdr:rowOff>
    </xdr:to>
    <xdr:sp macro="" textlink="">
      <xdr:nvSpPr>
        <xdr:cNvPr id="2" name="AutoShape 23">
          <a:extLst>
            <a:ext uri="{FF2B5EF4-FFF2-40B4-BE49-F238E27FC236}">
              <a16:creationId xmlns:a16="http://schemas.microsoft.com/office/drawing/2014/main" id="{07406378-B4FF-4250-847B-D7C0F38E9E00}"/>
            </a:ext>
          </a:extLst>
        </xdr:cNvPr>
        <xdr:cNvSpPr>
          <a:spLocks noChangeArrowheads="1"/>
        </xdr:cNvSpPr>
      </xdr:nvSpPr>
      <xdr:spPr bwMode="auto">
        <a:xfrm>
          <a:off x="285750" y="3657600"/>
          <a:ext cx="32499300" cy="53149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18</xdr:row>
      <xdr:rowOff>0</xdr:rowOff>
    </xdr:to>
    <xdr:sp macro="" textlink="">
      <xdr:nvSpPr>
        <xdr:cNvPr id="2" name="AutoShape 23">
          <a:extLst>
            <a:ext uri="{FF2B5EF4-FFF2-40B4-BE49-F238E27FC236}">
              <a16:creationId xmlns:a16="http://schemas.microsoft.com/office/drawing/2014/main" id="{2214AAC7-FB3D-4094-A9ED-F23C7D51726B}"/>
            </a:ext>
          </a:extLst>
        </xdr:cNvPr>
        <xdr:cNvSpPr>
          <a:spLocks noChangeArrowheads="1"/>
        </xdr:cNvSpPr>
      </xdr:nvSpPr>
      <xdr:spPr bwMode="auto">
        <a:xfrm>
          <a:off x="285750" y="3657600"/>
          <a:ext cx="34690050" cy="68103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16</xdr:row>
      <xdr:rowOff>0</xdr:rowOff>
    </xdr:to>
    <xdr:sp macro="" textlink="">
      <xdr:nvSpPr>
        <xdr:cNvPr id="2" name="AutoShape 23">
          <a:extLst>
            <a:ext uri="{FF2B5EF4-FFF2-40B4-BE49-F238E27FC236}">
              <a16:creationId xmlns:a16="http://schemas.microsoft.com/office/drawing/2014/main" id="{6277A48F-A8B5-46A7-BB78-9731DEE64195}"/>
            </a:ext>
          </a:extLst>
        </xdr:cNvPr>
        <xdr:cNvSpPr>
          <a:spLocks noChangeArrowheads="1"/>
        </xdr:cNvSpPr>
      </xdr:nvSpPr>
      <xdr:spPr bwMode="auto">
        <a:xfrm>
          <a:off x="285750" y="3657600"/>
          <a:ext cx="32165925" cy="45339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19</xdr:row>
      <xdr:rowOff>0</xdr:rowOff>
    </xdr:to>
    <xdr:sp macro="" textlink="">
      <xdr:nvSpPr>
        <xdr:cNvPr id="2" name="AutoShape 23">
          <a:extLst>
            <a:ext uri="{FF2B5EF4-FFF2-40B4-BE49-F238E27FC236}">
              <a16:creationId xmlns:a16="http://schemas.microsoft.com/office/drawing/2014/main" id="{8F2562E2-E33F-4923-B90E-C1AF74391AC9}"/>
            </a:ext>
          </a:extLst>
        </xdr:cNvPr>
        <xdr:cNvSpPr>
          <a:spLocks noChangeArrowheads="1"/>
        </xdr:cNvSpPr>
      </xdr:nvSpPr>
      <xdr:spPr bwMode="auto">
        <a:xfrm>
          <a:off x="285750" y="3657600"/>
          <a:ext cx="32337375" cy="137922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20</xdr:row>
      <xdr:rowOff>0</xdr:rowOff>
    </xdr:to>
    <xdr:sp macro="" textlink="">
      <xdr:nvSpPr>
        <xdr:cNvPr id="2" name="AutoShape 23">
          <a:extLst>
            <a:ext uri="{FF2B5EF4-FFF2-40B4-BE49-F238E27FC236}">
              <a16:creationId xmlns:a16="http://schemas.microsoft.com/office/drawing/2014/main" id="{E34BB64A-5837-43B8-A529-73CD609B8BF5}"/>
            </a:ext>
          </a:extLst>
        </xdr:cNvPr>
        <xdr:cNvSpPr>
          <a:spLocks noChangeArrowheads="1"/>
        </xdr:cNvSpPr>
      </xdr:nvSpPr>
      <xdr:spPr bwMode="auto">
        <a:xfrm>
          <a:off x="285750" y="3657600"/>
          <a:ext cx="33775650" cy="95154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18</xdr:row>
      <xdr:rowOff>0</xdr:rowOff>
    </xdr:to>
    <xdr:sp macro="" textlink="">
      <xdr:nvSpPr>
        <xdr:cNvPr id="2" name="AutoShape 23">
          <a:extLst>
            <a:ext uri="{FF2B5EF4-FFF2-40B4-BE49-F238E27FC236}">
              <a16:creationId xmlns:a16="http://schemas.microsoft.com/office/drawing/2014/main" id="{CEE50C0C-0DC4-466D-9599-9C4EB615C65B}"/>
            </a:ext>
          </a:extLst>
        </xdr:cNvPr>
        <xdr:cNvSpPr>
          <a:spLocks noChangeArrowheads="1"/>
        </xdr:cNvSpPr>
      </xdr:nvSpPr>
      <xdr:spPr bwMode="auto">
        <a:xfrm>
          <a:off x="285750" y="3657600"/>
          <a:ext cx="32527875" cy="99726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18</xdr:row>
      <xdr:rowOff>0</xdr:rowOff>
    </xdr:to>
    <xdr:sp macro="" textlink="">
      <xdr:nvSpPr>
        <xdr:cNvPr id="2" name="AutoShape 23">
          <a:extLst>
            <a:ext uri="{FF2B5EF4-FFF2-40B4-BE49-F238E27FC236}">
              <a16:creationId xmlns:a16="http://schemas.microsoft.com/office/drawing/2014/main" id="{AE5F3BAC-1B8A-4089-BE13-357C7F423495}"/>
            </a:ext>
          </a:extLst>
        </xdr:cNvPr>
        <xdr:cNvSpPr>
          <a:spLocks noChangeArrowheads="1"/>
        </xdr:cNvSpPr>
      </xdr:nvSpPr>
      <xdr:spPr bwMode="auto">
        <a:xfrm>
          <a:off x="285750" y="3657600"/>
          <a:ext cx="32165925" cy="95440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2.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18</xdr:row>
      <xdr:rowOff>0</xdr:rowOff>
    </xdr:to>
    <xdr:sp macro="" textlink="">
      <xdr:nvSpPr>
        <xdr:cNvPr id="2" name="AutoShape 23">
          <a:extLst>
            <a:ext uri="{FF2B5EF4-FFF2-40B4-BE49-F238E27FC236}">
              <a16:creationId xmlns:a16="http://schemas.microsoft.com/office/drawing/2014/main" id="{FBB37770-6EC6-4D5C-B175-AA013127669E}"/>
            </a:ext>
          </a:extLst>
        </xdr:cNvPr>
        <xdr:cNvSpPr>
          <a:spLocks noChangeArrowheads="1"/>
        </xdr:cNvSpPr>
      </xdr:nvSpPr>
      <xdr:spPr bwMode="auto">
        <a:xfrm>
          <a:off x="285750" y="3657600"/>
          <a:ext cx="32165925" cy="6657975"/>
        </a:xfrm>
        <a:custGeom>
          <a:avLst/>
          <a:gdLst/>
          <a:ahLst/>
          <a:cxnLst/>
          <a:rect l="0" t="0" r="0" b="0"/>
          <a:pathLst/>
        </a:cu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morales/Downloads/Users/njarias/Documents/COMITE%20DIRECTIVO/POA_DISCIPLINARIOS_2014(1)%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omorales/Downloads/Users/DANIEL/Desktop/CESAR/temporal/2.%20documentos%201%20(FORMATO%20PO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Mayis/POA/2020/Seguimiento%20Trimestre%204-2020/Informe%20Seguimiento%20Plan%20Operativo%20Anual%20Cuarto%20Trimestre%202020-EDITABL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1-PL-09%20Plan%20Operativo%20Anual_POA_V5_CIGD_200120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ayis/0-PlanEstrategica/PEI-POA2021/POA%202021/Promoci&#243;n%20Defensa%20Derechos/01-FR-03%20Plan%20Operativo%20Anu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ayis/0-PlanEstrategica/PEI-POA2021/POA%202021/G%20Administrativa/01-FR-03%20Plan%20Operativo%20Anual%20-%20GESTI&#211;N%20ADMINISTRATIVA-RevDLC28012020_V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ayis/0-PlanEstrategica/PEI-POA2021/POA%202021/Evaluaci&#243;n%20y%20Sgto/01-FR-03%20Plan%20Operativo%20Anual%20-Ajustado%20EvalySgto-%20270120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OA "/>
      <sheetName val="Hoja2"/>
    </sheetNames>
    <sheetDataSet>
      <sheetData sheetId="0">
        <row r="3">
          <cell r="B3" t="str">
            <v>1.1. Efectuar seguimiento y control efectivo a los requerimientos ciudadanos para que conduzcan a la materialización de los derechos.</v>
          </cell>
        </row>
        <row r="4">
          <cell r="B4" t="str">
            <v>1.2. Fortalecer el esquema de gestión de Requerimientos Ciudadanos con criterio de Personería 24 horas.</v>
          </cell>
        </row>
        <row r="5">
          <cell r="B5" t="str">
            <v>1.3. Radar: Leer la ciudad, las necesidades de los ciudadanos, el estado de respeto a los derechos humanos, a través de los requerimientos ciudadanos.</v>
          </cell>
        </row>
        <row r="6">
          <cell r="B6" t="str">
            <v>2.1. Generar mecanismos de priorización temática, para ejecución ágil y efectiva, y divulgación oportuna de los resultados de la revisión a la Gestión Pública.</v>
          </cell>
        </row>
        <row r="7">
          <cell r="B7" t="str">
            <v>2.2. Establecer impacto.</v>
          </cell>
        </row>
        <row r="8">
          <cell r="B8" t="str">
            <v>3.1. Consolidar el ejercicio de la acción disciplinaria, bajo criterios de celeridad, oportunidad, responsabilidad, calidad y efectividad.</v>
          </cell>
        </row>
        <row r="9">
          <cell r="B9" t="str">
            <v>4.1. Fortalecer e innovar el sistema de comunicación interna y externa.</v>
          </cell>
        </row>
        <row r="10">
          <cell r="B10" t="str">
            <v>5.1. Crear y consolidar los mecanismos de concientización en el cumplimiento de deberes, reducción de  vulnerabilidad y gestión del riesgo para prevenir la violación de derechos.</v>
          </cell>
        </row>
        <row r="11">
          <cell r="B11" t="str">
            <v>5.2. Gestionar oportunamente la materialización, visibilización y sanción, frente a la vulneración de derechos.</v>
          </cell>
        </row>
        <row r="12">
          <cell r="B12" t="str">
            <v>6.1. Actualizar los recursos físicos, tecnológicos y organizacionales en función del óptimo logro de los objetivos del PEI</v>
          </cell>
        </row>
        <row r="13">
          <cell r="B13" t="str">
            <v>6.2. Contribuir al cumplimiento de los objetivos estratégicos de la Entidad, a través del desarrollo y cualificación de los servidores públicos, el fortalecimiento de sus competencias y vocación de servicio y la aplicación de estímulos.</v>
          </cell>
        </row>
        <row r="14">
          <cell r="B14" t="str">
            <v>6.3. Consolidar el SIG y asegurar que se oriente a la excelencia de los servicios y a la satisfacción de la ciudadanía.</v>
          </cell>
        </row>
        <row r="15">
          <cell r="B15" t="str">
            <v>6.4. Fortalecer la protección jurídica de la Entidad para que se gestione de manera responsable y oportuna.</v>
          </cell>
        </row>
        <row r="16">
          <cell r="B16" t="str">
            <v>6.5. Promover criterios de unificación y de coordinación de la gestión estratégica intra e interinstitucional.</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sheetName val="Hoja1"/>
    </sheetNames>
    <sheetDataSet>
      <sheetData sheetId="0"/>
      <sheetData sheetId="1">
        <row r="3">
          <cell r="A3" t="str">
            <v>1. Prestar asistencia efectiva a los ciudadanos.</v>
          </cell>
          <cell r="B3" t="str">
            <v>1.1. Efectuar seguimiento y control efectivo a los requerimientos ciudadanos para que conduzcan a la materialización de los derechos.</v>
          </cell>
        </row>
        <row r="4">
          <cell r="A4" t="str">
            <v>2. Alertar oportunamente sobre riesgos y hechos que se consideren irregulares en la gestión pública Distrital, para que se salvaguarden el interés público y los derechos ciudadanos.</v>
          </cell>
          <cell r="B4" t="str">
            <v>1.2.  Fortalecer el esquema de gestión de los Requerimientos Ciudadanos en función de la materialización de los derechos con criterio de expansión de cobertura.</v>
          </cell>
        </row>
        <row r="5">
          <cell r="A5" t="str">
            <v>3. Investigar y juzgar oportuna y consistentemente las conductas de los servidores públicos distritales.</v>
          </cell>
          <cell r="B5" t="str">
            <v>1.3. Radar: Leer la ciudad, las necesidades de los ciudadanos, el estado de respeto a los derechos humanos, a través de los requerimientos ciudadanos.</v>
          </cell>
        </row>
        <row r="6">
          <cell r="A6" t="str">
            <v>4. Visibilizar la gestión para preservar la legitimidad institucional.</v>
          </cell>
          <cell r="B6" t="str">
            <v>2.1. Generar mecanismos de priorización temática, para ejecución ágil y efectiva, y divulgación oportuna de los resultados de la revisión a la Gestión Pública.</v>
          </cell>
        </row>
        <row r="7">
          <cell r="A7" t="str">
            <v>5. Gestionar la apropiación y cumplimiento de deberes de todos, como garantía de realización de los Derechos.</v>
          </cell>
          <cell r="B7" t="str">
            <v>2.2. Establecer impacto.</v>
          </cell>
        </row>
        <row r="8">
          <cell r="A8" t="str">
            <v>6. Modernizar y fortalecer la institución para mejorar el servicio al ciudadano.</v>
          </cell>
          <cell r="B8" t="str">
            <v>3.1. Consolidar el ejercicio de la acción disciplinaria, bajo criterios de celeridad, oportunidad, responsabilidad, calidad y efectividad.</v>
          </cell>
        </row>
        <row r="9">
          <cell r="B9" t="str">
            <v>4.1. Fortalecer e innovar el sistema de comunicación interna y externa.</v>
          </cell>
        </row>
        <row r="10">
          <cell r="B10" t="str">
            <v>5.1. Crear y consolidar los mecanismos de concientización en el cumplimiento de deberes, reducción de  vulnerabilidad y gestión del riesgo para prevenir la violación de derechos.</v>
          </cell>
        </row>
        <row r="11">
          <cell r="B11" t="str">
            <v>5.2. Gestionar oportunamente la materialización, visibilización y/o sanción, frente a la vulneración de derechos.</v>
          </cell>
        </row>
        <row r="12">
          <cell r="B12" t="str">
            <v>6.1. Actualizar los recursos físicos, tecnológicos y organizacionales en función del óptimo logro de los objetivos del PEI</v>
          </cell>
        </row>
        <row r="13">
          <cell r="B13" t="str">
            <v>6.2. Contribuir al cumplimiento de los objetivos estratégicos de la Entidad, a través del desarrollo y cualificación de los servidores públicos, el fortalecimiento de sus competencias y vocación de servicio y la aplicación de estímulos.</v>
          </cell>
        </row>
        <row r="14">
          <cell r="B14" t="str">
            <v>6.3. Consolidar el SIG y asegurar que se oriente a la excelencia de los servicios y a la satisfacción de la ciudadanía.</v>
          </cell>
        </row>
        <row r="15">
          <cell r="B15" t="str">
            <v>6.4. Fortalecer la protección jurídica de la Entidad para que se gestione de manera responsable y oportuna.</v>
          </cell>
        </row>
        <row r="16">
          <cell r="B16" t="str">
            <v>6.5. Promover criterios de unificación y de coordinación de la gestión estratégica intra e interinstitucional.</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Rango en indicadores"/>
      <sheetName val="Cont. Procesos a Política SGC"/>
      <sheetName val="Resúmen Desempeño de Procesos"/>
      <sheetName val="Seguimiento Medición"/>
      <sheetName val="Informe Cons. Desempeño - Sgto."/>
      <sheetName val="01 Direcc Estratégico POA 2020 "/>
      <sheetName val="02 G. Conoc Innovación POA 2020"/>
      <sheetName val="03 Direccionamient TIC POA 2020"/>
      <sheetName val="04 Comunicación Estrat POA 2020"/>
      <sheetName val="05 Prom Defen Derechos POA 2020"/>
      <sheetName val="06 Prev Ctrl Func Públ POA 2020"/>
      <sheetName val="07 Potestad Discip POA 2020"/>
      <sheetName val="08 Gestión Talento Hum POA 2020"/>
      <sheetName val="09 Gestión Admin POA 2020"/>
      <sheetName val="10 Gestión Financiera POA 2020"/>
      <sheetName val="11 Gestión Contractual POA 2020"/>
      <sheetName val="12 Gestión Documental POA 2020"/>
      <sheetName val="13 Gestión Jurídica POA 2020 "/>
      <sheetName val="14 Servicio al Usuario POA 2020"/>
      <sheetName val="15 Ctr Disc Interno POA 2020"/>
      <sheetName val="16 Evaluacion y Segto POA 2020"/>
      <sheetName val="INSTRUCTIVO PL (Pág 3 de 3)"/>
      <sheetName val="CONTROL CAMBIOS FR"/>
    </sheetNames>
    <sheetDataSet>
      <sheetData sheetId="0"/>
      <sheetData sheetId="1"/>
      <sheetData sheetId="2"/>
      <sheetData sheetId="3"/>
      <sheetData sheetId="4"/>
      <sheetData sheetId="5"/>
      <sheetData sheetId="6">
        <row r="13">
          <cell r="R13">
            <v>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PL-09 POA (Pág 1 de 2)"/>
      <sheetName val="01-PL-09 POA (Pág 2 de 2)"/>
      <sheetName val="01-FR-03 POA INSTITUCIONAL"/>
      <sheetName val="01-DIRECCIONAMIENTO ESTRATÉGICO"/>
      <sheetName val="02-G. CONOCIMIENTO INNOVACIÓN"/>
      <sheetName val="03-DIRECCIONAMIENTO TIC"/>
      <sheetName val="04-COMUNICACIÓN ESTRATÉGICA"/>
      <sheetName val="05-POA PROM DEFENSA DERECHOS"/>
      <sheetName val="06-PREV CTRL FUN PÚBLICA"/>
      <sheetName val="07-POTESTAD DISCIPLINARIA"/>
      <sheetName val="08-G. DEL TALENTO HUMANO"/>
      <sheetName val="09-G.  ADMINISTRATIVA"/>
      <sheetName val="10-GESTIÓN FINANCIERA"/>
      <sheetName val="11-GESTIÓN CONTRACTUAL"/>
      <sheetName val="12-GESTIÓN DOCUMENTAL"/>
      <sheetName val="13-GESTIÓN JURÍDICA"/>
      <sheetName val="14-SERVICIO AL USUARIO"/>
      <sheetName val="15-CTRL DISCIPLINARIO INTERNO"/>
      <sheetName val="16-EVALUACIÓN Y SEGUIMIENTO"/>
      <sheetName val="Instrucciones Dil (Pág 3 de 3)"/>
      <sheetName val="LISTAS"/>
    </sheetNames>
    <sheetDataSet>
      <sheetData sheetId="0"/>
      <sheetData sheetId="1"/>
      <sheetData sheetId="2">
        <row r="97">
          <cell r="J97" t="str">
            <v xml:space="preserve">Dirección de Gestión del Conocimiento e Innovación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 Y PLANEACIÓN ESTRATÉGICA"/>
      <sheetName val="COMUNICACIONES"/>
      <sheetName val="ATENCIÓN REQUERIMIENTOS CDANOS"/>
      <sheetName val="GARANTÍA Y MATERIALIZACIÓN DD"/>
      <sheetName val="REVISIÓN GESTIÓN PÚBLICA"/>
      <sheetName val="DISCIPLINARIO"/>
      <sheetName val="GESTIÓN DEL TALENTO HUMANO"/>
      <sheetName val="GESTIÓN JURÍDICA"/>
      <sheetName val="GESTIÓN DE ADQUISICIÓN BYS"/>
      <sheetName val="GESTIÓN TECNOLOGÍAS INFORMACIÓN"/>
      <sheetName val="GESTIÓN DOCUMENTAL"/>
      <sheetName val="CONTROL INTERNO"/>
      <sheetName val="MEJORA CONTÍNUA"/>
      <sheetName val="POA Anualizado (Pág 1 de 3)"/>
      <sheetName val="POA Proceso (Pág 2 de 3)"/>
      <sheetName val="Instrucciones Dil (Pág 3 de 3)"/>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3">
          <cell r="B13" t="str">
            <v>Promover la defensa y protección de los derechos de las personas en el Distrito Capital con énfasis en los sujetos de especial protección constitucional, en particular de las personas mayores y mujeres y la población migrante a través de acciones que propendan por su garantía.</v>
          </cell>
        </row>
      </sheetData>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 Y PLANEACIÓN ESTRATÉGICA"/>
      <sheetName val="COMUNICACIONES"/>
      <sheetName val="ATENCIÓN REQUERIMIENTOS CDANOS"/>
      <sheetName val="GARANTÍA Y MATERIALIZACIÓN DD"/>
      <sheetName val="REVISIÓN GESTIÓN PÚBLICA"/>
      <sheetName val="DISCIPLINARIO"/>
      <sheetName val="GESTIÓN DEL TALENTO HUMANO"/>
      <sheetName val="GESTIÓN JURÍDICA"/>
      <sheetName val="GESTIÓN DE ADQUISICIÓN BYS"/>
      <sheetName val="GESTIÓN TECNOLOGÍAS INFORMACIÓN"/>
      <sheetName val="GESTIÓN DOCUMENTAL"/>
      <sheetName val="CONTROL INTERNO"/>
      <sheetName val="MEJORA CONTÍNUA"/>
      <sheetName val="POA Anualizado (Pág 1 de 3)"/>
      <sheetName val="POA Proceso (Pág 2 de 3)"/>
      <sheetName val="Instrucciones Dil (Pág 3 de 3)"/>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3">
          <cell r="H13" t="str">
            <v>Porcentaje de servicios atendidos</v>
          </cell>
        </row>
        <row r="14">
          <cell r="H14" t="str">
            <v>Porcentaje de actividades del PESV ejecutadas</v>
          </cell>
        </row>
      </sheetData>
      <sheetData sheetId="14" refreshError="1"/>
      <sheetData sheetId="15" refreshError="1"/>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 Y PLANEACIÓN ESTRATÉGICA"/>
      <sheetName val="COMUNICACIONES"/>
      <sheetName val="ATENCIÓN REQUERIMIENTOS CDANOS"/>
      <sheetName val="GARANTÍA Y MATERIALIZACIÓN DD"/>
      <sheetName val="REVISIÓN GESTIÓN PÚBLICA"/>
      <sheetName val="DISCIPLINARIO"/>
      <sheetName val="GESTIÓN DEL TALENTO HUMANO"/>
      <sheetName val="GESTIÓN JURÍDICA"/>
      <sheetName val="GESTIÓN DE ADQUISICIÓN BYS"/>
      <sheetName val="GESTIÓN TECNOLOGÍAS INFORMACIÓN"/>
      <sheetName val="GESTIÓN DOCUMENTAL"/>
      <sheetName val="CONTROL INTERNO"/>
      <sheetName val="MEJORA CONTÍNUA"/>
      <sheetName val="POA Anualizado (Pág 1 de 3)"/>
      <sheetName val="POA Proceso (Pág 2 de 3)"/>
      <sheetName val="Instrucciones Dil (Pág 3 de 3)"/>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3">
          <cell r="J13" t="str">
            <v>Oficina de Control Interno</v>
          </cell>
        </row>
        <row r="14">
          <cell r="J14" t="str">
            <v>Oficina de Control Interno</v>
          </cell>
        </row>
        <row r="15">
          <cell r="J15" t="str">
            <v>Oficina de Control Interno</v>
          </cell>
        </row>
      </sheetData>
      <sheetData sheetId="14" refreshError="1"/>
      <sheetData sheetId="15" refreshError="1"/>
      <sheetData sheetId="1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6.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7.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8.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9.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0.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6B54B-4C91-45B7-AC06-B5163719E6C9}">
  <dimension ref="A1:F41"/>
  <sheetViews>
    <sheetView showGridLines="0" zoomScale="70" zoomScaleNormal="70" workbookViewId="0">
      <selection activeCell="A5" sqref="A5:F24"/>
    </sheetView>
  </sheetViews>
  <sheetFormatPr baseColWidth="10" defaultColWidth="12.5546875" defaultRowHeight="13.2"/>
  <cols>
    <col min="1" max="1" width="4.33203125" style="94" customWidth="1"/>
    <col min="2" max="2" width="13.6640625" style="94" customWidth="1"/>
    <col min="3" max="3" width="16.44140625" style="94" customWidth="1"/>
    <col min="4" max="4" width="52.44140625" style="94" customWidth="1"/>
    <col min="5" max="5" width="16.44140625" style="94" customWidth="1"/>
    <col min="6" max="6" width="13.6640625" style="94" customWidth="1"/>
    <col min="7" max="16384" width="12.5546875" style="94"/>
  </cols>
  <sheetData>
    <row r="1" spans="1:6" ht="19.5" customHeight="1">
      <c r="A1" s="1107"/>
      <c r="B1" s="1108"/>
      <c r="C1" s="1108"/>
      <c r="D1" s="1111" t="s">
        <v>615</v>
      </c>
      <c r="E1" s="1113" t="s">
        <v>616</v>
      </c>
      <c r="F1" s="1114"/>
    </row>
    <row r="2" spans="1:6" ht="23.25" customHeight="1">
      <c r="A2" s="1109"/>
      <c r="B2" s="1110"/>
      <c r="C2" s="1110"/>
      <c r="D2" s="1112"/>
      <c r="E2" s="95" t="s">
        <v>631</v>
      </c>
      <c r="F2" s="96" t="s">
        <v>617</v>
      </c>
    </row>
    <row r="3" spans="1:6" ht="30" customHeight="1">
      <c r="A3" s="1109"/>
      <c r="B3" s="1110"/>
      <c r="C3" s="1110"/>
      <c r="D3" s="1112"/>
      <c r="E3" s="1115" t="s">
        <v>618</v>
      </c>
      <c r="F3" s="1116"/>
    </row>
    <row r="4" spans="1:6" ht="9" customHeight="1">
      <c r="A4" s="97"/>
      <c r="B4" s="98"/>
      <c r="C4" s="98"/>
      <c r="D4" s="98"/>
      <c r="E4" s="98"/>
      <c r="F4" s="99"/>
    </row>
    <row r="5" spans="1:6" ht="17.850000000000001" customHeight="1">
      <c r="A5" s="100"/>
      <c r="B5" s="101"/>
      <c r="C5" s="101"/>
      <c r="D5" s="101"/>
      <c r="E5" s="101"/>
      <c r="F5" s="102"/>
    </row>
    <row r="6" spans="1:6" ht="30" customHeight="1">
      <c r="A6" s="103"/>
      <c r="B6" s="1120" t="s">
        <v>619</v>
      </c>
      <c r="C6" s="1120"/>
      <c r="D6" s="1120"/>
      <c r="E6" s="1120"/>
      <c r="F6" s="104"/>
    </row>
    <row r="7" spans="1:6" ht="19.5" customHeight="1">
      <c r="A7" s="103"/>
      <c r="B7" s="69" t="s">
        <v>620</v>
      </c>
      <c r="C7" s="69" t="s">
        <v>621</v>
      </c>
      <c r="D7" s="1112" t="s">
        <v>622</v>
      </c>
      <c r="E7" s="1112"/>
      <c r="F7" s="105"/>
    </row>
    <row r="8" spans="1:6" ht="15">
      <c r="A8" s="106"/>
      <c r="B8" s="68">
        <v>1</v>
      </c>
      <c r="C8" s="107">
        <v>44226</v>
      </c>
      <c r="D8" s="1121" t="s">
        <v>623</v>
      </c>
      <c r="E8" s="1121"/>
      <c r="F8" s="99"/>
    </row>
    <row r="9" spans="1:6">
      <c r="A9" s="97"/>
      <c r="B9" s="98"/>
      <c r="C9" s="98"/>
      <c r="D9" s="98"/>
      <c r="E9" s="98"/>
      <c r="F9" s="99"/>
    </row>
    <row r="10" spans="1:6" ht="19.5" customHeight="1">
      <c r="A10" s="108"/>
      <c r="B10" s="109"/>
      <c r="C10" s="109"/>
      <c r="D10" s="109"/>
      <c r="E10" s="110"/>
      <c r="F10" s="111"/>
    </row>
    <row r="11" spans="1:6" ht="19.5" customHeight="1">
      <c r="A11" s="97"/>
      <c r="B11" s="98"/>
      <c r="C11" s="98"/>
      <c r="D11" s="98"/>
      <c r="E11" s="112"/>
      <c r="F11" s="113"/>
    </row>
    <row r="12" spans="1:6" ht="19.5" customHeight="1">
      <c r="A12" s="114"/>
      <c r="B12" s="109"/>
      <c r="C12" s="98"/>
      <c r="D12" s="98"/>
      <c r="E12" s="98"/>
      <c r="F12" s="99"/>
    </row>
    <row r="13" spans="1:6" ht="19.5" customHeight="1">
      <c r="A13" s="114"/>
      <c r="B13" s="109"/>
      <c r="C13" s="115"/>
      <c r="D13" s="109"/>
      <c r="E13" s="109"/>
      <c r="F13" s="111"/>
    </row>
    <row r="14" spans="1:6" ht="19.5" customHeight="1">
      <c r="A14" s="116"/>
      <c r="B14" s="110"/>
      <c r="C14" s="110"/>
      <c r="D14" s="110"/>
      <c r="E14" s="110"/>
      <c r="F14" s="117"/>
    </row>
    <row r="15" spans="1:6" ht="16.350000000000001" customHeight="1">
      <c r="A15" s="116"/>
      <c r="B15" s="110"/>
      <c r="C15" s="110"/>
      <c r="D15" s="110"/>
      <c r="E15" s="109"/>
      <c r="F15" s="111"/>
    </row>
    <row r="16" spans="1:6" ht="16.350000000000001" customHeight="1">
      <c r="A16" s="114"/>
      <c r="B16" s="109"/>
      <c r="C16" s="115"/>
      <c r="D16" s="115"/>
      <c r="E16" s="115"/>
      <c r="F16" s="118"/>
    </row>
    <row r="17" spans="1:6" ht="16.350000000000001" customHeight="1">
      <c r="A17" s="114"/>
      <c r="B17" s="109"/>
      <c r="C17" s="115"/>
      <c r="D17" s="115"/>
      <c r="E17" s="115"/>
      <c r="F17" s="118"/>
    </row>
    <row r="18" spans="1:6" ht="16.350000000000001" customHeight="1">
      <c r="A18" s="119"/>
      <c r="B18" s="120"/>
      <c r="C18" s="120"/>
      <c r="D18" s="120"/>
      <c r="E18" s="115"/>
      <c r="F18" s="118"/>
    </row>
    <row r="19" spans="1:6" ht="16.350000000000001" customHeight="1">
      <c r="A19" s="121"/>
      <c r="B19" s="115"/>
      <c r="C19" s="115"/>
      <c r="D19" s="115"/>
      <c r="E19" s="115"/>
      <c r="F19" s="118"/>
    </row>
    <row r="20" spans="1:6" ht="16.350000000000001" customHeight="1">
      <c r="A20" s="116"/>
      <c r="B20" s="110"/>
      <c r="C20" s="110"/>
      <c r="D20" s="109"/>
      <c r="E20" s="109"/>
      <c r="F20" s="111"/>
    </row>
    <row r="21" spans="1:6" ht="16.350000000000001" customHeight="1">
      <c r="A21" s="116"/>
      <c r="B21" s="110"/>
      <c r="C21" s="110"/>
      <c r="D21" s="109"/>
      <c r="E21" s="109"/>
      <c r="F21" s="111"/>
    </row>
    <row r="22" spans="1:6" ht="16.350000000000001" customHeight="1">
      <c r="A22" s="121"/>
      <c r="B22" s="115"/>
      <c r="C22" s="115"/>
      <c r="D22" s="115"/>
      <c r="E22" s="115"/>
      <c r="F22" s="118"/>
    </row>
    <row r="23" spans="1:6" ht="16.350000000000001" customHeight="1">
      <c r="A23" s="121"/>
      <c r="B23" s="115"/>
      <c r="C23" s="115"/>
      <c r="D23" s="115"/>
      <c r="E23" s="115"/>
      <c r="F23" s="118"/>
    </row>
    <row r="24" spans="1:6" ht="16.350000000000001" customHeight="1">
      <c r="A24" s="121"/>
      <c r="B24" s="115"/>
      <c r="C24" s="115"/>
      <c r="D24" s="115"/>
      <c r="E24" s="115"/>
      <c r="F24" s="118"/>
    </row>
    <row r="25" spans="1:6" ht="25.5" customHeight="1">
      <c r="A25" s="1129" t="s">
        <v>625</v>
      </c>
      <c r="B25" s="1130"/>
      <c r="C25" s="1131"/>
      <c r="D25" s="122" t="s">
        <v>626</v>
      </c>
      <c r="E25" s="1127" t="s">
        <v>627</v>
      </c>
      <c r="F25" s="1128"/>
    </row>
    <row r="26" spans="1:6" ht="65.25" customHeight="1">
      <c r="A26" s="1124" t="s">
        <v>624</v>
      </c>
      <c r="B26" s="1125"/>
      <c r="C26" s="1126"/>
      <c r="D26" s="123" t="s">
        <v>628</v>
      </c>
      <c r="E26" s="1122" t="s">
        <v>629</v>
      </c>
      <c r="F26" s="1123"/>
    </row>
    <row r="27" spans="1:6" ht="21" customHeight="1">
      <c r="A27" s="121"/>
      <c r="B27" s="115"/>
      <c r="C27" s="115"/>
      <c r="D27" s="115"/>
      <c r="E27" s="115"/>
      <c r="F27" s="118"/>
    </row>
    <row r="28" spans="1:6" ht="39.75" customHeight="1">
      <c r="A28" s="1117" t="s">
        <v>614</v>
      </c>
      <c r="B28" s="1118"/>
      <c r="C28" s="1118"/>
      <c r="D28" s="1118"/>
      <c r="E28" s="1118"/>
      <c r="F28" s="1119"/>
    </row>
    <row r="29" spans="1:6" ht="17.25" customHeight="1" thickBot="1">
      <c r="A29" s="124"/>
      <c r="B29" s="125"/>
      <c r="C29" s="125"/>
      <c r="D29" s="125"/>
      <c r="E29" s="125"/>
      <c r="F29" s="126"/>
    </row>
    <row r="30" spans="1:6" ht="27" customHeight="1"/>
    <row r="31" spans="1:6" ht="15.6" customHeight="1">
      <c r="A31" s="127"/>
      <c r="B31" s="127"/>
      <c r="C31" s="127"/>
      <c r="D31" s="127"/>
      <c r="E31" s="127"/>
      <c r="F31" s="127"/>
    </row>
    <row r="32" spans="1:6" ht="13.5" customHeight="1">
      <c r="A32" s="128"/>
      <c r="B32" s="98"/>
      <c r="C32" s="98"/>
      <c r="D32" s="98"/>
      <c r="E32" s="98"/>
      <c r="F32" s="98"/>
    </row>
    <row r="33" spans="1:6" ht="18" customHeight="1">
      <c r="A33" s="98"/>
      <c r="B33" s="129"/>
      <c r="C33" s="98"/>
      <c r="D33" s="98"/>
      <c r="E33" s="98"/>
      <c r="F33" s="98"/>
    </row>
    <row r="34" spans="1:6" ht="13.5" customHeight="1">
      <c r="A34" s="127"/>
      <c r="B34" s="127"/>
      <c r="C34" s="127"/>
      <c r="D34" s="127"/>
      <c r="E34" s="115"/>
      <c r="F34" s="115"/>
    </row>
    <row r="35" spans="1:6" ht="15.6" customHeight="1">
      <c r="A35" s="127"/>
      <c r="B35" s="127"/>
      <c r="C35" s="127"/>
      <c r="D35" s="127"/>
      <c r="E35" s="127"/>
      <c r="F35" s="127"/>
    </row>
    <row r="36" spans="1:6" ht="15.6" customHeight="1">
      <c r="A36" s="127"/>
      <c r="B36" s="127"/>
      <c r="C36" s="127"/>
      <c r="D36" s="127"/>
      <c r="E36" s="127"/>
      <c r="F36" s="127"/>
    </row>
    <row r="37" spans="1:6" ht="11.1" customHeight="1">
      <c r="A37" s="98"/>
      <c r="B37" s="98"/>
      <c r="C37" s="98"/>
      <c r="D37" s="98"/>
      <c r="E37" s="98"/>
      <c r="F37" s="98"/>
    </row>
    <row r="38" spans="1:6" ht="11.25" customHeight="1">
      <c r="A38" s="130"/>
      <c r="B38" s="130"/>
      <c r="C38" s="130"/>
      <c r="D38" s="130"/>
      <c r="E38" s="130"/>
      <c r="F38" s="130"/>
    </row>
    <row r="39" spans="1:6" ht="7.5" customHeight="1">
      <c r="A39" s="98"/>
      <c r="B39" s="98"/>
      <c r="C39" s="98"/>
      <c r="D39" s="98"/>
      <c r="E39" s="98"/>
      <c r="F39" s="98"/>
    </row>
    <row r="40" spans="1:6" ht="16.5" customHeight="1">
      <c r="A40" s="109"/>
      <c r="B40" s="109"/>
      <c r="C40" s="109"/>
      <c r="D40" s="109"/>
      <c r="E40" s="109"/>
      <c r="F40" s="109"/>
    </row>
    <row r="41" spans="1:6" ht="24.75" customHeight="1"/>
  </sheetData>
  <sheetProtection algorithmName="SHA-512" hashValue="HnpwiZL4/jUyJvdUXy2xiUl6FfGtZvGC0kZvb8riYQdz++EhMINU7DQYd8KJWMd9oN1Xb7RH4ODIe4rfvxkvJA==" saltValue="vSA+imkFjgzOmKzzWbvb3Q==" spinCount="100000" sheet="1" objects="1" scenarios="1" selectLockedCells="1"/>
  <mergeCells count="12">
    <mergeCell ref="A1:C3"/>
    <mergeCell ref="D1:D3"/>
    <mergeCell ref="E1:F1"/>
    <mergeCell ref="E3:F3"/>
    <mergeCell ref="A28:F28"/>
    <mergeCell ref="B6:E6"/>
    <mergeCell ref="D7:E7"/>
    <mergeCell ref="D8:E8"/>
    <mergeCell ref="E26:F26"/>
    <mergeCell ref="A26:C26"/>
    <mergeCell ref="E25:F25"/>
    <mergeCell ref="A25:C25"/>
  </mergeCells>
  <pageMargins left="0.7" right="0.7" top="0.75" bottom="0.75" header="0.3" footer="0.3"/>
  <pageSetup paperSize="9" scale="75"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F117F-E8C7-4944-8A84-0879E6866BD8}">
  <dimension ref="A1:F40"/>
  <sheetViews>
    <sheetView showGridLines="0" workbookViewId="0">
      <selection activeCell="A5" sqref="A5:F24"/>
    </sheetView>
  </sheetViews>
  <sheetFormatPr baseColWidth="10" defaultColWidth="12.5546875" defaultRowHeight="13.2"/>
  <cols>
    <col min="1" max="1" width="4.33203125" style="94" customWidth="1"/>
    <col min="2" max="2" width="13.6640625" style="94" customWidth="1"/>
    <col min="3" max="3" width="16.44140625" style="94" customWidth="1"/>
    <col min="4" max="4" width="52.44140625" style="94" customWidth="1"/>
    <col min="5" max="5" width="16.44140625" style="94" customWidth="1"/>
    <col min="6" max="6" width="13.6640625" style="94" customWidth="1"/>
    <col min="7" max="16384" width="12.5546875" style="94"/>
  </cols>
  <sheetData>
    <row r="1" spans="1:6" ht="19.5" customHeight="1">
      <c r="A1" s="1107"/>
      <c r="B1" s="1108"/>
      <c r="C1" s="1108"/>
      <c r="D1" s="1111" t="s">
        <v>615</v>
      </c>
      <c r="E1" s="1113" t="s">
        <v>616</v>
      </c>
      <c r="F1" s="1114"/>
    </row>
    <row r="2" spans="1:6" ht="23.25" customHeight="1">
      <c r="A2" s="1109"/>
      <c r="B2" s="1110"/>
      <c r="C2" s="1110"/>
      <c r="D2" s="1112"/>
      <c r="E2" s="95" t="s">
        <v>631</v>
      </c>
      <c r="F2" s="96" t="s">
        <v>630</v>
      </c>
    </row>
    <row r="3" spans="1:6" ht="28.5" customHeight="1">
      <c r="A3" s="1109"/>
      <c r="B3" s="1110"/>
      <c r="C3" s="1110"/>
      <c r="D3" s="1112"/>
      <c r="E3" s="1115" t="s">
        <v>618</v>
      </c>
      <c r="F3" s="1116"/>
    </row>
    <row r="4" spans="1:6" ht="9" customHeight="1">
      <c r="A4" s="97"/>
      <c r="B4" s="98"/>
      <c r="C4" s="98"/>
      <c r="D4" s="98"/>
      <c r="E4" s="98"/>
      <c r="F4" s="99"/>
    </row>
    <row r="5" spans="1:6" ht="17.850000000000001" customHeight="1">
      <c r="A5" s="1143" t="s">
        <v>632</v>
      </c>
      <c r="B5" s="1144"/>
      <c r="C5" s="1144"/>
      <c r="D5" s="1144"/>
      <c r="E5" s="1144"/>
      <c r="F5" s="1145"/>
    </row>
    <row r="6" spans="1:6" ht="30" customHeight="1">
      <c r="A6" s="1146"/>
      <c r="B6" s="1144"/>
      <c r="C6" s="1144"/>
      <c r="D6" s="1144"/>
      <c r="E6" s="1144"/>
      <c r="F6" s="1145"/>
    </row>
    <row r="7" spans="1:6" ht="19.5" customHeight="1">
      <c r="A7" s="1146"/>
      <c r="B7" s="1144"/>
      <c r="C7" s="1144"/>
      <c r="D7" s="1144"/>
      <c r="E7" s="1144"/>
      <c r="F7" s="1145"/>
    </row>
    <row r="8" spans="1:6" ht="15" customHeight="1">
      <c r="A8" s="1146"/>
      <c r="B8" s="1144"/>
      <c r="C8" s="1144"/>
      <c r="D8" s="1144"/>
      <c r="E8" s="1144"/>
      <c r="F8" s="1145"/>
    </row>
    <row r="9" spans="1:6">
      <c r="A9" s="1146"/>
      <c r="B9" s="1144"/>
      <c r="C9" s="1144"/>
      <c r="D9" s="1144"/>
      <c r="E9" s="1144"/>
      <c r="F9" s="1145"/>
    </row>
    <row r="10" spans="1:6" ht="19.5" customHeight="1">
      <c r="A10" s="1146"/>
      <c r="B10" s="1144"/>
      <c r="C10" s="1144"/>
      <c r="D10" s="1144"/>
      <c r="E10" s="1144"/>
      <c r="F10" s="1145"/>
    </row>
    <row r="11" spans="1:6" ht="19.5" customHeight="1">
      <c r="A11" s="1146"/>
      <c r="B11" s="1144"/>
      <c r="C11" s="1144"/>
      <c r="D11" s="1144"/>
      <c r="E11" s="1144"/>
      <c r="F11" s="1145"/>
    </row>
    <row r="12" spans="1:6" ht="19.5" customHeight="1">
      <c r="A12" s="1146"/>
      <c r="B12" s="1144"/>
      <c r="C12" s="1144"/>
      <c r="D12" s="1144"/>
      <c r="E12" s="1144"/>
      <c r="F12" s="1145"/>
    </row>
    <row r="13" spans="1:6" ht="19.5" customHeight="1">
      <c r="A13" s="1146"/>
      <c r="B13" s="1144"/>
      <c r="C13" s="1144"/>
      <c r="D13" s="1144"/>
      <c r="E13" s="1144"/>
      <c r="F13" s="1145"/>
    </row>
    <row r="14" spans="1:6" ht="19.5" customHeight="1">
      <c r="A14" s="1146"/>
      <c r="B14" s="1144"/>
      <c r="C14" s="1144"/>
      <c r="D14" s="1144"/>
      <c r="E14" s="1144"/>
      <c r="F14" s="1145"/>
    </row>
    <row r="15" spans="1:6" ht="16.350000000000001" customHeight="1">
      <c r="A15" s="1146"/>
      <c r="B15" s="1144"/>
      <c r="C15" s="1144"/>
      <c r="D15" s="1144"/>
      <c r="E15" s="1144"/>
      <c r="F15" s="1145"/>
    </row>
    <row r="16" spans="1:6" ht="16.350000000000001" customHeight="1">
      <c r="A16" s="1146"/>
      <c r="B16" s="1144"/>
      <c r="C16" s="1144"/>
      <c r="D16" s="1144"/>
      <c r="E16" s="1144"/>
      <c r="F16" s="1145"/>
    </row>
    <row r="17" spans="1:6" ht="16.350000000000001" customHeight="1">
      <c r="A17" s="1146"/>
      <c r="B17" s="1144"/>
      <c r="C17" s="1144"/>
      <c r="D17" s="1144"/>
      <c r="E17" s="1144"/>
      <c r="F17" s="1145"/>
    </row>
    <row r="18" spans="1:6" ht="16.350000000000001" customHeight="1">
      <c r="A18" s="1146"/>
      <c r="B18" s="1144"/>
      <c r="C18" s="1144"/>
      <c r="D18" s="1144"/>
      <c r="E18" s="1144"/>
      <c r="F18" s="1145"/>
    </row>
    <row r="19" spans="1:6" ht="16.350000000000001" customHeight="1">
      <c r="A19" s="1146"/>
      <c r="B19" s="1144"/>
      <c r="C19" s="1144"/>
      <c r="D19" s="1144"/>
      <c r="E19" s="1144"/>
      <c r="F19" s="1145"/>
    </row>
    <row r="20" spans="1:6" ht="16.350000000000001" customHeight="1">
      <c r="A20" s="1146"/>
      <c r="B20" s="1144"/>
      <c r="C20" s="1144"/>
      <c r="D20" s="1144"/>
      <c r="E20" s="1144"/>
      <c r="F20" s="1145"/>
    </row>
    <row r="21" spans="1:6" ht="16.350000000000001" customHeight="1">
      <c r="A21" s="1146"/>
      <c r="B21" s="1144"/>
      <c r="C21" s="1144"/>
      <c r="D21" s="1144"/>
      <c r="E21" s="1144"/>
      <c r="F21" s="1145"/>
    </row>
    <row r="22" spans="1:6" ht="16.350000000000001" customHeight="1">
      <c r="A22" s="1146"/>
      <c r="B22" s="1144"/>
      <c r="C22" s="1144"/>
      <c r="D22" s="1144"/>
      <c r="E22" s="1144"/>
      <c r="F22" s="1145"/>
    </row>
    <row r="23" spans="1:6" ht="16.350000000000001" customHeight="1">
      <c r="A23" s="1146"/>
      <c r="B23" s="1144"/>
      <c r="C23" s="1144"/>
      <c r="D23" s="1144"/>
      <c r="E23" s="1144"/>
      <c r="F23" s="1145"/>
    </row>
    <row r="24" spans="1:6" ht="16.350000000000001" customHeight="1">
      <c r="A24" s="1146"/>
      <c r="B24" s="1144"/>
      <c r="C24" s="1144"/>
      <c r="D24" s="1144"/>
      <c r="E24" s="1144"/>
      <c r="F24" s="1145"/>
    </row>
    <row r="25" spans="1:6" ht="25.5" customHeight="1">
      <c r="A25" s="1132"/>
      <c r="B25" s="1133"/>
      <c r="C25" s="1133"/>
      <c r="D25" s="131"/>
      <c r="E25" s="1134"/>
      <c r="F25" s="1135"/>
    </row>
    <row r="26" spans="1:6" ht="65.25" customHeight="1">
      <c r="A26" s="1136"/>
      <c r="B26" s="1137"/>
      <c r="C26" s="1137"/>
      <c r="D26" s="132"/>
      <c r="E26" s="1138"/>
      <c r="F26" s="1139"/>
    </row>
    <row r="27" spans="1:6" ht="21" customHeight="1">
      <c r="A27" s="121"/>
      <c r="B27" s="115"/>
      <c r="C27" s="115"/>
      <c r="D27" s="115"/>
      <c r="E27" s="115"/>
      <c r="F27" s="118"/>
    </row>
    <row r="28" spans="1:6" ht="39.75" customHeight="1" thickBot="1">
      <c r="A28" s="1140" t="s">
        <v>614</v>
      </c>
      <c r="B28" s="1141"/>
      <c r="C28" s="1141"/>
      <c r="D28" s="1141"/>
      <c r="E28" s="1141"/>
      <c r="F28" s="1142"/>
    </row>
    <row r="29" spans="1:6" ht="27" customHeight="1"/>
    <row r="30" spans="1:6" ht="15.6" customHeight="1">
      <c r="A30" s="127"/>
      <c r="B30" s="127"/>
      <c r="C30" s="127"/>
      <c r="D30" s="127"/>
      <c r="E30" s="127"/>
      <c r="F30" s="127"/>
    </row>
    <row r="31" spans="1:6" ht="13.5" customHeight="1">
      <c r="A31" s="128"/>
      <c r="B31" s="98"/>
      <c r="C31" s="98"/>
      <c r="D31" s="98"/>
      <c r="E31" s="98"/>
      <c r="F31" s="98"/>
    </row>
    <row r="32" spans="1:6" ht="18" customHeight="1">
      <c r="A32" s="98"/>
      <c r="B32" s="129"/>
      <c r="C32" s="98"/>
      <c r="D32" s="98"/>
      <c r="E32" s="98"/>
      <c r="F32" s="98"/>
    </row>
    <row r="33" spans="1:6" ht="13.5" customHeight="1">
      <c r="A33" s="127"/>
      <c r="B33" s="127"/>
      <c r="C33" s="127"/>
      <c r="D33" s="127"/>
      <c r="E33" s="115"/>
      <c r="F33" s="115"/>
    </row>
    <row r="34" spans="1:6" ht="15.6" customHeight="1">
      <c r="A34" s="127"/>
      <c r="B34" s="127"/>
      <c r="C34" s="127"/>
      <c r="D34" s="127"/>
      <c r="E34" s="127"/>
      <c r="F34" s="127"/>
    </row>
    <row r="35" spans="1:6" ht="15.6" customHeight="1">
      <c r="A35" s="127"/>
      <c r="B35" s="127"/>
      <c r="C35" s="127"/>
      <c r="D35" s="127"/>
      <c r="E35" s="127"/>
      <c r="F35" s="127"/>
    </row>
    <row r="36" spans="1:6" ht="11.1" customHeight="1">
      <c r="A36" s="98"/>
      <c r="B36" s="98"/>
      <c r="C36" s="98"/>
      <c r="D36" s="98"/>
      <c r="E36" s="98"/>
      <c r="F36" s="98"/>
    </row>
    <row r="37" spans="1:6" ht="11.25" customHeight="1">
      <c r="A37" s="130"/>
      <c r="B37" s="130"/>
      <c r="C37" s="130"/>
      <c r="D37" s="130"/>
      <c r="E37" s="130"/>
      <c r="F37" s="130"/>
    </row>
    <row r="38" spans="1:6" ht="7.5" customHeight="1">
      <c r="A38" s="98"/>
      <c r="B38" s="98"/>
      <c r="C38" s="98"/>
      <c r="D38" s="98"/>
      <c r="E38" s="98"/>
      <c r="F38" s="98"/>
    </row>
    <row r="39" spans="1:6" ht="16.5" customHeight="1">
      <c r="A39" s="109"/>
      <c r="B39" s="109"/>
      <c r="C39" s="109"/>
      <c r="D39" s="109"/>
      <c r="E39" s="109"/>
      <c r="F39" s="109"/>
    </row>
    <row r="40" spans="1:6" ht="24.75" customHeight="1"/>
  </sheetData>
  <sheetProtection algorithmName="SHA-512" hashValue="AYp2KlviZevMuqLounInK503CjqlPnVfYWkoEWQCVsxbPCi+AwnAy8t11gHgpoT4J00qOTTIMXXXgp4XGm3DDw==" saltValue="Op/GkY2J2ad9xFrpW+/POg==" spinCount="100000" sheet="1" objects="1" scenarios="1" selectLockedCells="1"/>
  <mergeCells count="10">
    <mergeCell ref="A5:F24"/>
    <mergeCell ref="A1:C3"/>
    <mergeCell ref="D1:D3"/>
    <mergeCell ref="E1:F1"/>
    <mergeCell ref="E3:F3"/>
    <mergeCell ref="A25:C25"/>
    <mergeCell ref="E25:F25"/>
    <mergeCell ref="A26:C26"/>
    <mergeCell ref="E26:F26"/>
    <mergeCell ref="A28:F2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FA973-754A-4B1B-B5D3-000972D2EDBC}">
  <dimension ref="A1:G25"/>
  <sheetViews>
    <sheetView workbookViewId="0">
      <selection sqref="A1:XFD1048576"/>
    </sheetView>
  </sheetViews>
  <sheetFormatPr baseColWidth="10" defaultRowHeight="13.2"/>
  <cols>
    <col min="1" max="1" width="41.88671875" customWidth="1"/>
    <col min="2" max="2" width="27.109375" customWidth="1"/>
    <col min="3" max="3" width="45" customWidth="1"/>
    <col min="7" max="7" width="22.44140625" customWidth="1"/>
  </cols>
  <sheetData>
    <row r="1" spans="1:7" ht="20.399999999999999">
      <c r="A1" s="445" t="s">
        <v>751</v>
      </c>
      <c r="B1" s="445" t="s">
        <v>752</v>
      </c>
      <c r="C1" s="445" t="s">
        <v>753</v>
      </c>
      <c r="D1" s="445" t="s">
        <v>754</v>
      </c>
      <c r="E1" s="445" t="s">
        <v>755</v>
      </c>
      <c r="F1" s="445" t="s">
        <v>756</v>
      </c>
      <c r="G1" s="446" t="s">
        <v>757</v>
      </c>
    </row>
    <row r="2" spans="1:7">
      <c r="A2" s="447" t="s">
        <v>725</v>
      </c>
      <c r="B2" s="447" t="s">
        <v>758</v>
      </c>
      <c r="C2" s="448" t="s">
        <v>759</v>
      </c>
      <c r="D2" s="449" t="s">
        <v>760</v>
      </c>
      <c r="E2" s="449" t="s">
        <v>761</v>
      </c>
      <c r="F2" s="449" t="s">
        <v>762</v>
      </c>
      <c r="G2" s="450" t="s">
        <v>731</v>
      </c>
    </row>
    <row r="3" spans="1:7">
      <c r="A3" s="447" t="s">
        <v>727</v>
      </c>
      <c r="B3" s="447" t="s">
        <v>758</v>
      </c>
      <c r="C3" s="448" t="s">
        <v>763</v>
      </c>
      <c r="D3" s="449" t="s">
        <v>764</v>
      </c>
      <c r="E3" s="449" t="s">
        <v>765</v>
      </c>
      <c r="F3" s="449" t="s">
        <v>766</v>
      </c>
      <c r="G3" s="450" t="s">
        <v>726</v>
      </c>
    </row>
    <row r="4" spans="1:7" ht="14.4">
      <c r="A4" s="447" t="s">
        <v>728</v>
      </c>
      <c r="B4" s="447" t="s">
        <v>758</v>
      </c>
      <c r="C4" s="448" t="s">
        <v>767</v>
      </c>
      <c r="D4" s="449" t="s">
        <v>768</v>
      </c>
      <c r="E4" s="449" t="s">
        <v>769</v>
      </c>
      <c r="F4" s="451"/>
      <c r="G4" s="452" t="s">
        <v>743</v>
      </c>
    </row>
    <row r="5" spans="1:7" ht="14.4">
      <c r="A5" s="447" t="s">
        <v>729</v>
      </c>
      <c r="B5" s="447" t="s">
        <v>758</v>
      </c>
      <c r="C5" s="447" t="s">
        <v>770</v>
      </c>
      <c r="D5" s="451"/>
      <c r="E5" s="451"/>
      <c r="F5" s="451"/>
      <c r="G5" s="452" t="s">
        <v>771</v>
      </c>
    </row>
    <row r="6" spans="1:7" ht="14.4">
      <c r="A6" s="447" t="s">
        <v>730</v>
      </c>
      <c r="B6" s="447" t="s">
        <v>772</v>
      </c>
      <c r="C6" s="448" t="s">
        <v>773</v>
      </c>
      <c r="D6" s="451"/>
      <c r="E6" s="451"/>
      <c r="F6" s="451"/>
      <c r="G6" s="452" t="s">
        <v>774</v>
      </c>
    </row>
    <row r="7" spans="1:7" ht="14.4">
      <c r="A7" s="447" t="s">
        <v>732</v>
      </c>
      <c r="B7" s="447" t="s">
        <v>772</v>
      </c>
      <c r="C7" s="448" t="s">
        <v>775</v>
      </c>
      <c r="D7" s="451"/>
      <c r="E7" s="451"/>
      <c r="F7" s="451"/>
      <c r="G7" s="442"/>
    </row>
    <row r="8" spans="1:7" ht="14.4">
      <c r="A8" s="447" t="s">
        <v>733</v>
      </c>
      <c r="B8" s="447" t="s">
        <v>772</v>
      </c>
      <c r="C8" s="448" t="s">
        <v>776</v>
      </c>
      <c r="D8" s="451"/>
      <c r="E8" s="451"/>
      <c r="F8" s="451"/>
      <c r="G8" s="442"/>
    </row>
    <row r="9" spans="1:7" ht="14.4">
      <c r="A9" s="447" t="s">
        <v>734</v>
      </c>
      <c r="B9" s="447" t="s">
        <v>777</v>
      </c>
      <c r="C9" s="448" t="s">
        <v>778</v>
      </c>
      <c r="D9" s="451"/>
      <c r="E9" s="451"/>
      <c r="F9" s="451"/>
      <c r="G9" s="442"/>
    </row>
    <row r="10" spans="1:7" ht="14.4">
      <c r="A10" s="447" t="s">
        <v>735</v>
      </c>
      <c r="B10" s="447" t="s">
        <v>777</v>
      </c>
      <c r="C10" s="451"/>
      <c r="D10" s="451"/>
      <c r="E10" s="451"/>
      <c r="F10" s="451"/>
      <c r="G10" s="442"/>
    </row>
    <row r="11" spans="1:7" ht="14.4">
      <c r="A11" s="447" t="s">
        <v>736</v>
      </c>
      <c r="B11" s="447" t="s">
        <v>777</v>
      </c>
      <c r="C11" s="451"/>
      <c r="D11" s="451"/>
      <c r="E11" s="451"/>
      <c r="F11" s="451"/>
      <c r="G11" s="442"/>
    </row>
    <row r="12" spans="1:7" ht="14.4">
      <c r="A12" s="447" t="s">
        <v>737</v>
      </c>
      <c r="B12" s="447" t="s">
        <v>777</v>
      </c>
      <c r="C12" s="448"/>
      <c r="D12" s="451"/>
      <c r="E12" s="451"/>
      <c r="F12" s="451"/>
      <c r="G12" s="442"/>
    </row>
    <row r="13" spans="1:7" ht="14.4">
      <c r="A13" s="447" t="s">
        <v>738</v>
      </c>
      <c r="B13" s="447" t="s">
        <v>779</v>
      </c>
      <c r="C13" s="448"/>
      <c r="D13" s="451"/>
      <c r="E13" s="451"/>
      <c r="F13" s="451"/>
      <c r="G13" s="442"/>
    </row>
    <row r="14" spans="1:7" ht="14.4">
      <c r="A14" s="447" t="s">
        <v>739</v>
      </c>
      <c r="B14" s="447" t="s">
        <v>777</v>
      </c>
      <c r="C14" s="448"/>
      <c r="D14" s="451"/>
      <c r="E14" s="451"/>
      <c r="F14" s="451"/>
      <c r="G14" s="442"/>
    </row>
    <row r="15" spans="1:7" ht="14.4">
      <c r="A15" s="447" t="s">
        <v>740</v>
      </c>
      <c r="B15" s="447" t="s">
        <v>758</v>
      </c>
      <c r="C15" s="448"/>
      <c r="D15" s="451"/>
      <c r="E15" s="451"/>
      <c r="F15" s="451"/>
      <c r="G15" s="442"/>
    </row>
    <row r="16" spans="1:7" ht="14.4">
      <c r="A16" s="447" t="s">
        <v>741</v>
      </c>
      <c r="B16" s="447" t="s">
        <v>779</v>
      </c>
      <c r="C16" s="448"/>
      <c r="D16" s="451"/>
      <c r="E16" s="451"/>
      <c r="F16" s="451"/>
      <c r="G16" s="442"/>
    </row>
    <row r="17" spans="1:6" ht="14.4">
      <c r="A17" s="447" t="s">
        <v>742</v>
      </c>
      <c r="B17" s="447" t="s">
        <v>779</v>
      </c>
      <c r="C17" s="448"/>
      <c r="D17" s="451"/>
      <c r="E17" s="451"/>
      <c r="F17" s="451"/>
    </row>
    <row r="20" spans="1:6" ht="14.4">
      <c r="A20" s="453" t="s">
        <v>780</v>
      </c>
      <c r="B20" s="451"/>
      <c r="C20" s="451"/>
      <c r="D20" s="451"/>
      <c r="E20" s="451"/>
      <c r="F20" s="451"/>
    </row>
    <row r="21" spans="1:6" ht="14.4">
      <c r="A21" s="447" t="s">
        <v>781</v>
      </c>
      <c r="B21" s="451"/>
      <c r="C21" s="451"/>
      <c r="D21" s="451"/>
      <c r="E21" s="451"/>
      <c r="F21" s="451"/>
    </row>
    <row r="22" spans="1:6" ht="14.4">
      <c r="A22" s="451"/>
      <c r="B22" s="451"/>
      <c r="C22" s="451"/>
      <c r="D22" s="451"/>
      <c r="E22" s="451"/>
      <c r="F22" s="451"/>
    </row>
    <row r="23" spans="1:6" ht="14.4">
      <c r="A23" s="451"/>
      <c r="B23" s="451"/>
      <c r="C23" s="451"/>
      <c r="D23" s="451"/>
      <c r="E23" s="451"/>
      <c r="F23" s="451"/>
    </row>
    <row r="24" spans="1:6">
      <c r="A24" s="454"/>
      <c r="B24" s="454"/>
      <c r="C24" s="454"/>
      <c r="D24" s="455"/>
      <c r="E24" s="455"/>
      <c r="F24" s="455"/>
    </row>
    <row r="25" spans="1:6">
      <c r="A25" s="454"/>
      <c r="B25" s="454"/>
      <c r="C25" s="454"/>
      <c r="D25" s="455"/>
      <c r="E25" s="455"/>
      <c r="F25" s="455"/>
    </row>
  </sheetData>
  <sheetProtection algorithmName="SHA-512" hashValue="TeF0wlcsVsNbHpbw5KosKsK8svYFKAPEEOnab9028Ln04sASdLv9MGb2Osk7CRCsm8cuNLm5kvBq+W7TBU6Wqg==" saltValue="l9xNhf0AUv2TumHbFjKWWQ==" spinCount="100000" sheet="1" objects="1" scenarios="1" selectLockedCell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CCE01-0D56-4E34-B8B3-599A311D3A9D}">
  <sheetPr>
    <tabColor rgb="FF002060"/>
  </sheetPr>
  <dimension ref="B1:E55"/>
  <sheetViews>
    <sheetView showGridLines="0" topLeftCell="A6" zoomScale="40" zoomScaleNormal="40" workbookViewId="0">
      <selection activeCell="M12" sqref="M12"/>
    </sheetView>
  </sheetViews>
  <sheetFormatPr baseColWidth="10" defaultColWidth="17.33203125" defaultRowHeight="15"/>
  <cols>
    <col min="1" max="1" width="4.33203125" style="1" customWidth="1"/>
    <col min="2" max="2" width="87.44140625" style="3" customWidth="1"/>
    <col min="3" max="3" width="99" style="1" customWidth="1"/>
    <col min="4" max="5" width="38.6640625" style="1" customWidth="1"/>
    <col min="6" max="16384" width="17.33203125" style="1"/>
  </cols>
  <sheetData>
    <row r="1" spans="2:5" ht="15" customHeight="1"/>
    <row r="2" spans="2:5" ht="59.4" customHeight="1">
      <c r="B2" s="1147" t="s">
        <v>686</v>
      </c>
      <c r="C2" s="1154" t="s">
        <v>1039</v>
      </c>
      <c r="D2" s="811"/>
      <c r="E2" s="811"/>
    </row>
    <row r="3" spans="2:5" ht="59.4" customHeight="1">
      <c r="B3" s="1147"/>
      <c r="C3" s="1155"/>
      <c r="D3" s="811"/>
      <c r="E3" s="811"/>
    </row>
    <row r="4" spans="2:5" ht="14.25" customHeight="1">
      <c r="B4" s="2"/>
    </row>
    <row r="5" spans="2:5" ht="32.4" customHeight="1">
      <c r="B5" s="1156" t="s">
        <v>1059</v>
      </c>
      <c r="C5" s="1157"/>
      <c r="D5" s="694"/>
      <c r="E5" s="694"/>
    </row>
    <row r="6" spans="2:5" ht="14.25" customHeight="1">
      <c r="B6" s="2"/>
      <c r="C6" s="12"/>
      <c r="D6" s="12"/>
      <c r="E6" s="12"/>
    </row>
    <row r="7" spans="2:5" ht="34.200000000000003" customHeight="1" thickBot="1">
      <c r="B7" s="847" t="s">
        <v>1058</v>
      </c>
      <c r="C7" s="12"/>
      <c r="D7" s="12"/>
      <c r="E7" s="12"/>
    </row>
    <row r="8" spans="2:5" ht="52.2" customHeight="1">
      <c r="B8" s="1148" t="s">
        <v>1023</v>
      </c>
      <c r="C8" s="1149"/>
      <c r="D8" s="828"/>
      <c r="E8" s="828"/>
    </row>
    <row r="9" spans="2:5" ht="59.4" customHeight="1">
      <c r="B9" s="1150" t="s">
        <v>0</v>
      </c>
      <c r="C9" s="1152" t="s">
        <v>1041</v>
      </c>
      <c r="D9" s="829"/>
      <c r="E9" s="829"/>
    </row>
    <row r="10" spans="2:5" ht="38.4" customHeight="1">
      <c r="B10" s="1151"/>
      <c r="C10" s="1153"/>
      <c r="D10" s="829"/>
      <c r="E10" s="829"/>
    </row>
    <row r="11" spans="2:5" ht="156.6" customHeight="1">
      <c r="B11" s="864" t="str">
        <f>+'Matriz PEI 2021-2024'!B10</f>
        <v>1. Promover la defensa y protección de los derechos de las personas en el Distrito Capital con énfasis en los sujetos de especial protección constitucional, en particular de las personas mayores y mujeres y la población migrante a través de acciones que propendan por su garantía.</v>
      </c>
      <c r="C11" s="865">
        <f>+'1-Infor Det Sgto PEI 2021-2024 '!BO9</f>
        <v>7.4921202643780424E-2</v>
      </c>
      <c r="D11" s="830"/>
      <c r="E11" s="830"/>
    </row>
    <row r="12" spans="2:5" ht="141.6" customHeight="1">
      <c r="B12" s="866" t="str">
        <f>+'Matriz PEI 2021-2024'!B13</f>
        <v>2. Realizar acciones de prevención y control a la Función Pública, en el marco del cumplimiento del Plan de Desarrollo, con énfasis en los Derechos e intereses colectivos.</v>
      </c>
      <c r="C12" s="867">
        <f>+'1-Infor Det Sgto PEI 2021-2024 '!BO29</f>
        <v>2.2781201848998459E-2</v>
      </c>
      <c r="D12" s="831"/>
      <c r="E12" s="831"/>
    </row>
    <row r="13" spans="2:5" ht="141.6" customHeight="1">
      <c r="B13" s="864" t="str">
        <f>+'Matriz PEI 2021-2024'!B16</f>
        <v>3. Vigilar la conducta oficial de los(as) servidores(as) públicos(as) del Distrito Capital, mediante acciones preventivas y correctivas, que permitan un adecuado cumplimiento de los principios de la Función Pública</v>
      </c>
      <c r="C13" s="868">
        <f>+'1-Infor Det Sgto PEI 2021-2024 '!BO36</f>
        <v>2.9764726368159206E-2</v>
      </c>
      <c r="D13" s="830"/>
      <c r="E13" s="830"/>
    </row>
    <row r="14" spans="2:5" ht="141.6" customHeight="1">
      <c r="B14" s="866" t="str">
        <f>+'Matriz PEI 2021-2024'!B20</f>
        <v xml:space="preserve">4. Fortalecer la gestión institucional a través del uso y apropiación de tecnologías de la información y las comunicaciones, la aplicación de buenas prácticas, un Talento Humano y una infraestructura adecuados para la prestación del servicio. </v>
      </c>
      <c r="C14" s="869">
        <f>+'1-Infor Det Sgto PEI 2021-2024 '!BO44</f>
        <v>5.2148649278821679E-2</v>
      </c>
      <c r="D14" s="832"/>
      <c r="E14" s="832"/>
    </row>
    <row r="15" spans="2:5" ht="141.6" customHeight="1">
      <c r="B15" s="864" t="str">
        <f>+'Matriz PEI 2021-2024'!B27</f>
        <v xml:space="preserve">5. Incorporar una cultura del conocimiento y la innovación a través de actividades que permitan el desarrollo de ideas, lecciones aprendidas e investigaciones para mejorar los resultados de la gestión institucional. </v>
      </c>
      <c r="C15" s="870">
        <f>+'1-Infor Det Sgto PEI 2021-2024 '!BO92</f>
        <v>3.3750000000000002E-2</v>
      </c>
      <c r="D15" s="826"/>
      <c r="E15" s="826"/>
    </row>
    <row r="16" spans="2:5" ht="32.4" customHeight="1" thickBot="1">
      <c r="B16" s="871" t="s">
        <v>1022</v>
      </c>
      <c r="C16" s="863">
        <f>AVERAGE(C11:C15)</f>
        <v>4.267315602795195E-2</v>
      </c>
      <c r="D16" s="827"/>
      <c r="E16" s="827"/>
    </row>
    <row r="17" spans="2:2" ht="13.5" customHeight="1">
      <c r="B17" s="43"/>
    </row>
    <row r="18" spans="2:2" ht="15" customHeight="1">
      <c r="B18" s="43"/>
    </row>
    <row r="19" spans="2:2" ht="15" customHeight="1">
      <c r="B19" s="43"/>
    </row>
    <row r="20" spans="2:2" ht="15" customHeight="1">
      <c r="B20" s="43"/>
    </row>
    <row r="21" spans="2:2" ht="15" customHeight="1">
      <c r="B21" s="43"/>
    </row>
    <row r="25" spans="2:2" s="850" customFormat="1">
      <c r="B25" s="849"/>
    </row>
    <row r="26" spans="2:2" s="850" customFormat="1" ht="24.6" customHeight="1">
      <c r="B26" s="849"/>
    </row>
    <row r="27" spans="2:2" s="850" customFormat="1">
      <c r="B27" s="849"/>
    </row>
    <row r="28" spans="2:2" s="850" customFormat="1">
      <c r="B28" s="849"/>
    </row>
    <row r="29" spans="2:2" s="850" customFormat="1">
      <c r="B29" s="849"/>
    </row>
    <row r="30" spans="2:2" s="850" customFormat="1">
      <c r="B30" s="849"/>
    </row>
    <row r="31" spans="2:2" s="850" customFormat="1">
      <c r="B31" s="849"/>
    </row>
    <row r="32" spans="2:2" s="850" customFormat="1">
      <c r="B32" s="849"/>
    </row>
    <row r="33" spans="2:2" s="850" customFormat="1">
      <c r="B33" s="849"/>
    </row>
    <row r="34" spans="2:2" s="850" customFormat="1">
      <c r="B34" s="849"/>
    </row>
    <row r="35" spans="2:2" s="850" customFormat="1">
      <c r="B35" s="849"/>
    </row>
    <row r="36" spans="2:2" s="850" customFormat="1">
      <c r="B36" s="849"/>
    </row>
    <row r="37" spans="2:2" s="850" customFormat="1">
      <c r="B37" s="849"/>
    </row>
    <row r="38" spans="2:2" s="850" customFormat="1">
      <c r="B38" s="849"/>
    </row>
    <row r="39" spans="2:2" s="850" customFormat="1">
      <c r="B39" s="849"/>
    </row>
    <row r="40" spans="2:2" s="850" customFormat="1">
      <c r="B40" s="849"/>
    </row>
    <row r="41" spans="2:2" s="850" customFormat="1">
      <c r="B41" s="849"/>
    </row>
    <row r="42" spans="2:2" s="850" customFormat="1">
      <c r="B42" s="849"/>
    </row>
    <row r="43" spans="2:2" s="850" customFormat="1">
      <c r="B43" s="849"/>
    </row>
    <row r="44" spans="2:2" s="850" customFormat="1">
      <c r="B44" s="849"/>
    </row>
    <row r="45" spans="2:2" s="850" customFormat="1">
      <c r="B45" s="849"/>
    </row>
    <row r="46" spans="2:2" s="850" customFormat="1">
      <c r="B46" s="849"/>
    </row>
    <row r="47" spans="2:2" s="850" customFormat="1">
      <c r="B47" s="849"/>
    </row>
    <row r="48" spans="2:2" s="850" customFormat="1">
      <c r="B48" s="849"/>
    </row>
    <row r="49" spans="2:2" s="850" customFormat="1" ht="15" customHeight="1">
      <c r="B49" s="849"/>
    </row>
    <row r="50" spans="2:2" s="850" customFormat="1" ht="15" customHeight="1">
      <c r="B50" s="849"/>
    </row>
    <row r="51" spans="2:2" s="850" customFormat="1">
      <c r="B51" s="849"/>
    </row>
    <row r="52" spans="2:2" s="850" customFormat="1">
      <c r="B52" s="849"/>
    </row>
    <row r="53" spans="2:2" s="850" customFormat="1">
      <c r="B53" s="849"/>
    </row>
    <row r="54" spans="2:2" s="850" customFormat="1">
      <c r="B54" s="849"/>
    </row>
    <row r="55" spans="2:2" s="850" customFormat="1">
      <c r="B55" s="849"/>
    </row>
  </sheetData>
  <mergeCells count="6">
    <mergeCell ref="B2:B3"/>
    <mergeCell ref="B8:C8"/>
    <mergeCell ref="B9:B10"/>
    <mergeCell ref="C9:C10"/>
    <mergeCell ref="C2:C3"/>
    <mergeCell ref="B5:C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AFECF-DA94-4A76-A72B-B71E8A2CB608}">
  <sheetPr>
    <tabColor rgb="FF002060"/>
  </sheetPr>
  <dimension ref="B1:G73"/>
  <sheetViews>
    <sheetView showGridLines="0" topLeftCell="A3" zoomScale="40" zoomScaleNormal="40" workbookViewId="0">
      <selection activeCell="M12" sqref="M12"/>
    </sheetView>
  </sheetViews>
  <sheetFormatPr baseColWidth="10" defaultColWidth="17.33203125" defaultRowHeight="15"/>
  <cols>
    <col min="1" max="1" width="4.33203125" style="1" customWidth="1"/>
    <col min="2" max="2" width="85.6640625" style="3" customWidth="1"/>
    <col min="3" max="3" width="76.6640625" style="3" customWidth="1"/>
    <col min="4" max="4" width="38.6640625" style="1" customWidth="1"/>
    <col min="5" max="5" width="44.6640625" style="1" customWidth="1"/>
    <col min="6" max="7" width="38.6640625" style="1" customWidth="1"/>
    <col min="8" max="16384" width="17.33203125" style="1"/>
  </cols>
  <sheetData>
    <row r="1" spans="2:7" ht="15" customHeight="1" thickBot="1"/>
    <row r="2" spans="2:7" ht="126" customHeight="1">
      <c r="B2" s="1167" t="s">
        <v>686</v>
      </c>
      <c r="C2" s="1175" t="s">
        <v>1036</v>
      </c>
      <c r="D2" s="1176"/>
      <c r="E2" s="1177"/>
      <c r="F2" s="804"/>
      <c r="G2" s="804"/>
    </row>
    <row r="3" spans="2:7" ht="27" customHeight="1" thickBot="1">
      <c r="B3" s="1168"/>
      <c r="C3" s="1178"/>
      <c r="D3" s="1179"/>
      <c r="E3" s="1180"/>
      <c r="F3" s="804"/>
      <c r="G3" s="804"/>
    </row>
    <row r="4" spans="2:7" ht="14.25" customHeight="1">
      <c r="B4" s="2"/>
      <c r="C4" s="2"/>
    </row>
    <row r="5" spans="2:7" ht="32.4" customHeight="1">
      <c r="B5" s="844" t="s">
        <v>714</v>
      </c>
      <c r="C5" s="845" t="str">
        <f>+'1-Infor Det Sgto PEI 2021-2024 '!C4</f>
        <v xml:space="preserve">SEMESTRE 2 </v>
      </c>
      <c r="D5" s="845">
        <v>2021</v>
      </c>
      <c r="E5" s="694"/>
      <c r="F5" s="694"/>
      <c r="G5" s="694"/>
    </row>
    <row r="6" spans="2:7" ht="14.25" customHeight="1">
      <c r="B6" s="2"/>
      <c r="C6" s="2"/>
      <c r="D6" s="12"/>
      <c r="E6" s="12"/>
      <c r="F6" s="12"/>
      <c r="G6" s="12"/>
    </row>
    <row r="7" spans="2:7" ht="34.200000000000003" customHeight="1">
      <c r="B7" s="847" t="str">
        <f>+'2- Resumen Ejec PEI 2021'!B6</f>
        <v>Corte: 31 de diciembre de 2021</v>
      </c>
      <c r="C7" s="2"/>
      <c r="D7" s="12"/>
      <c r="E7" s="12"/>
      <c r="F7" s="12"/>
      <c r="G7" s="12"/>
    </row>
    <row r="8" spans="2:7" ht="52.2" customHeight="1">
      <c r="B8" s="1181" t="s">
        <v>709</v>
      </c>
      <c r="C8" s="1182"/>
      <c r="D8" s="1182"/>
      <c r="E8" s="1183"/>
      <c r="F8" s="828"/>
      <c r="G8" s="828"/>
    </row>
    <row r="9" spans="2:7" ht="59.4" customHeight="1">
      <c r="B9" s="1184" t="s">
        <v>0</v>
      </c>
      <c r="C9" s="1184" t="s">
        <v>52</v>
      </c>
      <c r="D9" s="1161" t="s">
        <v>1042</v>
      </c>
      <c r="E9" s="1163" t="s">
        <v>1041</v>
      </c>
      <c r="F9" s="829"/>
      <c r="G9" s="829"/>
    </row>
    <row r="10" spans="2:7" ht="38.4" customHeight="1">
      <c r="B10" s="1185"/>
      <c r="C10" s="1185"/>
      <c r="D10" s="1162"/>
      <c r="E10" s="1164"/>
      <c r="F10" s="829"/>
      <c r="G10" s="829"/>
    </row>
    <row r="11" spans="2:7" ht="103.5" customHeight="1">
      <c r="B11" s="1165" t="str">
        <f>+'Matriz PEI 2021-2024'!B10</f>
        <v>1. Promover la defensa y protección de los derechos de las personas en el Distrito Capital con énfasis en los sujetos de especial protección constitucional, en particular de las personas mayores y mujeres y la población migrante a través de acciones que propendan por su garantía.</v>
      </c>
      <c r="C11" s="802" t="str">
        <f>+'Matriz PEI 2021-2024'!C10</f>
        <v>1.1. Realizar 884.203 acciones que promuevan la defensa, garantía y restablecimiento de los derechos de las personas en el Distrito Capital.</v>
      </c>
      <c r="D11" s="806">
        <f>+'1-Infor Det Sgto PEI 2021-2024 '!BN9</f>
        <v>8.302771187591157E-2</v>
      </c>
      <c r="E11" s="1158">
        <f>+'1-Infor Det Sgto PEI 2021-2024 '!BO9</f>
        <v>7.4921202643780424E-2</v>
      </c>
      <c r="F11" s="830"/>
      <c r="G11" s="830"/>
    </row>
    <row r="12" spans="2:7" ht="135.75" customHeight="1">
      <c r="B12" s="1166"/>
      <c r="C12" s="802" t="str">
        <f>+'Matriz PEI 2021-2024'!C11</f>
        <v>1.2. Realizar 260.709 acciones que propendan por la efectiva defensa y garantía de los derechos de los sujetos de especial protección constitucional, con énfasis en las personas mayores, mujeres y la población migrante en el Distrito Capital.</v>
      </c>
      <c r="D12" s="808">
        <f>+'1-Infor Det Sgto PEI 2021-2024 '!BN20</f>
        <v>8.4009021653211627E-2</v>
      </c>
      <c r="E12" s="1159"/>
      <c r="F12" s="831"/>
      <c r="G12" s="831"/>
    </row>
    <row r="13" spans="2:7" ht="90" customHeight="1">
      <c r="B13" s="1166"/>
      <c r="C13" s="802" t="str">
        <f>+'Matriz PEI 2021-2024'!C12</f>
        <v>1.3. Construir e Implementar 35 estrategias que permitan incrementar la oferta y cobertura de los servicios prestados por la Entidad.</v>
      </c>
      <c r="D13" s="808">
        <f>+'1-Infor Det Sgto PEI 2021-2024 '!BN26</f>
        <v>0</v>
      </c>
      <c r="E13" s="1160"/>
      <c r="F13" s="831"/>
      <c r="G13" s="831"/>
    </row>
    <row r="14" spans="2:7" ht="102" customHeight="1">
      <c r="B14" s="1197" t="str">
        <f>+'Matriz PEI 2021-2024'!B13</f>
        <v>2. Realizar acciones de prevención y control a la Función Pública, en el marco del cumplimiento del Plan de Desarrollo, con énfasis en los Derechos e intereses colectivos.</v>
      </c>
      <c r="C14" s="803" t="str">
        <f>+'Matriz PEI 2021-2024'!C13</f>
        <v>2.1. Realizar 22 acciones de prevención y control a la función pública en medio ambiente, agua, protección y bienestar animal y desarrollo urbano.</v>
      </c>
      <c r="D14" s="819">
        <f>+'1-Infor Det Sgto PEI 2021-2024 '!BN29</f>
        <v>0</v>
      </c>
      <c r="E14" s="1194">
        <f>+'1-Infor Det Sgto PEI 2021-2024 '!BO29</f>
        <v>2.2781201848998459E-2</v>
      </c>
      <c r="F14" s="831"/>
      <c r="G14" s="831"/>
    </row>
    <row r="15" spans="2:7" ht="100.5" customHeight="1">
      <c r="B15" s="1189"/>
      <c r="C15" s="803" t="str">
        <f>+'Matriz PEI 2021-2024'!C14</f>
        <v>2.2. Fortalecer la moralidad publica realizando  952 acciones de prevención y control a la función pública.</v>
      </c>
      <c r="D15" s="819">
        <f>+'1-Infor Det Sgto PEI 2021-2024 '!BN31</f>
        <v>2.0454545454545454E-2</v>
      </c>
      <c r="E15" s="1195"/>
      <c r="F15" s="831"/>
      <c r="G15" s="831"/>
    </row>
    <row r="16" spans="2:7" ht="65.25" customHeight="1">
      <c r="B16" s="1189"/>
      <c r="C16" s="803" t="str">
        <f>+'Matriz PEI 2021-2024'!C15</f>
        <v>2.3. Fortalecer 320 espacios de participación ciudadana en la Personería de Bogotá</v>
      </c>
      <c r="D16" s="807">
        <f>+'1-Infor Det Sgto PEI 2021-2024 '!BN33</f>
        <v>0.10508474576271187</v>
      </c>
      <c r="E16" s="1196"/>
      <c r="F16" s="831"/>
      <c r="G16" s="831"/>
    </row>
    <row r="17" spans="2:7" ht="93.75" customHeight="1">
      <c r="B17" s="1165" t="str">
        <f>+'Matriz PEI 2021-2024'!B16</f>
        <v>3. Vigilar la conducta oficial de los(as) servidores(as) públicos(as) del Distrito Capital, mediante acciones preventivas y correctivas, que permitan un adecuado cumplimiento de los principios de la Función Pública</v>
      </c>
      <c r="C17" s="802" t="str">
        <f>+'Matriz PEI 2021-2024'!C16</f>
        <v>3.1. Descongestionar 6.700 procesos disciplinarios con criterios de calidad, efectividad y garantía del debido proceso.</v>
      </c>
      <c r="D17" s="836">
        <f>+'1-Infor Det Sgto PEI 2021-2024 '!BN36</f>
        <v>4.2911815920398014E-2</v>
      </c>
      <c r="E17" s="1191">
        <f>+'1-Infor Det Sgto PEI 2021-2024 '!BO36</f>
        <v>2.9764726368159206E-2</v>
      </c>
      <c r="F17" s="830"/>
      <c r="G17" s="830"/>
    </row>
    <row r="18" spans="2:7" ht="95.25" customHeight="1">
      <c r="B18" s="1166"/>
      <c r="C18" s="802" t="str">
        <f>+'Matriz PEI 2021-2024'!C17</f>
        <v xml:space="preserve">3.2. Identificar el 100% de los hechos constitutivos de faltas disciplinarias para ejercer el poder preferente en las Oficinas de Control Interno Disciplinario, en temas de interés e impacto para el Distrito Capital. </v>
      </c>
      <c r="D18" s="836">
        <f>+'1-Infor Det Sgto PEI 2021-2024 '!BN38</f>
        <v>0</v>
      </c>
      <c r="E18" s="1192"/>
      <c r="F18" s="830"/>
      <c r="G18" s="830"/>
    </row>
    <row r="19" spans="2:7" ht="126.75" customHeight="1">
      <c r="B19" s="1166"/>
      <c r="C19" s="805" t="str">
        <f>+'Matriz PEI 2021-2024'!C18</f>
        <v>3.3. Generar 8 escenarios que fortalezcan el conocimiento y las competencias del operador disciplinario, que apoya el cumplimiento de la labor misional, extendiendo el alcance a los jueces naturales en el Distrito Capital.</v>
      </c>
      <c r="D19" s="801">
        <f>+'1-Infor Det Sgto PEI 2021-2024 '!BN40</f>
        <v>0</v>
      </c>
      <c r="E19" s="1192"/>
      <c r="F19" s="830"/>
      <c r="G19" s="830"/>
    </row>
    <row r="20" spans="2:7" ht="61.5" customHeight="1">
      <c r="B20" s="1166"/>
      <c r="C20" s="802" t="str">
        <f>+'Matriz PEI 2021-2024'!C19</f>
        <v>3.4. Implementar al 100% tres soluciones informáticas propias para la ejecución y gestión de la Potestad Disciplinaria.</v>
      </c>
      <c r="D20" s="837">
        <f>+'1-Infor Det Sgto PEI 2021-2024 '!BN41</f>
        <v>3.6000000000000004E-2</v>
      </c>
      <c r="E20" s="1193"/>
      <c r="F20" s="830"/>
      <c r="G20" s="830"/>
    </row>
    <row r="21" spans="2:7" ht="75" customHeight="1">
      <c r="B21" s="1189" t="str">
        <f>+'Matriz PEI 2021-2024'!B20</f>
        <v xml:space="preserve">4. Fortalecer la gestión institucional a través del uso y apropiación de tecnologías de la información y las comunicaciones, la aplicación de buenas prácticas, un Talento Humano y una infraestructura adecuados para la prestación del servicio. </v>
      </c>
      <c r="C21" s="803" t="str">
        <f>+'Matriz PEI 2021-2024'!C20</f>
        <v>4.1. Implementar el 100% de las acciones que impulsen el crecimiento del Modelo de Madurez de Transformación Digital de la Entidad, aplicando los principios , lineamientos y normas que lo enmarcan.</v>
      </c>
      <c r="D21" s="838">
        <f>+'1-Infor Det Sgto PEI 2021-2024 '!BN44</f>
        <v>7.0000000000000007E-2</v>
      </c>
      <c r="E21" s="1186">
        <f>+'1-Infor Det Sgto PEI 2021-2024 '!BO44</f>
        <v>5.2148649278821679E-2</v>
      </c>
      <c r="F21" s="832"/>
      <c r="G21" s="832"/>
    </row>
    <row r="22" spans="2:7" ht="105" customHeight="1">
      <c r="B22" s="1189"/>
      <c r="C22" s="802" t="str">
        <f>+'Matriz PEI 2021-2024'!C21</f>
        <v>4.2. Consolidar el 90% del Modelo Integrado de Planeación y Gestión –MIPG- y sus sistemas de gestión articulados, como compromiso con la Calidad, la Excelencia, la Responsabilidad Ambiental y la Mejora en la prestación del Servicio.</v>
      </c>
      <c r="D22" s="839">
        <f>+'1-Infor Det Sgto PEI 2021-2024 '!BN51</f>
        <v>8.0461904761904762E-2</v>
      </c>
      <c r="E22" s="1187"/>
      <c r="F22" s="831"/>
      <c r="G22" s="831"/>
    </row>
    <row r="23" spans="2:7" ht="60" customHeight="1">
      <c r="B23" s="1189"/>
      <c r="C23" s="803" t="str">
        <f>+'Matriz PEI 2021-2024'!C22</f>
        <v xml:space="preserve">4.3. Realizar el 100% de las actividades relacionadas con la Gestión del Talento Humano, que permita su fortalecimiento y el desarrollo de sus conocimientos, su competencia y bienestar. </v>
      </c>
      <c r="D23" s="840">
        <f>+'1-Infor Det Sgto PEI 2021-2024 '!BN57</f>
        <v>6.1175947390203524E-2</v>
      </c>
      <c r="E23" s="1187"/>
      <c r="F23" s="824"/>
      <c r="G23" s="824"/>
    </row>
    <row r="24" spans="2:7" ht="76.5" customHeight="1">
      <c r="B24" s="1189"/>
      <c r="C24" s="802" t="str">
        <f>+'Matriz PEI 2021-2024'!C23</f>
        <v>4.4. Implementar el 100% de las acciones necesarias para la modernización de la gestión institucional a través de los procesos de apoyo, que permita una mejor prestación del servicio.</v>
      </c>
      <c r="D24" s="836">
        <f>+'1-Infor Det Sgto PEI 2021-2024 '!BN65</f>
        <v>4.4063554261243761E-2</v>
      </c>
      <c r="E24" s="1187"/>
      <c r="F24" s="830"/>
      <c r="G24" s="830"/>
    </row>
    <row r="25" spans="2:7" ht="73.5" customHeight="1">
      <c r="B25" s="1189"/>
      <c r="C25" s="803" t="str">
        <f>+'Matriz PEI 2021-2024'!C24</f>
        <v>4.5. Desarrollar el 100% de las acciones relacionadas con el fomento de la Cultura del Autocontrol, la Autorregulación y la Autogestión institucional.</v>
      </c>
      <c r="D25" s="841">
        <f>+'1-Infor Det Sgto PEI 2021-2024 '!BN83</f>
        <v>7.4791666666666673E-2</v>
      </c>
      <c r="E25" s="1187"/>
      <c r="F25" s="822"/>
      <c r="G25" s="822"/>
    </row>
    <row r="26" spans="2:7" ht="60" customHeight="1">
      <c r="B26" s="1189"/>
      <c r="C26" s="802" t="str">
        <f>+'Matriz PEI 2021-2024'!C25</f>
        <v>4.6. Desarrollar el 100% de las estrategias de comunicación organizacional y de medios que contribuyan al logro de los objetivos institucionales y al posicionamiento de la Entidad.</v>
      </c>
      <c r="D26" s="848">
        <f>+'1-Infor Det Sgto PEI 2021-2024 '!BN89</f>
        <v>3.125E-2</v>
      </c>
      <c r="E26" s="1187"/>
      <c r="F26" s="824"/>
      <c r="G26" s="824"/>
    </row>
    <row r="27" spans="2:7" ht="114" customHeight="1">
      <c r="B27" s="1190"/>
      <c r="C27" s="735" t="str">
        <f>+'Matriz PEI 2021-2024'!C26</f>
        <v>4.7. Articular el 100% de las acciones de trabajo interinstitucional y cooperación nacional e internacional que permita aunar esfuerzos para el cumplimiento de la misión institucional.</v>
      </c>
      <c r="D27" s="820">
        <f>+'1-Infor Det Sgto PEI 2021-2024 '!BN91</f>
        <v>0</v>
      </c>
      <c r="E27" s="1188"/>
      <c r="F27" s="824"/>
      <c r="G27" s="824"/>
    </row>
    <row r="28" spans="2:7" ht="93.75" customHeight="1">
      <c r="B28" s="1165" t="str">
        <f>+'Matriz PEI 2021-2024'!B27</f>
        <v xml:space="preserve">5. Incorporar una cultura del conocimiento y la innovación a través de actividades que permitan el desarrollo de ideas, lecciones aprendidas e investigaciones para mejorar los resultados de la gestión institucional. </v>
      </c>
      <c r="C28" s="740" t="str">
        <f>+'Matriz PEI 2021-2024'!C27</f>
        <v>5.1 Generar el 100% de productos de nuevo conocimiento o transformar los existentes, alineados con proyectos resultados de la investigación, desarrollo e innovación (I+D+I) en la Entidad.</v>
      </c>
      <c r="D28" s="821">
        <f>+'1-Infor Det Sgto PEI 2021-2024 '!BN92</f>
        <v>0</v>
      </c>
      <c r="E28" s="1172">
        <f>+'1-Infor Det Sgto PEI 2021-2024 '!BO92</f>
        <v>3.3750000000000002E-2</v>
      </c>
      <c r="F28" s="826"/>
      <c r="G28" s="826"/>
    </row>
    <row r="29" spans="2:7" ht="102" customHeight="1">
      <c r="B29" s="1166"/>
      <c r="C29" s="740" t="str">
        <f>+'Matriz PEI 2021-2024'!C28</f>
        <v>5.2 Formular el 100% de herramientas y acciones que permitan categorizar, preservar y utilizar el conocimiento para la toma de decisiones y compartir fácilmente los datos y la información de la Entidad.</v>
      </c>
      <c r="D29" s="821">
        <f>+'1-Infor Det Sgto PEI 2021-2024 '!BN93</f>
        <v>0</v>
      </c>
      <c r="E29" s="1173"/>
      <c r="F29" s="826"/>
      <c r="G29" s="826"/>
    </row>
    <row r="30" spans="2:7" ht="124.5" customHeight="1" thickBot="1">
      <c r="B30" s="1171"/>
      <c r="C30" s="741" t="str">
        <f>+'Matriz PEI 2021-2024'!C29</f>
        <v xml:space="preserve">5.3 Desarrollar el 100% de espacios y mecanismos para la difusión del conocimiento, mediante la creación de alianzas efectivas y apropiación de la memoria institucional a través del proceso de enseñanza-aprendizaje organizacional. </v>
      </c>
      <c r="D30" s="821">
        <f>+'1-Infor Det Sgto PEI 2021-2024 '!BN94</f>
        <v>0.1125</v>
      </c>
      <c r="E30" s="1174"/>
      <c r="F30" s="826"/>
      <c r="G30" s="826"/>
    </row>
    <row r="31" spans="2:7" ht="18" thickBot="1">
      <c r="B31" s="742"/>
      <c r="C31" s="842"/>
      <c r="D31" s="843">
        <f>AVERAGE(D11:D30)</f>
        <v>4.2286545687339867E-2</v>
      </c>
      <c r="E31" s="834">
        <f>AVERAGE(E11:E30)</f>
        <v>4.267315602795195E-2</v>
      </c>
      <c r="F31" s="827"/>
      <c r="G31" s="827"/>
    </row>
    <row r="32" spans="2:7" ht="13.5" customHeight="1">
      <c r="B32" s="43"/>
      <c r="C32" s="43"/>
    </row>
    <row r="33" spans="2:6" ht="15" customHeight="1">
      <c r="B33" s="43" t="s">
        <v>996</v>
      </c>
      <c r="C33" s="43"/>
    </row>
    <row r="34" spans="2:6" ht="15" customHeight="1">
      <c r="B34" s="43"/>
      <c r="C34" s="43"/>
    </row>
    <row r="35" spans="2:6" ht="15" customHeight="1">
      <c r="B35" s="43"/>
      <c r="C35" s="43"/>
    </row>
    <row r="36" spans="2:6" ht="15" customHeight="1">
      <c r="B36" s="43"/>
      <c r="C36" s="43"/>
    </row>
    <row r="37" spans="2:6">
      <c r="B37" s="946"/>
      <c r="C37" s="946"/>
      <c r="D37" s="947"/>
      <c r="E37" s="947"/>
      <c r="F37" s="947"/>
    </row>
    <row r="38" spans="2:6" s="873" customFormat="1">
      <c r="B38" s="948"/>
      <c r="C38" s="948"/>
      <c r="D38" s="949"/>
      <c r="E38" s="949"/>
      <c r="F38" s="949"/>
    </row>
    <row r="39" spans="2:6" s="873" customFormat="1">
      <c r="B39" s="872"/>
      <c r="C39" s="872"/>
    </row>
    <row r="40" spans="2:6" s="875" customFormat="1">
      <c r="B40" s="874"/>
      <c r="C40" s="1169" t="s">
        <v>52</v>
      </c>
      <c r="D40" s="1169" t="s">
        <v>941</v>
      </c>
    </row>
    <row r="41" spans="2:6" s="875" customFormat="1" ht="77.400000000000006" customHeight="1">
      <c r="B41" s="874"/>
      <c r="C41" s="1169"/>
      <c r="D41" s="1169"/>
    </row>
    <row r="42" spans="2:6" s="875" customFormat="1" ht="22.8">
      <c r="B42" s="874"/>
      <c r="C42" s="876" t="s">
        <v>997</v>
      </c>
      <c r="D42" s="877">
        <f t="shared" ref="D42:D53" si="0">+D11</f>
        <v>8.302771187591157E-2</v>
      </c>
    </row>
    <row r="43" spans="2:6" s="875" customFormat="1" ht="22.8">
      <c r="B43" s="874"/>
      <c r="C43" s="876" t="s">
        <v>998</v>
      </c>
      <c r="D43" s="877">
        <f t="shared" si="0"/>
        <v>8.4009021653211627E-2</v>
      </c>
    </row>
    <row r="44" spans="2:6" s="875" customFormat="1" ht="22.8">
      <c r="B44" s="874"/>
      <c r="C44" s="876" t="s">
        <v>999</v>
      </c>
      <c r="D44" s="877">
        <f t="shared" si="0"/>
        <v>0</v>
      </c>
    </row>
    <row r="45" spans="2:6" s="875" customFormat="1" ht="22.8">
      <c r="B45" s="874"/>
      <c r="C45" s="876" t="s">
        <v>1000</v>
      </c>
      <c r="D45" s="877">
        <f t="shared" si="0"/>
        <v>0</v>
      </c>
    </row>
    <row r="46" spans="2:6" s="875" customFormat="1" ht="22.8">
      <c r="B46" s="874"/>
      <c r="C46" s="876" t="s">
        <v>1001</v>
      </c>
      <c r="D46" s="877">
        <f t="shared" si="0"/>
        <v>2.0454545454545454E-2</v>
      </c>
    </row>
    <row r="47" spans="2:6" s="875" customFormat="1" ht="22.8">
      <c r="B47" s="874"/>
      <c r="C47" s="876" t="s">
        <v>1002</v>
      </c>
      <c r="D47" s="877">
        <f t="shared" si="0"/>
        <v>0.10508474576271187</v>
      </c>
    </row>
    <row r="48" spans="2:6" s="875" customFormat="1" ht="22.8">
      <c r="B48" s="874"/>
      <c r="C48" s="876" t="s">
        <v>1003</v>
      </c>
      <c r="D48" s="877">
        <f t="shared" si="0"/>
        <v>4.2911815920398014E-2</v>
      </c>
    </row>
    <row r="49" spans="2:4" s="875" customFormat="1" ht="22.8">
      <c r="B49" s="874"/>
      <c r="C49" s="876" t="s">
        <v>1004</v>
      </c>
      <c r="D49" s="877">
        <f t="shared" si="0"/>
        <v>0</v>
      </c>
    </row>
    <row r="50" spans="2:4" s="875" customFormat="1" ht="22.8">
      <c r="B50" s="874"/>
      <c r="C50" s="876" t="s">
        <v>1005</v>
      </c>
      <c r="D50" s="877">
        <f t="shared" si="0"/>
        <v>0</v>
      </c>
    </row>
    <row r="51" spans="2:4" s="875" customFormat="1" ht="22.8">
      <c r="B51" s="874"/>
      <c r="C51" s="876" t="s">
        <v>1006</v>
      </c>
      <c r="D51" s="877">
        <f t="shared" si="0"/>
        <v>3.6000000000000004E-2</v>
      </c>
    </row>
    <row r="52" spans="2:4" s="875" customFormat="1" ht="22.8">
      <c r="B52" s="874"/>
      <c r="C52" s="876" t="s">
        <v>1007</v>
      </c>
      <c r="D52" s="877">
        <f t="shared" si="0"/>
        <v>7.0000000000000007E-2</v>
      </c>
    </row>
    <row r="53" spans="2:4" s="875" customFormat="1" ht="22.8">
      <c r="B53" s="874"/>
      <c r="C53" s="876" t="s">
        <v>1008</v>
      </c>
      <c r="D53" s="877">
        <f t="shared" si="0"/>
        <v>8.0461904761904762E-2</v>
      </c>
    </row>
    <row r="54" spans="2:4" s="875" customFormat="1" ht="22.8">
      <c r="B54" s="874"/>
      <c r="C54" s="876" t="s">
        <v>1009</v>
      </c>
      <c r="D54" s="877">
        <f t="shared" ref="D54:D61" si="1">+D23</f>
        <v>6.1175947390203524E-2</v>
      </c>
    </row>
    <row r="55" spans="2:4" s="875" customFormat="1" ht="22.8">
      <c r="B55" s="874"/>
      <c r="C55" s="876" t="s">
        <v>1010</v>
      </c>
      <c r="D55" s="877">
        <f t="shared" si="1"/>
        <v>4.4063554261243761E-2</v>
      </c>
    </row>
    <row r="56" spans="2:4" s="875" customFormat="1" ht="22.8">
      <c r="B56" s="874"/>
      <c r="C56" s="876" t="s">
        <v>1011</v>
      </c>
      <c r="D56" s="877">
        <f t="shared" si="1"/>
        <v>7.4791666666666673E-2</v>
      </c>
    </row>
    <row r="57" spans="2:4" s="875" customFormat="1" ht="22.8">
      <c r="B57" s="874"/>
      <c r="C57" s="876" t="s">
        <v>1012</v>
      </c>
      <c r="D57" s="877">
        <f t="shared" si="1"/>
        <v>3.125E-2</v>
      </c>
    </row>
    <row r="58" spans="2:4" s="875" customFormat="1" ht="22.8">
      <c r="B58" s="874"/>
      <c r="C58" s="876" t="s">
        <v>1013</v>
      </c>
      <c r="D58" s="877">
        <f t="shared" si="1"/>
        <v>0</v>
      </c>
    </row>
    <row r="59" spans="2:4" s="875" customFormat="1" ht="22.8">
      <c r="B59" s="874"/>
      <c r="C59" s="876" t="s">
        <v>1014</v>
      </c>
      <c r="D59" s="877">
        <f t="shared" si="1"/>
        <v>0</v>
      </c>
    </row>
    <row r="60" spans="2:4" s="875" customFormat="1" ht="22.8">
      <c r="B60" s="874"/>
      <c r="C60" s="876" t="s">
        <v>1015</v>
      </c>
      <c r="D60" s="877">
        <f t="shared" si="1"/>
        <v>0</v>
      </c>
    </row>
    <row r="61" spans="2:4" s="875" customFormat="1" ht="22.8">
      <c r="B61" s="874"/>
      <c r="C61" s="876" t="s">
        <v>1016</v>
      </c>
      <c r="D61" s="877">
        <f t="shared" si="1"/>
        <v>0.1125</v>
      </c>
    </row>
    <row r="62" spans="2:4" s="875" customFormat="1">
      <c r="B62" s="874"/>
      <c r="C62" s="874"/>
    </row>
    <row r="63" spans="2:4" s="875" customFormat="1">
      <c r="B63" s="874"/>
      <c r="C63" s="874"/>
    </row>
    <row r="64" spans="2:4" s="875" customFormat="1" ht="15" customHeight="1">
      <c r="B64" s="874"/>
      <c r="C64" s="1169" t="s">
        <v>0</v>
      </c>
      <c r="D64" s="1170" t="s">
        <v>995</v>
      </c>
    </row>
    <row r="65" spans="2:4" s="875" customFormat="1" ht="59.4" customHeight="1">
      <c r="B65" s="874"/>
      <c r="C65" s="1169"/>
      <c r="D65" s="1170"/>
    </row>
    <row r="66" spans="2:4" s="875" customFormat="1" ht="20.399999999999999">
      <c r="B66" s="874"/>
      <c r="C66" s="874" t="s">
        <v>1017</v>
      </c>
      <c r="D66" s="878">
        <f>+E11</f>
        <v>7.4921202643780424E-2</v>
      </c>
    </row>
    <row r="67" spans="2:4" s="875" customFormat="1" ht="20.399999999999999">
      <c r="B67" s="874"/>
      <c r="C67" s="874" t="s">
        <v>1018</v>
      </c>
      <c r="D67" s="878">
        <f>+E14</f>
        <v>2.2781201848998459E-2</v>
      </c>
    </row>
    <row r="68" spans="2:4" s="875" customFormat="1" ht="20.399999999999999">
      <c r="B68" s="874"/>
      <c r="C68" s="874" t="s">
        <v>1019</v>
      </c>
      <c r="D68" s="878">
        <f>+E17</f>
        <v>2.9764726368159206E-2</v>
      </c>
    </row>
    <row r="69" spans="2:4" s="875" customFormat="1" ht="20.399999999999999">
      <c r="B69" s="874"/>
      <c r="C69" s="874" t="s">
        <v>1020</v>
      </c>
      <c r="D69" s="878">
        <f>+E21</f>
        <v>5.2148649278821679E-2</v>
      </c>
    </row>
    <row r="70" spans="2:4" s="875" customFormat="1" ht="20.399999999999999">
      <c r="B70" s="874"/>
      <c r="C70" s="874" t="s">
        <v>1021</v>
      </c>
      <c r="D70" s="878">
        <f>+E28</f>
        <v>3.3750000000000002E-2</v>
      </c>
    </row>
    <row r="71" spans="2:4" s="873" customFormat="1">
      <c r="B71" s="872"/>
      <c r="C71" s="872"/>
      <c r="D71" s="879"/>
    </row>
    <row r="72" spans="2:4" s="873" customFormat="1">
      <c r="B72" s="872"/>
      <c r="C72" s="872"/>
    </row>
    <row r="73" spans="2:4" s="873" customFormat="1">
      <c r="B73" s="872"/>
      <c r="C73" s="872"/>
    </row>
  </sheetData>
  <mergeCells count="21">
    <mergeCell ref="C64:C65"/>
    <mergeCell ref="D64:D65"/>
    <mergeCell ref="B28:B30"/>
    <mergeCell ref="E28:E30"/>
    <mergeCell ref="C2:E3"/>
    <mergeCell ref="B8:E8"/>
    <mergeCell ref="B9:B10"/>
    <mergeCell ref="C9:C10"/>
    <mergeCell ref="C40:C41"/>
    <mergeCell ref="D40:D41"/>
    <mergeCell ref="E21:E27"/>
    <mergeCell ref="B21:B27"/>
    <mergeCell ref="E17:E20"/>
    <mergeCell ref="B17:B20"/>
    <mergeCell ref="E14:E16"/>
    <mergeCell ref="B14:B16"/>
    <mergeCell ref="E11:E13"/>
    <mergeCell ref="D9:D10"/>
    <mergeCell ref="E9:E10"/>
    <mergeCell ref="B11:B13"/>
    <mergeCell ref="B2:B3"/>
  </mergeCells>
  <phoneticPr fontId="68" type="noConversion"/>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7055A-26E2-48F5-A1D7-149586EEB355}">
  <sheetPr>
    <tabColor rgb="FF002060"/>
  </sheetPr>
  <dimension ref="B1:L52"/>
  <sheetViews>
    <sheetView showGridLines="0" topLeftCell="C7" zoomScale="52" zoomScaleNormal="52" workbookViewId="0">
      <pane xSplit="1" ySplit="3" topLeftCell="E10" activePane="bottomRight" state="frozen"/>
      <selection activeCell="M12" sqref="M12"/>
      <selection pane="topRight" activeCell="M12" sqref="M12"/>
      <selection pane="bottomLeft" activeCell="M12" sqref="M12"/>
      <selection pane="bottomRight" activeCell="M12" sqref="M12"/>
    </sheetView>
  </sheetViews>
  <sheetFormatPr baseColWidth="10" defaultColWidth="17.33203125" defaultRowHeight="15"/>
  <cols>
    <col min="1" max="1" width="4.33203125" style="1" customWidth="1"/>
    <col min="2" max="2" width="85.6640625" style="3" customWidth="1"/>
    <col min="3" max="3" width="76.6640625" style="3" customWidth="1"/>
    <col min="4" max="5" width="43.44140625" style="3" customWidth="1"/>
    <col min="6" max="6" width="35.6640625" style="3" customWidth="1"/>
    <col min="7" max="8" width="36.44140625" style="3" customWidth="1"/>
    <col min="9" max="12" width="38.6640625" style="1" customWidth="1"/>
    <col min="13" max="16384" width="17.33203125" style="1"/>
  </cols>
  <sheetData>
    <row r="1" spans="2:12" ht="15" customHeight="1" thickBot="1"/>
    <row r="2" spans="2:12" ht="90" customHeight="1" thickBot="1">
      <c r="B2" s="900" t="s">
        <v>686</v>
      </c>
      <c r="C2" s="1198" t="s">
        <v>1038</v>
      </c>
      <c r="D2" s="1199"/>
      <c r="E2" s="1199"/>
      <c r="F2" s="1199"/>
      <c r="G2" s="1199"/>
      <c r="H2" s="1199"/>
      <c r="I2" s="1199"/>
      <c r="J2" s="1200"/>
      <c r="K2" s="804"/>
      <c r="L2" s="804"/>
    </row>
    <row r="3" spans="2:12" ht="14.25" customHeight="1">
      <c r="B3" s="2"/>
      <c r="C3" s="2"/>
      <c r="D3" s="2"/>
      <c r="E3" s="2"/>
      <c r="F3" s="2"/>
      <c r="G3" s="2"/>
      <c r="H3" s="2"/>
    </row>
    <row r="4" spans="2:12" ht="32.4" customHeight="1">
      <c r="B4" s="844" t="s">
        <v>714</v>
      </c>
      <c r="C4" s="928" t="str">
        <f>+'1-Infor Det Sgto PEI 2021-2024 '!C4</f>
        <v xml:space="preserve">SEMESTRE 2 </v>
      </c>
      <c r="D4" s="853"/>
      <c r="E4" s="853"/>
      <c r="F4" s="853"/>
      <c r="G4" s="853"/>
      <c r="H4" s="853"/>
      <c r="J4" s="853"/>
      <c r="K4" s="694"/>
      <c r="L4" s="694"/>
    </row>
    <row r="5" spans="2:12" ht="14.25" customHeight="1">
      <c r="B5" s="2"/>
      <c r="C5" s="2"/>
      <c r="D5" s="2"/>
      <c r="E5" s="2"/>
      <c r="F5" s="2"/>
      <c r="G5" s="2"/>
      <c r="H5" s="2"/>
      <c r="I5" s="12"/>
      <c r="J5" s="12"/>
      <c r="K5" s="12"/>
      <c r="L5" s="12"/>
    </row>
    <row r="6" spans="2:12" ht="34.200000000000003" customHeight="1">
      <c r="B6" s="847" t="s">
        <v>1058</v>
      </c>
      <c r="C6" s="2"/>
      <c r="D6" s="2"/>
      <c r="E6" s="2"/>
      <c r="F6" s="2"/>
      <c r="G6" s="2"/>
      <c r="H6" s="2"/>
      <c r="I6" s="12"/>
      <c r="J6" s="12"/>
      <c r="K6" s="12"/>
      <c r="L6" s="12"/>
    </row>
    <row r="7" spans="2:12" ht="52.2" customHeight="1">
      <c r="B7" s="1181" t="s">
        <v>709</v>
      </c>
      <c r="C7" s="1182"/>
      <c r="D7" s="1182"/>
      <c r="E7" s="1201"/>
      <c r="F7" s="1201"/>
      <c r="G7" s="1201"/>
      <c r="H7" s="1201"/>
      <c r="I7" s="1182"/>
      <c r="J7" s="1183"/>
      <c r="K7" s="828"/>
      <c r="L7" s="828"/>
    </row>
    <row r="8" spans="2:12" ht="51.6" customHeight="1">
      <c r="B8" s="1184" t="s">
        <v>0</v>
      </c>
      <c r="C8" s="1184" t="s">
        <v>52</v>
      </c>
      <c r="D8" s="1204" t="s">
        <v>936</v>
      </c>
      <c r="E8" s="1205" t="s">
        <v>1026</v>
      </c>
      <c r="F8" s="1205"/>
      <c r="G8" s="1205"/>
      <c r="H8" s="1205"/>
      <c r="I8" s="1202" t="s">
        <v>1024</v>
      </c>
      <c r="J8" s="1203" t="s">
        <v>1025</v>
      </c>
      <c r="K8" s="829"/>
      <c r="L8" s="829"/>
    </row>
    <row r="9" spans="2:12" ht="70.2" customHeight="1">
      <c r="B9" s="1185"/>
      <c r="C9" s="1185"/>
      <c r="D9" s="1185"/>
      <c r="E9" s="846" t="s">
        <v>975</v>
      </c>
      <c r="F9" s="846" t="s">
        <v>704</v>
      </c>
      <c r="G9" s="846" t="s">
        <v>705</v>
      </c>
      <c r="H9" s="846" t="s">
        <v>1049</v>
      </c>
      <c r="I9" s="1162"/>
      <c r="J9" s="1203"/>
      <c r="K9" s="829"/>
      <c r="L9" s="829"/>
    </row>
    <row r="10" spans="2:12" ht="103.5" customHeight="1">
      <c r="B10" s="1165" t="str">
        <f>+'Matriz PEI 2021-2024'!B10</f>
        <v>1. Promover la defensa y protección de los derechos de las personas en el Distrito Capital con énfasis en los sujetos de especial protección constitucional, en particular de las personas mayores y mujeres y la población migrante a través de acciones que propendan por su garantía.</v>
      </c>
      <c r="C10" s="1210" t="str">
        <f>+'Matriz PEI 2021-2024'!C10</f>
        <v>1.1. Realizar 884.203 acciones que promuevan la defensa, garantía y restablecimiento de los derechos de las personas en el Distrito Capital.</v>
      </c>
      <c r="D10" s="1208">
        <f>+'Matriz PEI 2021-2024'!E10</f>
        <v>879078</v>
      </c>
      <c r="E10" s="855" t="str">
        <f>+'1-Infor Det Sgto PEI 2021-2024 '!F9</f>
        <v>Acciones realizadas que promueven la defensa, garantía y restablecimiento de los derechos</v>
      </c>
      <c r="F10" s="856">
        <f>SUM('1-Infor Det Sgto PEI 2021-2024 '!AJ9:AJ18)</f>
        <v>262415</v>
      </c>
      <c r="G10" s="856">
        <f>SUM('1-Infor Det Sgto PEI 2021-2024 '!AK9:AK18)</f>
        <v>75533</v>
      </c>
      <c r="H10" s="886">
        <f>AVERAGE('1-Infor Det Sgto PEI 2021-2024 '!AL9:AL18)</f>
        <v>0.2506616648680558</v>
      </c>
      <c r="I10" s="1158">
        <f>+'1-Infor Det Sgto PEI 2021-2024 '!BN9</f>
        <v>8.302771187591157E-2</v>
      </c>
      <c r="J10" s="1206">
        <f>+'1-Infor Det Sgto PEI 2021-2024 '!BO9</f>
        <v>7.4921202643780424E-2</v>
      </c>
      <c r="K10" s="830"/>
      <c r="L10" s="830"/>
    </row>
    <row r="11" spans="2:12" ht="103.5" customHeight="1">
      <c r="B11" s="1166"/>
      <c r="C11" s="1211"/>
      <c r="D11" s="1209"/>
      <c r="E11" s="855" t="str">
        <f>+'1-Infor Det Sgto PEI 2021-2024 '!F19</f>
        <v>Porcentaje de Acciones de Tutela, Desacatos e Impugnaciones entregadas en un Termino Menor a Cinco (5) Días Hábiles</v>
      </c>
      <c r="F11" s="858">
        <f>+'1-Infor Det Sgto PEI 2021-2024 '!AJ19</f>
        <v>0.94999999999999984</v>
      </c>
      <c r="G11" s="880">
        <f>+'1-Infor Det Sgto PEI 2021-2024 '!AK19</f>
        <v>0.25</v>
      </c>
      <c r="H11" s="882">
        <f>+'1-Infor Det Sgto PEI 2021-2024 '!AL19</f>
        <v>6.5789473684210537E-2</v>
      </c>
      <c r="I11" s="1160"/>
      <c r="J11" s="1206"/>
      <c r="K11" s="830"/>
      <c r="L11" s="830"/>
    </row>
    <row r="12" spans="2:12" ht="135.75" customHeight="1">
      <c r="B12" s="1166"/>
      <c r="C12" s="950" t="str">
        <f>+'Matriz PEI 2021-2024'!C11</f>
        <v>1.2. Realizar 260.709 acciones que propendan por la efectiva defensa y garantía de los derechos de los sujetos de especial protección constitucional, con énfasis en las personas mayores, mujeres y la población migrante en el Distrito Capital.</v>
      </c>
      <c r="D12" s="856">
        <f>+'Matriz PEI 2021-2024'!E11</f>
        <v>245514</v>
      </c>
      <c r="E12" s="855" t="str">
        <f>+'1-Infor Det Sgto PEI 2021-2024 '!F20</f>
        <v>Acciones realizadas que propendan por la efectiva defensa y garantía de los derechos de los sujetos de especial protección constitucional</v>
      </c>
      <c r="F12" s="856">
        <f>SUM('1-Infor Det Sgto PEI 2021-2024 '!AJ20:AJ25)</f>
        <v>85619</v>
      </c>
      <c r="G12" s="856">
        <f>SUM('1-Infor Det Sgto PEI 2021-2024 '!AK20:AK25)</f>
        <v>21706</v>
      </c>
      <c r="H12" s="880">
        <f>AVERAGE('1-Infor Det Sgto PEI 2021-2024 '!AL20:AL25)</f>
        <v>0.29025956852822643</v>
      </c>
      <c r="I12" s="808">
        <f>+'1-Infor Det Sgto PEI 2021-2024 '!BN20</f>
        <v>8.4009021653211627E-2</v>
      </c>
      <c r="J12" s="1206"/>
      <c r="K12" s="831"/>
      <c r="L12" s="831"/>
    </row>
    <row r="13" spans="2:12" ht="90" customHeight="1">
      <c r="B13" s="1166"/>
      <c r="C13" s="950" t="str">
        <f>+'Matriz PEI 2021-2024'!C12</f>
        <v>1.3. Construir e Implementar 35 estrategias que permitan incrementar la oferta y cobertura de los servicios prestados por la Entidad.</v>
      </c>
      <c r="D13" s="856">
        <f>+'Matriz PEI 2021-2024'!E12</f>
        <v>36</v>
      </c>
      <c r="E13" s="855" t="str">
        <f>+'1-Infor Det Sgto PEI 2021-2024 '!F26</f>
        <v>Estrategias construidas e implementadas</v>
      </c>
      <c r="F13" s="856">
        <f>SUM('1-Infor Det Sgto PEI 2021-2024 '!AJ26:AJ28)</f>
        <v>12</v>
      </c>
      <c r="G13" s="881">
        <f>SUM('1-Infor Det Sgto PEI 2021-2024 '!AK26:AK28)</f>
        <v>0</v>
      </c>
      <c r="H13" s="880">
        <f>AVERAGE('1-Infor Det Sgto PEI 2021-2024 '!AL26:AL28)</f>
        <v>0</v>
      </c>
      <c r="I13" s="808">
        <f>+'1-Infor Det Sgto PEI 2021-2024 '!BN26</f>
        <v>0</v>
      </c>
      <c r="J13" s="1206"/>
      <c r="K13" s="831"/>
      <c r="L13" s="831"/>
    </row>
    <row r="14" spans="2:12" ht="102" customHeight="1">
      <c r="B14" s="1197" t="str">
        <f>+'Matriz PEI 2021-2024'!B13</f>
        <v>2. Realizar acciones de prevención y control a la Función Pública, en el marco del cumplimiento del Plan de Desarrollo, con énfasis en los Derechos e intereses colectivos.</v>
      </c>
      <c r="C14" s="951" t="str">
        <f>+'Matriz PEI 2021-2024'!C13</f>
        <v>2.1. Realizar 22 acciones de prevención y control a la función pública en medio ambiente, agua, protección y bienestar animal y desarrollo urbano.</v>
      </c>
      <c r="D14" s="857">
        <f>+'Matriz PEI 2021-2024'!E13</f>
        <v>22</v>
      </c>
      <c r="E14" s="860" t="str">
        <f>+'1-Infor Det Sgto PEI 2021-2024 '!F29</f>
        <v>Acciones realizadas de prevención y control a la función pública en temas priorizados</v>
      </c>
      <c r="F14" s="857">
        <f>SUM('1-Infor Det Sgto PEI 2021-2024 '!AJ29:AJ30)</f>
        <v>8</v>
      </c>
      <c r="G14" s="857">
        <f>SUM('1-Infor Det Sgto PEI 2021-2024 '!AK29:AK30)</f>
        <v>0</v>
      </c>
      <c r="H14" s="859">
        <f>AVERAGE('1-Infor Det Sgto PEI 2021-2024 '!AL29:AL30)</f>
        <v>0</v>
      </c>
      <c r="I14" s="819">
        <f>+'1-Infor Det Sgto PEI 2021-2024 '!BN29</f>
        <v>0</v>
      </c>
      <c r="J14" s="1194">
        <f>+'1-Infor Det Sgto PEI 2021-2024 '!BO29</f>
        <v>2.2781201848998459E-2</v>
      </c>
      <c r="K14" s="831"/>
      <c r="L14" s="831"/>
    </row>
    <row r="15" spans="2:12" ht="100.5" customHeight="1">
      <c r="B15" s="1189"/>
      <c r="C15" s="951" t="str">
        <f>+'Matriz PEI 2021-2024'!C14</f>
        <v>2.2. Fortalecer la moralidad publica realizando  952 acciones de prevención y control a la función pública.</v>
      </c>
      <c r="D15" s="857">
        <f>+'Matriz PEI 2021-2024'!E14</f>
        <v>888</v>
      </c>
      <c r="E15" s="860" t="str">
        <f>+'1-Infor Det Sgto PEI 2021-2024 '!F31</f>
        <v>Acciones realizadas de prevención y control a la función pública para fortalecer la moralidad pública</v>
      </c>
      <c r="F15" s="857">
        <f>SUM('1-Infor Det Sgto PEI 2021-2024 '!AJ31:AJ32)</f>
        <v>353</v>
      </c>
      <c r="G15" s="857">
        <f>SUM('1-Infor Det Sgto PEI 2021-2024 '!AK31:AK32)</f>
        <v>18</v>
      </c>
      <c r="H15" s="887">
        <f>AVERAGE('1-Infor Det Sgto PEI 2021-2024 '!AL31:AL32)</f>
        <v>4.2897401106356328E-2</v>
      </c>
      <c r="I15" s="819">
        <f>+'1-Infor Det Sgto PEI 2021-2024 '!BN31</f>
        <v>2.0454545454545454E-2</v>
      </c>
      <c r="J15" s="1195"/>
      <c r="K15" s="831"/>
      <c r="L15" s="831"/>
    </row>
    <row r="16" spans="2:12" ht="65.25" customHeight="1">
      <c r="B16" s="1189"/>
      <c r="C16" s="951" t="str">
        <f>+'Matriz PEI 2021-2024'!C15</f>
        <v>2.3. Fortalecer 320 espacios de participación ciudadana en la Personería de Bogotá</v>
      </c>
      <c r="D16" s="857">
        <f>+'Matriz PEI 2021-2024'!E15</f>
        <v>300</v>
      </c>
      <c r="E16" s="860" t="str">
        <f>+'1-Infor Det Sgto PEI 2021-2024 '!F33</f>
        <v>Espacios de participación ciudadana fortalecidos</v>
      </c>
      <c r="F16" s="857">
        <f>SUM('1-Infor Det Sgto PEI 2021-2024 '!AJ33:AJ35)</f>
        <v>111</v>
      </c>
      <c r="G16" s="857">
        <f>SUM('1-Infor Det Sgto PEI 2021-2024 '!AK33:AK35)</f>
        <v>31</v>
      </c>
      <c r="H16" s="888">
        <f>AVERAGE('1-Infor Det Sgto PEI 2021-2024 '!AL33:AL35)</f>
        <v>0.24444444444444446</v>
      </c>
      <c r="I16" s="807">
        <f>+'1-Infor Det Sgto PEI 2021-2024 '!BN33</f>
        <v>0.10508474576271187</v>
      </c>
      <c r="J16" s="1195"/>
      <c r="K16" s="831"/>
      <c r="L16" s="831"/>
    </row>
    <row r="17" spans="2:12" ht="93.75" customHeight="1">
      <c r="B17" s="1165" t="str">
        <f>+'Matriz PEI 2021-2024'!B16</f>
        <v>3. Vigilar la conducta oficial de los(as) servidores(as) públicos(as) del Distrito Capital, mediante acciones preventivas y correctivas, que permitan un adecuado cumplimiento de los principios de la Función Pública</v>
      </c>
      <c r="C17" s="1210" t="str">
        <f>+'Matriz PEI 2021-2024'!C16</f>
        <v>3.1. Descongestionar 6.700 procesos disciplinarios con criterios de calidad, efectividad y garantía del debido proceso.</v>
      </c>
      <c r="D17" s="1208">
        <f>+'Matriz PEI 2021-2024'!E16</f>
        <v>6700</v>
      </c>
      <c r="E17" s="855" t="str">
        <f>+'1-Infor Det Sgto PEI 2021-2024 '!F36</f>
        <v xml:space="preserve">Procesos disciplinarios descongestionados </v>
      </c>
      <c r="F17" s="856">
        <f>+'1-Infor Det Sgto PEI 2021-2024 '!AJ36</f>
        <v>1800</v>
      </c>
      <c r="G17" s="856">
        <f>+'1-Infor Det Sgto PEI 2021-2024 '!AK36</f>
        <v>318</v>
      </c>
      <c r="H17" s="885">
        <f>'1-Infor Det Sgto PEI 2021-2024 '!AL36</f>
        <v>0.17666666666666667</v>
      </c>
      <c r="I17" s="1158">
        <f>+'1-Infor Det Sgto PEI 2021-2024 '!BN36</f>
        <v>4.2911815920398014E-2</v>
      </c>
      <c r="J17" s="1158">
        <f>+'1-Infor Det Sgto PEI 2021-2024 '!BO36</f>
        <v>2.9764726368159206E-2</v>
      </c>
      <c r="K17" s="830"/>
      <c r="L17" s="830"/>
    </row>
    <row r="18" spans="2:12" ht="93.75" customHeight="1">
      <c r="B18" s="1166"/>
      <c r="C18" s="1211"/>
      <c r="D18" s="1209"/>
      <c r="E18" s="855" t="str">
        <f>+'1-Infor Det Sgto PEI 2021-2024 '!F37</f>
        <v>Noticias disciplinarias  evaluadas y con impulso procesal</v>
      </c>
      <c r="F18" s="880">
        <f>+'1-Infor Det Sgto PEI 2021-2024 '!AJ37</f>
        <v>1</v>
      </c>
      <c r="G18" s="880">
        <f>+'1-Infor Det Sgto PEI 2021-2024 '!AK37</f>
        <v>0.19700000000000001</v>
      </c>
      <c r="H18" s="885">
        <f>'1-Infor Det Sgto PEI 2021-2024 '!AL37</f>
        <v>4.9250000000000002E-2</v>
      </c>
      <c r="I18" s="1160"/>
      <c r="J18" s="1159"/>
      <c r="K18" s="830"/>
      <c r="L18" s="830"/>
    </row>
    <row r="19" spans="2:12" ht="95.25" customHeight="1">
      <c r="B19" s="1166"/>
      <c r="C19" s="1210" t="str">
        <f>+'Matriz PEI 2021-2024'!C17</f>
        <v xml:space="preserve">3.2. Identificar el 100% de los hechos constitutivos de faltas disciplinarias para ejercer el poder preferente en las Oficinas de Control Interno Disciplinario, en temas de interés e impacto para el Distrito Capital. </v>
      </c>
      <c r="D19" s="1212">
        <f>+'Matriz PEI 2021-2024'!E17</f>
        <v>1</v>
      </c>
      <c r="E19" s="861" t="str">
        <f>+'1-Infor Det Sgto PEI 2021-2024 '!F38</f>
        <v>Visitas de seguimiento a Oficinas de Control Interno Disciplinario realizadas</v>
      </c>
      <c r="F19" s="856">
        <f>+'1-Infor Det Sgto PEI 2021-2024 '!AJ38</f>
        <v>51</v>
      </c>
      <c r="G19" s="856">
        <f>+'1-Infor Det Sgto PEI 2021-2024 '!AK38</f>
        <v>0</v>
      </c>
      <c r="H19" s="885">
        <f>'1-Infor Det Sgto PEI 2021-2024 '!AL38</f>
        <v>0</v>
      </c>
      <c r="I19" s="1158">
        <f>+'1-Infor Det Sgto PEI 2021-2024 '!BN38</f>
        <v>0</v>
      </c>
      <c r="J19" s="1159"/>
      <c r="K19" s="830"/>
      <c r="L19" s="830"/>
    </row>
    <row r="20" spans="2:12" ht="95.25" customHeight="1">
      <c r="B20" s="1166"/>
      <c r="C20" s="1211"/>
      <c r="D20" s="1213"/>
      <c r="E20" s="861" t="str">
        <f>+'1-Infor Det Sgto PEI 2021-2024 '!F39</f>
        <v>Procesos de interés e impacto asumidos por competencia</v>
      </c>
      <c r="F20" s="858">
        <f>+'1-Infor Det Sgto PEI 2021-2024 '!AJ39</f>
        <v>1</v>
      </c>
      <c r="G20" s="858">
        <f>+'1-Infor Det Sgto PEI 2021-2024 '!AK39</f>
        <v>0.25</v>
      </c>
      <c r="H20" s="885">
        <f>'1-Infor Det Sgto PEI 2021-2024 '!AL39</f>
        <v>6.25E-2</v>
      </c>
      <c r="I20" s="1160"/>
      <c r="J20" s="1159"/>
      <c r="K20" s="830"/>
      <c r="L20" s="830"/>
    </row>
    <row r="21" spans="2:12" ht="126.75" customHeight="1">
      <c r="B21" s="1166"/>
      <c r="C21" s="952" t="str">
        <f>+'Matriz PEI 2021-2024'!C18</f>
        <v>3.3. Generar 8 escenarios que fortalezcan el conocimiento y las competencias del operador disciplinario, que apoya el cumplimiento de la labor misional, extendiendo el alcance a los jueces naturales en el Distrito Capital.</v>
      </c>
      <c r="D21" s="856">
        <f>+'Matriz PEI 2021-2024'!E18</f>
        <v>8</v>
      </c>
      <c r="E21" s="855" t="str">
        <f>+'1-Infor Det Sgto PEI 2021-2024 '!F40</f>
        <v>Escenarios generados que fortalezcan el conocimiento</v>
      </c>
      <c r="F21" s="856">
        <f>+'1-Infor Det Sgto PEI 2021-2024 '!AJ40</f>
        <v>2</v>
      </c>
      <c r="G21" s="856">
        <f>+'1-Infor Det Sgto PEI 2021-2024 '!AK40</f>
        <v>0</v>
      </c>
      <c r="H21" s="858">
        <f>+'1-Infor Det Sgto PEI 2021-2024 '!AL40</f>
        <v>0</v>
      </c>
      <c r="I21" s="801">
        <f>+'1-Infor Det Sgto PEI 2021-2024 '!BN40</f>
        <v>0</v>
      </c>
      <c r="J21" s="1159"/>
      <c r="K21" s="830"/>
      <c r="L21" s="830"/>
    </row>
    <row r="22" spans="2:12" ht="61.5" customHeight="1">
      <c r="B22" s="1207"/>
      <c r="C22" s="950" t="str">
        <f>+'Matriz PEI 2021-2024'!C19</f>
        <v>3.4. Implementar al 100% tres soluciones informáticas propias para la ejecución y gestión de la Potestad Disciplinaria.</v>
      </c>
      <c r="D22" s="858">
        <f>+'Matriz PEI 2021-2024'!E19</f>
        <v>1</v>
      </c>
      <c r="E22" s="855" t="str">
        <f>+'1-Infor Det Sgto PEI 2021-2024 '!F41</f>
        <v>Soluciones informáticas implementadas</v>
      </c>
      <c r="F22" s="881">
        <f>AVERAGE('1-Infor Det Sgto PEI 2021-2024 '!AJ41:AJ43)</f>
        <v>0.40000000000000008</v>
      </c>
      <c r="G22" s="881">
        <f>AVERAGE('1-Infor Det Sgto PEI 2021-2024 '!AK41:AK43)</f>
        <v>7.0000000000000007E-2</v>
      </c>
      <c r="H22" s="883">
        <f>AVERAGE('1-Infor Det Sgto PEI 2021-2024 '!AL41:AL43)</f>
        <v>0.16666666666666666</v>
      </c>
      <c r="I22" s="837">
        <f>+'1-Infor Det Sgto PEI 2021-2024 '!BN41</f>
        <v>3.6000000000000004E-2</v>
      </c>
      <c r="J22" s="1159"/>
      <c r="K22" s="830"/>
      <c r="L22" s="830"/>
    </row>
    <row r="23" spans="2:12" ht="75" customHeight="1">
      <c r="B23" s="1189" t="str">
        <f>+'Matriz PEI 2021-2024'!B20</f>
        <v xml:space="preserve">4. Fortalecer la gestión institucional a través del uso y apropiación de tecnologías de la información y las comunicaciones, la aplicación de buenas prácticas, un Talento Humano y una infraestructura adecuados para la prestación del servicio. </v>
      </c>
      <c r="C23" s="951" t="str">
        <f>+'Matriz PEI 2021-2024'!C20</f>
        <v>4.1. Implementar el 100% de las acciones que impulsen el crecimiento del Modelo de Madurez de Transformación Digital de la Entidad, aplicando los principios , lineamientos y normas que lo enmarcan.</v>
      </c>
      <c r="D23" s="859">
        <f>+'Matriz PEI 2021-2024'!E20</f>
        <v>1</v>
      </c>
      <c r="E23" s="862" t="str">
        <f>+'1-Infor Det Sgto PEI 2021-2024 '!F44</f>
        <v>Acciones implementadas que impulsan el crecimiento del modelo de la Entidad</v>
      </c>
      <c r="F23" s="859">
        <f>AVERAGE('1-Infor Det Sgto PEI 2021-2024 '!AJ44:AJ50)</f>
        <v>0.39999999999999997</v>
      </c>
      <c r="G23" s="889">
        <f>AVERAGE('1-Infor Det Sgto PEI 2021-2024 '!AK44:AK50)</f>
        <v>7.0000000000000007E-2</v>
      </c>
      <c r="H23" s="884">
        <f>AVERAGE('1-Infor Det Sgto PEI 2021-2024 '!AL44:AL50)</f>
        <v>0.17500000000000002</v>
      </c>
      <c r="I23" s="838">
        <f>+'1-Infor Det Sgto PEI 2021-2024 '!BN44</f>
        <v>7.0000000000000007E-2</v>
      </c>
      <c r="J23" s="1186">
        <f>+'1-Infor Det Sgto PEI 2021-2024 '!BO44</f>
        <v>5.2148649278821679E-2</v>
      </c>
      <c r="K23" s="832"/>
      <c r="L23" s="832"/>
    </row>
    <row r="24" spans="2:12" ht="105" customHeight="1">
      <c r="B24" s="1189"/>
      <c r="C24" s="1217" t="str">
        <f>+'Matriz PEI 2021-2024'!C21</f>
        <v>4.2. Consolidar el 90% del Modelo Integrado de Planeación y Gestión –MIPG- y sus sistemas de gestión articulados, como compromiso con la Calidad, la Excelencia, la Responsabilidad Ambiental y la Mejora en la prestación del Servicio.</v>
      </c>
      <c r="D24" s="1220">
        <f>+'Matriz PEI 2021-2024'!E21</f>
        <v>0.9</v>
      </c>
      <c r="E24" s="862" t="str">
        <f>+'1-Infor Det Sgto PEI 2021-2024 '!F51</f>
        <v xml:space="preserve">Porcentaje de acciones implementadas para la sostenibilidad y mejora del SGC </v>
      </c>
      <c r="F24" s="859">
        <f>+'1-Infor Det Sgto PEI 2021-2024 '!AJ51</f>
        <v>1</v>
      </c>
      <c r="G24" s="859">
        <f>+'1-Infor Det Sgto PEI 2021-2024 '!AK51</f>
        <v>0.24000000000000002</v>
      </c>
      <c r="H24" s="859">
        <f>+'1-Infor Det Sgto PEI 2021-2024 '!AL51</f>
        <v>0.24000000000000002</v>
      </c>
      <c r="I24" s="1194">
        <f>+'1-Infor Det Sgto PEI 2021-2024 '!BN51</f>
        <v>8.0461904761904762E-2</v>
      </c>
      <c r="J24" s="1187"/>
      <c r="K24" s="831"/>
      <c r="L24" s="831"/>
    </row>
    <row r="25" spans="2:12" ht="69.599999999999994" customHeight="1">
      <c r="B25" s="1189"/>
      <c r="C25" s="1218"/>
      <c r="D25" s="1221"/>
      <c r="E25" s="862" t="str">
        <f>+'1-Infor Det Sgto PEI 2021-2024 '!F52</f>
        <v>Porcentaje de actividades implementadas para la sostenibilidad  y mejora del MIPG</v>
      </c>
      <c r="F25" s="859">
        <f>+'1-Infor Det Sgto PEI 2021-2024 '!AJ52</f>
        <v>0.13999999999999999</v>
      </c>
      <c r="G25" s="859">
        <f>+'1-Infor Det Sgto PEI 2021-2024 '!AK52</f>
        <v>5.1000000000000004E-2</v>
      </c>
      <c r="H25" s="859">
        <f>+'1-Infor Det Sgto PEI 2021-2024 '!AL52</f>
        <v>0.36428571428571432</v>
      </c>
      <c r="I25" s="1195"/>
      <c r="J25" s="1187"/>
      <c r="K25" s="831"/>
      <c r="L25" s="831"/>
    </row>
    <row r="26" spans="2:12" ht="55.95" customHeight="1">
      <c r="B26" s="1189"/>
      <c r="C26" s="1218"/>
      <c r="D26" s="1221"/>
      <c r="E26" s="862" t="str">
        <f>+'1-Infor Det Sgto PEI 2021-2024 '!F53</f>
        <v xml:space="preserve">Porcentaje de requisitos del  SGA implementados bajo los estándares de la norma ISO 14001 </v>
      </c>
      <c r="F26" s="859">
        <f>+'1-Infor Det Sgto PEI 2021-2024 '!AJ53</f>
        <v>0.33</v>
      </c>
      <c r="G26" s="859">
        <f>+'1-Infor Det Sgto PEI 2021-2024 '!AK53</f>
        <v>8.7999999999999995E-2</v>
      </c>
      <c r="H26" s="859">
        <f>+'1-Infor Det Sgto PEI 2021-2024 '!AL53</f>
        <v>0.26666666666666666</v>
      </c>
      <c r="I26" s="1195"/>
      <c r="J26" s="1187"/>
      <c r="K26" s="831"/>
      <c r="L26" s="831"/>
    </row>
    <row r="27" spans="2:12" ht="52.2" customHeight="1">
      <c r="B27" s="1189"/>
      <c r="C27" s="1218"/>
      <c r="D27" s="1221"/>
      <c r="E27" s="862" t="str">
        <f>+'1-Infor Det Sgto PEI 2021-2024 '!F54</f>
        <v>Acciones de monitoreo y revisión realizadas al PAAC</v>
      </c>
      <c r="F27" s="857">
        <f>+'1-Infor Det Sgto PEI 2021-2024 '!AJ54</f>
        <v>3</v>
      </c>
      <c r="G27" s="857">
        <f>+'1-Infor Det Sgto PEI 2021-2024 '!AK54</f>
        <v>1</v>
      </c>
      <c r="H27" s="859">
        <f>+'1-Infor Det Sgto PEI 2021-2024 '!AL54</f>
        <v>0.33333333333333331</v>
      </c>
      <c r="I27" s="1195"/>
      <c r="J27" s="1187"/>
      <c r="K27" s="831"/>
      <c r="L27" s="831"/>
    </row>
    <row r="28" spans="2:12" ht="64.95" customHeight="1">
      <c r="B28" s="1189"/>
      <c r="C28" s="1218"/>
      <c r="D28" s="1221"/>
      <c r="E28" s="862" t="str">
        <f>+'1-Infor Det Sgto PEI 2021-2024 '!F55</f>
        <v>Porcentaje de Percepción de los usuarios en calificación excelente y bueno incrementado</v>
      </c>
      <c r="F28" s="859">
        <f>+'1-Infor Det Sgto PEI 2021-2024 '!AJ55</f>
        <v>0.9</v>
      </c>
      <c r="G28" s="859">
        <f>+'1-Infor Det Sgto PEI 2021-2024 '!AK55</f>
        <v>0.95899999999999996</v>
      </c>
      <c r="H28" s="859">
        <f>+'1-Infor Det Sgto PEI 2021-2024 '!AL55</f>
        <v>0.2663888888888889</v>
      </c>
      <c r="I28" s="1195"/>
      <c r="J28" s="1187"/>
      <c r="K28" s="831"/>
      <c r="L28" s="831"/>
    </row>
    <row r="29" spans="2:12" ht="42" customHeight="1">
      <c r="B29" s="1189"/>
      <c r="C29" s="1219"/>
      <c r="D29" s="1222"/>
      <c r="E29" s="862" t="str">
        <f>+'1-Infor Det Sgto PEI 2021-2024 '!F56</f>
        <v>Acuerdos interinstitucionales gestionados</v>
      </c>
      <c r="F29" s="857">
        <f>+'1-Infor Det Sgto PEI 2021-2024 '!AJ56</f>
        <v>3</v>
      </c>
      <c r="G29" s="857">
        <f>+'1-Infor Det Sgto PEI 2021-2024 '!AK56</f>
        <v>1</v>
      </c>
      <c r="H29" s="859">
        <f>+'1-Infor Det Sgto PEI 2021-2024 '!AL56</f>
        <v>0.33333333333333331</v>
      </c>
      <c r="I29" s="1196"/>
      <c r="J29" s="1187"/>
      <c r="K29" s="831"/>
      <c r="L29" s="831"/>
    </row>
    <row r="30" spans="2:12" ht="60" customHeight="1">
      <c r="B30" s="1189"/>
      <c r="C30" s="1217" t="str">
        <f>+'Matriz PEI 2021-2024'!C22</f>
        <v xml:space="preserve">4.3. Realizar el 100% de las actividades relacionadas con la Gestión del Talento Humano, que permita su fortalecimiento y el desarrollo de sus conocimientos, su competencia y bienestar. </v>
      </c>
      <c r="D30" s="1220">
        <f>+'Matriz PEI 2021-2024'!E22</f>
        <v>1</v>
      </c>
      <c r="E30" s="862" t="str">
        <f>+'1-Infor Det Sgto PEI 2021-2024 '!F57</f>
        <v>Porcentaje de novedades y situaciones administrativas gestionadas</v>
      </c>
      <c r="F30" s="859">
        <f>+'1-Infor Det Sgto PEI 2021-2024 '!AJ57</f>
        <v>1</v>
      </c>
      <c r="G30" s="859">
        <f>+'1-Infor Det Sgto PEI 2021-2024 '!AK57</f>
        <v>0.25</v>
      </c>
      <c r="H30" s="859">
        <f>+'1-Infor Det Sgto PEI 2021-2024 '!AL57</f>
        <v>6.25E-2</v>
      </c>
      <c r="I30" s="1223">
        <f>+'1-Infor Det Sgto PEI 2021-2024 '!BN57</f>
        <v>6.1175947390203524E-2</v>
      </c>
      <c r="J30" s="1187"/>
      <c r="K30" s="824"/>
      <c r="L30" s="824"/>
    </row>
    <row r="31" spans="2:12" ht="60" customHeight="1">
      <c r="B31" s="1189"/>
      <c r="C31" s="1218"/>
      <c r="D31" s="1221"/>
      <c r="E31" s="862" t="str">
        <f>+'1-Infor Det Sgto PEI 2021-2024 '!F58</f>
        <v xml:space="preserve">Novedades incluidas en la nómina  oportunamente  </v>
      </c>
      <c r="F31" s="859">
        <f>+'1-Infor Det Sgto PEI 2021-2024 '!AJ58</f>
        <v>0.98000000000000032</v>
      </c>
      <c r="G31" s="859">
        <f>+'1-Infor Det Sgto PEI 2021-2024 '!AK58</f>
        <v>0.246</v>
      </c>
      <c r="H31" s="859">
        <f>+'1-Infor Det Sgto PEI 2021-2024 '!AL58</f>
        <v>6.2755102040816302E-2</v>
      </c>
      <c r="I31" s="1224"/>
      <c r="J31" s="1187"/>
      <c r="K31" s="824"/>
      <c r="L31" s="824"/>
    </row>
    <row r="32" spans="2:12" ht="119.4" customHeight="1">
      <c r="B32" s="1189"/>
      <c r="C32" s="1218"/>
      <c r="D32" s="1221"/>
      <c r="E32" s="862" t="str">
        <f>+'1-Infor Det Sgto PEI 2021-2024 '!F59</f>
        <v>Porcentaje de Usuarios internos satisfechos con las solicitudes de los servicios atendidas de la SGTH (Certificaciones laborales, bonos pensionales y autorizaciones de retiro de cesantías)</v>
      </c>
      <c r="F32" s="859">
        <f>+'1-Infor Det Sgto PEI 2021-2024 '!AJ59</f>
        <v>0.96000000000000008</v>
      </c>
      <c r="G32" s="859">
        <f>+'1-Infor Det Sgto PEI 2021-2024 '!AK59</f>
        <v>0</v>
      </c>
      <c r="H32" s="859">
        <f>+'1-Infor Det Sgto PEI 2021-2024 '!AL59</f>
        <v>0</v>
      </c>
      <c r="I32" s="1224"/>
      <c r="J32" s="1187"/>
      <c r="K32" s="824"/>
      <c r="L32" s="824"/>
    </row>
    <row r="33" spans="2:12" ht="60" customHeight="1">
      <c r="B33" s="1189"/>
      <c r="C33" s="1218"/>
      <c r="D33" s="1221"/>
      <c r="E33" s="862" t="str">
        <f>+'1-Infor Det Sgto PEI 2021-2024 '!F60</f>
        <v>Avance en la ejecución de los planes que desarrollan la gestión del talento humano</v>
      </c>
      <c r="F33" s="859">
        <f>AVERAGE('1-Infor Det Sgto PEI 2021-2024 '!AJ60:AJ63)</f>
        <v>1</v>
      </c>
      <c r="G33" s="859">
        <f>AVERAGE('1-Infor Det Sgto PEI 2021-2024 '!AK60:AK63)</f>
        <v>0.30247499999999999</v>
      </c>
      <c r="H33" s="891">
        <f>AVERAGE('1-Infor Det Sgto PEI 2021-2024 '!AL60:AL63)</f>
        <v>0.30247499999999999</v>
      </c>
      <c r="I33" s="1224"/>
      <c r="J33" s="1187"/>
      <c r="K33" s="824"/>
      <c r="L33" s="824"/>
    </row>
    <row r="34" spans="2:12" ht="106.95" customHeight="1">
      <c r="B34" s="1189"/>
      <c r="C34" s="1219"/>
      <c r="D34" s="1222"/>
      <c r="E34" s="862" t="str">
        <f>+'1-Infor Det Sgto PEI 2021-2024 '!F64</f>
        <v>Capacitaciones realizadas sobre los Sistemas de Gestión y Evaluación del Desempeño Laboral de la Personería de Bogotá, D.C.</v>
      </c>
      <c r="F34" s="857">
        <f>+'1-Infor Det Sgto PEI 2021-2024 '!AJ64</f>
        <v>4</v>
      </c>
      <c r="G34" s="857">
        <f>+'1-Infor Det Sgto PEI 2021-2024 '!AK64</f>
        <v>2</v>
      </c>
      <c r="H34" s="889">
        <f>+'1-Infor Det Sgto PEI 2021-2024 '!AL64</f>
        <v>0.5</v>
      </c>
      <c r="I34" s="1225"/>
      <c r="J34" s="1187"/>
      <c r="K34" s="824"/>
      <c r="L34" s="824"/>
    </row>
    <row r="35" spans="2:12" ht="76.5" customHeight="1">
      <c r="B35" s="1189"/>
      <c r="C35" s="1217" t="str">
        <f>+'Matriz PEI 2021-2024'!C23</f>
        <v>4.4. Implementar el 100% de las acciones necesarias para la modernización de la gestión institucional a través de los procesos de apoyo, que permita una mejor prestación del servicio.</v>
      </c>
      <c r="D35" s="1220">
        <f>+'Matriz PEI 2021-2024'!E23</f>
        <v>1</v>
      </c>
      <c r="E35" s="862" t="str">
        <f>+'1-Infor Det Sgto PEI 2021-2024 '!F65</f>
        <v>Acciones implementadas para la modernización de la gestión institucional en el proceso Gestión Administrativa</v>
      </c>
      <c r="F35" s="889">
        <f>AVERAGE('1-Infor Det Sgto PEI 2021-2024 '!AJ65:AJ66)</f>
        <v>0.9850000000000001</v>
      </c>
      <c r="G35" s="889">
        <f>AVERAGE('1-Infor Det Sgto PEI 2021-2024 '!AK65:AK66)</f>
        <v>0.26150000000000001</v>
      </c>
      <c r="H35" s="884">
        <f>AVERAGE('1-Infor Det Sgto PEI 2021-2024 '!AL65:AL66)</f>
        <v>6.6430412371134021E-2</v>
      </c>
      <c r="I35" s="1226">
        <f>+'1-Infor Det Sgto PEI 2021-2024 '!BN65</f>
        <v>4.4063554261243761E-2</v>
      </c>
      <c r="J35" s="1187"/>
      <c r="K35" s="830"/>
      <c r="L35" s="830"/>
    </row>
    <row r="36" spans="2:12" ht="76.5" customHeight="1">
      <c r="B36" s="1189"/>
      <c r="C36" s="1218"/>
      <c r="D36" s="1221"/>
      <c r="E36" s="862" t="str">
        <f>+'1-Infor Det Sgto PEI 2021-2024 '!F67</f>
        <v>Acciones implementadas para la modernización de la gestión institucional en el proceso Gestión Financiera</v>
      </c>
      <c r="F36" s="891">
        <f>AVERAGE('1-Infor Det Sgto PEI 2021-2024 '!AJ67:AJ69)</f>
        <v>0.96666666666666667</v>
      </c>
      <c r="G36" s="889">
        <f>AVERAGE('1-Infor Det Sgto PEI 2021-2024 '!AK67:AK69)</f>
        <v>0.21753333333333336</v>
      </c>
      <c r="H36" s="884">
        <f>AVERAGE('1-Infor Det Sgto PEI 2021-2024 '!AL67:AL69)</f>
        <v>0.22459649122807016</v>
      </c>
      <c r="I36" s="1227"/>
      <c r="J36" s="1187"/>
      <c r="K36" s="830"/>
      <c r="L36" s="830"/>
    </row>
    <row r="37" spans="2:12" ht="76.5" customHeight="1">
      <c r="B37" s="1189"/>
      <c r="C37" s="1218"/>
      <c r="D37" s="1221"/>
      <c r="E37" s="862" t="str">
        <f>+'1-Infor Det Sgto PEI 2021-2024 '!F70</f>
        <v xml:space="preserve">Porcentaje del Plan Anual de Adquisiciones ejecutado </v>
      </c>
      <c r="F37" s="891">
        <f>+'1-Infor Det Sgto PEI 2021-2024 '!AJ70</f>
        <v>0.95000000000000007</v>
      </c>
      <c r="G37" s="891">
        <f>+'1-Infor Det Sgto PEI 2021-2024 '!AK70</f>
        <v>0.38</v>
      </c>
      <c r="H37" s="891">
        <f>+'1-Infor Det Sgto PEI 2021-2024 '!AL70</f>
        <v>0.39999999999999997</v>
      </c>
      <c r="I37" s="1227"/>
      <c r="J37" s="1187"/>
      <c r="K37" s="830"/>
      <c r="L37" s="830"/>
    </row>
    <row r="38" spans="2:12" ht="76.5" customHeight="1">
      <c r="B38" s="1189"/>
      <c r="C38" s="1218"/>
      <c r="D38" s="1221"/>
      <c r="E38" s="862" t="str">
        <f>+'1-Infor Det Sgto PEI 2021-2024 '!F71</f>
        <v>Porcentaje de Comunicaciones oficiales con reparto realizado dentro de los 3 días hábiles desde su radicación</v>
      </c>
      <c r="F38" s="891">
        <f>+'1-Infor Det Sgto PEI 2021-2024 '!AJ71</f>
        <v>0.94999999999999984</v>
      </c>
      <c r="G38" s="891">
        <f>+'1-Infor Det Sgto PEI 2021-2024 '!AK71</f>
        <v>0.246</v>
      </c>
      <c r="H38" s="891">
        <f>+'1-Infor Det Sgto PEI 2021-2024 '!AL71</f>
        <v>6.4736842105263162E-2</v>
      </c>
      <c r="I38" s="1227"/>
      <c r="J38" s="1187"/>
      <c r="K38" s="830"/>
      <c r="L38" s="830"/>
    </row>
    <row r="39" spans="2:12" ht="76.5" customHeight="1">
      <c r="B39" s="1189"/>
      <c r="C39" s="1218"/>
      <c r="D39" s="1221"/>
      <c r="E39" s="862" t="str">
        <f>+'1-Infor Det Sgto PEI 2021-2024 '!F72</f>
        <v>Porcentaje de documentación incorporada en el archivo central durante la vigencia.</v>
      </c>
      <c r="F39" s="891">
        <f>+'1-Infor Det Sgto PEI 2021-2024 '!AJ72</f>
        <v>0.79999999999999993</v>
      </c>
      <c r="G39" s="891">
        <f>+'1-Infor Det Sgto PEI 2021-2024 '!AK72</f>
        <v>0.218</v>
      </c>
      <c r="H39" s="889">
        <f>+'1-Infor Det Sgto PEI 2021-2024 '!AL72</f>
        <v>6.8125000000000005E-2</v>
      </c>
      <c r="I39" s="1227"/>
      <c r="J39" s="1187"/>
      <c r="K39" s="830"/>
      <c r="L39" s="830"/>
    </row>
    <row r="40" spans="2:12" ht="105.6" customHeight="1">
      <c r="B40" s="1189"/>
      <c r="C40" s="1218"/>
      <c r="D40" s="1221"/>
      <c r="E40" s="862" t="str">
        <f>+'1-Infor Det Sgto PEI 2021-2024 '!F73</f>
        <v xml:space="preserve">Acciones implementadas para la modernización de la gestión institucional en actualización e  implementación de instrumentos archivísticos </v>
      </c>
      <c r="F40" s="857">
        <f>'1-Infor Det Sgto PEI 2021-2024 '!AJ73+'1-Infor Det Sgto PEI 2021-2024 '!AJ74</f>
        <v>50</v>
      </c>
      <c r="G40" s="857">
        <f>'1-Infor Det Sgto PEI 2021-2024 '!AK73+'1-Infor Det Sgto PEI 2021-2024 '!AK74</f>
        <v>11</v>
      </c>
      <c r="H40" s="884">
        <f>AVERAGE('1-Infor Det Sgto PEI 2021-2024 '!AL73:AL74)</f>
        <v>0.22</v>
      </c>
      <c r="I40" s="1227"/>
      <c r="J40" s="1187"/>
      <c r="K40" s="830"/>
      <c r="L40" s="830"/>
    </row>
    <row r="41" spans="2:12" ht="76.5" customHeight="1">
      <c r="B41" s="1189"/>
      <c r="C41" s="1218"/>
      <c r="D41" s="1221"/>
      <c r="E41" s="862" t="str">
        <f>+'1-Infor Det Sgto PEI 2021-2024 '!F75</f>
        <v>Acciones implementadas para la modernización de la gestión institucional en el proceso Gestión Jurídica</v>
      </c>
      <c r="F41" s="891">
        <f>AVERAGE('1-Infor Det Sgto PEI 2021-2024 '!AJ75:AJ79)</f>
        <v>1</v>
      </c>
      <c r="G41" s="891">
        <f>AVERAGE('1-Infor Det Sgto PEI 2021-2024 '!AK75:AK79)</f>
        <v>0.25</v>
      </c>
      <c r="H41" s="891">
        <f>AVERAGE('1-Infor Det Sgto PEI 2021-2024 '!AL75:AL79)</f>
        <v>6.25E-2</v>
      </c>
      <c r="I41" s="1227"/>
      <c r="J41" s="1187"/>
      <c r="K41" s="830"/>
      <c r="L41" s="830"/>
    </row>
    <row r="42" spans="2:12" ht="76.5" customHeight="1">
      <c r="B42" s="1189"/>
      <c r="C42" s="1219"/>
      <c r="D42" s="1222"/>
      <c r="E42" s="862" t="str">
        <f>+'1-Infor Det Sgto PEI 2021-2024 '!F80</f>
        <v xml:space="preserve">Porcentaje de contratos en las diferentes modalidades de contratación elaborados en los tiempos óptimos </v>
      </c>
      <c r="F42" s="891">
        <f>AVERAGE('1-Infor Det Sgto PEI 2021-2024 '!AJ80:AJ82)</f>
        <v>0.80000000000000016</v>
      </c>
      <c r="G42" s="891">
        <f>AVERAGE('1-Infor Det Sgto PEI 2021-2024 '!AK80:AK82)</f>
        <v>4.7333333333333331E-2</v>
      </c>
      <c r="H42" s="891">
        <f>AVERAGE('1-Infor Det Sgto PEI 2021-2024 '!AL80:AL82)</f>
        <v>1.4791666666666663E-2</v>
      </c>
      <c r="I42" s="1228"/>
      <c r="J42" s="1187"/>
      <c r="K42" s="830"/>
      <c r="L42" s="830"/>
    </row>
    <row r="43" spans="2:12" ht="83.4" customHeight="1">
      <c r="B43" s="1189"/>
      <c r="C43" s="951" t="str">
        <f>+'Matriz PEI 2021-2024'!C24</f>
        <v>4.5. Desarrollar el 100% de las acciones relacionadas con el fomento de la Cultura del Autocontrol, la Autorregulación y la Autogestión institucional.</v>
      </c>
      <c r="D43" s="859">
        <f>+'Matriz PEI 2021-2024'!E24</f>
        <v>1</v>
      </c>
      <c r="E43" s="862" t="str">
        <f>+'1-Infor Det Sgto PEI 2021-2024 '!F83</f>
        <v>Acciones desarrolladas relacionadas con el fomento de la cultura del autocontrol, autoregulación y autogestión</v>
      </c>
      <c r="F43" s="857">
        <f>SUM('1-Infor Det Sgto PEI 2021-2024 '!AJ83:AJ88)</f>
        <v>133</v>
      </c>
      <c r="G43" s="857">
        <f>SUM('1-Infor Det Sgto PEI 2021-2024 '!AK83:AK88)</f>
        <v>57.35</v>
      </c>
      <c r="H43" s="884">
        <f>AVERAGE('1-Infor Det Sgto PEI 2021-2024 '!AL83:AL88)</f>
        <v>0.31666666666666665</v>
      </c>
      <c r="I43" s="841">
        <f>+'1-Infor Det Sgto PEI 2021-2024 '!BN83</f>
        <v>7.4791666666666673E-2</v>
      </c>
      <c r="J43" s="1187"/>
      <c r="K43" s="822"/>
      <c r="L43" s="822"/>
    </row>
    <row r="44" spans="2:12" ht="60" customHeight="1">
      <c r="B44" s="1189"/>
      <c r="C44" s="951" t="str">
        <f>+'Matriz PEI 2021-2024'!C25</f>
        <v>4.6. Desarrollar el 100% de las estrategias de comunicación organizacional y de medios que contribuyan al logro de los objetivos institucionales y al posicionamiento de la Entidad.</v>
      </c>
      <c r="D44" s="859">
        <f>+'Matriz PEI 2021-2024'!E25</f>
        <v>1</v>
      </c>
      <c r="E44" s="862" t="str">
        <f>'1-Infor Det Sgto PEI 2021-2024 '!F89</f>
        <v>Estrategias desarrolladas para la comunicación en la Entidad</v>
      </c>
      <c r="F44" s="859">
        <f>AVERAGE('1-Infor Det Sgto PEI 2021-2024 '!AJ89:AJ90)</f>
        <v>1</v>
      </c>
      <c r="G44" s="891">
        <f>AVERAGE('1-Infor Det Sgto PEI 2021-2024 '!AK89:AK90)</f>
        <v>0.25</v>
      </c>
      <c r="H44" s="891">
        <f>AVERAGE('1-Infor Det Sgto PEI 2021-2024 '!AL89:AL90)</f>
        <v>6.25E-2</v>
      </c>
      <c r="I44" s="840">
        <f>+'1-Infor Det Sgto PEI 2021-2024 '!BN89</f>
        <v>3.125E-2</v>
      </c>
      <c r="J44" s="1187"/>
      <c r="K44" s="824"/>
      <c r="L44" s="824"/>
    </row>
    <row r="45" spans="2:12" ht="114" customHeight="1">
      <c r="B45" s="1190"/>
      <c r="C45" s="953" t="str">
        <f>+'Matriz PEI 2021-2024'!C26</f>
        <v>4.7. Articular el 100% de las acciones de trabajo interinstitucional y cooperación nacional e internacional que permita aunar esfuerzos para el cumplimiento de la misión institucional.</v>
      </c>
      <c r="D45" s="859">
        <f>+'Matriz PEI 2021-2024'!E26</f>
        <v>1</v>
      </c>
      <c r="E45" s="862" t="str">
        <f>'1-Infor Det Sgto PEI 2021-2024 '!F91</f>
        <v>Acciones articuladas de trabajo interinstitucional y de cooperación</v>
      </c>
      <c r="F45" s="857">
        <f>'1-Infor Det Sgto PEI 2021-2024 '!AJ91</f>
        <v>1</v>
      </c>
      <c r="G45" s="857">
        <f>'1-Infor Det Sgto PEI 2021-2024 '!AK91</f>
        <v>0</v>
      </c>
      <c r="H45" s="891">
        <f>'1-Infor Det Sgto PEI 2021-2024 '!AL91</f>
        <v>0</v>
      </c>
      <c r="I45" s="820">
        <f>+'1-Infor Det Sgto PEI 2021-2024 '!BN91</f>
        <v>0</v>
      </c>
      <c r="J45" s="1188"/>
      <c r="K45" s="824"/>
      <c r="L45" s="824"/>
    </row>
    <row r="46" spans="2:12" ht="93.75" customHeight="1">
      <c r="B46" s="1165" t="str">
        <f>+'Matriz PEI 2021-2024'!B27</f>
        <v xml:space="preserve">5. Incorporar una cultura del conocimiento y la innovación a través de actividades que permitan el desarrollo de ideas, lecciones aprendidas e investigaciones para mejorar los resultados de la gestión institucional. </v>
      </c>
      <c r="C46" s="954" t="str">
        <f>+'Matriz PEI 2021-2024'!C27</f>
        <v>5.1 Generar el 100% de productos de nuevo conocimiento o transformar los existentes, alineados con proyectos resultados de la investigación, desarrollo e innovación (I+D+I) en la Entidad.</v>
      </c>
      <c r="D46" s="858">
        <f>+'Matriz PEI 2021-2024'!E27</f>
        <v>1</v>
      </c>
      <c r="E46" s="861" t="str">
        <f>+'1-Infor Det Sgto PEI 2021-2024 '!F92</f>
        <v xml:space="preserve">Productos generados
</v>
      </c>
      <c r="F46" s="925">
        <f>+'1-Infor Det Sgto PEI 2021-2024 '!AJ92</f>
        <v>1</v>
      </c>
      <c r="G46" s="925">
        <f>+'1-Infor Det Sgto PEI 2021-2024 '!AK92</f>
        <v>0</v>
      </c>
      <c r="H46" s="926">
        <f>+'1-Infor Det Sgto PEI 2021-2024 '!AL92</f>
        <v>0</v>
      </c>
      <c r="I46" s="821">
        <f>+'1-Infor Det Sgto PEI 2021-2024 '!BN92</f>
        <v>0</v>
      </c>
      <c r="J46" s="1214">
        <f>+'1-Infor Det Sgto PEI 2021-2024 '!BO92</f>
        <v>3.3750000000000002E-2</v>
      </c>
      <c r="K46" s="826"/>
      <c r="L46" s="826"/>
    </row>
    <row r="47" spans="2:12" ht="102" customHeight="1">
      <c r="B47" s="1166"/>
      <c r="C47" s="954" t="str">
        <f>+'Matriz PEI 2021-2024'!C28</f>
        <v>5.2 Formular el 100% de herramientas y acciones que permitan categorizar, preservar y utilizar el conocimiento para la toma de decisiones y compartir fácilmente los datos y la información de la Entidad.</v>
      </c>
      <c r="D47" s="858">
        <f>+'Matriz PEI 2021-2024'!E28</f>
        <v>1</v>
      </c>
      <c r="E47" s="861" t="str">
        <f>+'1-Infor Det Sgto PEI 2021-2024 '!F93</f>
        <v xml:space="preserve">Herramientas y acciones formuladas </v>
      </c>
      <c r="F47" s="925">
        <f>+'1-Infor Det Sgto PEI 2021-2024 '!AJ93</f>
        <v>2</v>
      </c>
      <c r="G47" s="925">
        <f>+'1-Infor Det Sgto PEI 2021-2024 '!AK93</f>
        <v>0</v>
      </c>
      <c r="H47" s="926">
        <f>+'1-Infor Det Sgto PEI 2021-2024 '!AL93</f>
        <v>0</v>
      </c>
      <c r="I47" s="821">
        <f>+'1-Infor Det Sgto PEI 2021-2024 '!BN93</f>
        <v>0</v>
      </c>
      <c r="J47" s="1215"/>
      <c r="K47" s="826"/>
      <c r="L47" s="826"/>
    </row>
    <row r="48" spans="2:12" ht="124.5" customHeight="1" thickBot="1">
      <c r="B48" s="1171"/>
      <c r="C48" s="955" t="str">
        <f>+'Matriz PEI 2021-2024'!C29</f>
        <v xml:space="preserve">5.3 Desarrollar el 100% de espacios y mecanismos para la difusión del conocimiento, mediante la creación de alianzas efectivas y apropiación de la memoria institucional a través del proceso de enseñanza-aprendizaje organizacional. </v>
      </c>
      <c r="D48" s="858">
        <f>+'Matriz PEI 2021-2024'!E29</f>
        <v>1</v>
      </c>
      <c r="E48" s="861" t="str">
        <f>+'1-Infor Det Sgto PEI 2021-2024 '!F94</f>
        <v>Espacios y mecanismos desarrollados para la difusión de conocimiento</v>
      </c>
      <c r="F48" s="925">
        <f>+'1-Infor Det Sgto PEI 2021-2024 '!AJ94</f>
        <v>38</v>
      </c>
      <c r="G48" s="925">
        <f>+'1-Infor Det Sgto PEI 2021-2024 '!AK94</f>
        <v>9</v>
      </c>
      <c r="H48" s="926">
        <f>+'1-Infor Det Sgto PEI 2021-2024 '!AL94</f>
        <v>0.23684210526315788</v>
      </c>
      <c r="I48" s="821">
        <f>+'1-Infor Det Sgto PEI 2021-2024 '!BN94</f>
        <v>0.1125</v>
      </c>
      <c r="J48" s="1216"/>
      <c r="K48" s="826"/>
      <c r="L48" s="826"/>
    </row>
    <row r="49" spans="2:12" ht="18" thickBot="1">
      <c r="B49" s="742"/>
      <c r="C49" s="842"/>
      <c r="D49" s="854"/>
      <c r="E49" s="854"/>
      <c r="F49" s="854"/>
      <c r="G49" s="854"/>
      <c r="H49" s="854"/>
      <c r="I49" s="843">
        <f>AVERAGE(I10:I48)</f>
        <v>4.2286545687339867E-2</v>
      </c>
      <c r="J49" s="834">
        <f>AVERAGE(J10:J48)</f>
        <v>4.267315602795195E-2</v>
      </c>
      <c r="K49" s="827"/>
      <c r="L49" s="827"/>
    </row>
    <row r="50" spans="2:12" ht="13.5" customHeight="1">
      <c r="B50" s="43"/>
      <c r="C50" s="43"/>
      <c r="D50" s="43"/>
      <c r="E50" s="43"/>
      <c r="F50" s="43"/>
      <c r="G50" s="43"/>
      <c r="H50" s="43"/>
    </row>
    <row r="51" spans="2:12" ht="15" customHeight="1">
      <c r="B51" s="43" t="s">
        <v>1035</v>
      </c>
      <c r="C51" s="43"/>
      <c r="D51" s="43"/>
      <c r="E51" s="43"/>
      <c r="F51" s="43"/>
      <c r="G51" s="43"/>
      <c r="H51" s="43"/>
    </row>
    <row r="52" spans="2:12" ht="15" customHeight="1">
      <c r="B52" s="43"/>
      <c r="C52" s="43"/>
      <c r="D52" s="43"/>
      <c r="E52" s="43"/>
      <c r="F52" s="43"/>
      <c r="G52" s="43"/>
      <c r="H52" s="43"/>
    </row>
  </sheetData>
  <sheetProtection algorithmName="SHA-512" hashValue="jO0FL8M7M87DokL2iICY3dhdmW6f5bnjCEYWrxdMZI2eHJ8Zv0xL9aXH39AiYIU8HJZtBVnzR9hH6wFVUgUgGg==" saltValue="txjjA/0EnH0tA5mfZxCaxw==" spinCount="100000" sheet="1" objects="1" scenarios="1"/>
  <mergeCells count="36">
    <mergeCell ref="B23:B45"/>
    <mergeCell ref="J23:J45"/>
    <mergeCell ref="B46:B48"/>
    <mergeCell ref="J46:J48"/>
    <mergeCell ref="C24:C29"/>
    <mergeCell ref="D24:D29"/>
    <mergeCell ref="I24:I29"/>
    <mergeCell ref="C30:C34"/>
    <mergeCell ref="D30:D34"/>
    <mergeCell ref="I30:I34"/>
    <mergeCell ref="C35:C42"/>
    <mergeCell ref="D35:D42"/>
    <mergeCell ref="I35:I42"/>
    <mergeCell ref="B10:B13"/>
    <mergeCell ref="J10:J13"/>
    <mergeCell ref="B14:B16"/>
    <mergeCell ref="J14:J16"/>
    <mergeCell ref="B17:B22"/>
    <mergeCell ref="J17:J22"/>
    <mergeCell ref="D10:D11"/>
    <mergeCell ref="C10:C11"/>
    <mergeCell ref="I10:I11"/>
    <mergeCell ref="C17:C18"/>
    <mergeCell ref="D17:D18"/>
    <mergeCell ref="I17:I18"/>
    <mergeCell ref="C19:C20"/>
    <mergeCell ref="D19:D20"/>
    <mergeCell ref="I19:I20"/>
    <mergeCell ref="C2:J2"/>
    <mergeCell ref="B7:J7"/>
    <mergeCell ref="B8:B9"/>
    <mergeCell ref="C8:C9"/>
    <mergeCell ref="I8:I9"/>
    <mergeCell ref="J8:J9"/>
    <mergeCell ref="D8:D9"/>
    <mergeCell ref="E8:H8"/>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7F3DF-BE98-4C49-ACEA-200B689C587C}">
  <sheetPr>
    <tabColor rgb="FF002060"/>
  </sheetPr>
  <dimension ref="B1:BS100"/>
  <sheetViews>
    <sheetView showGridLines="0" topLeftCell="H4" zoomScale="50" zoomScaleNormal="50" workbookViewId="0">
      <pane xSplit="3" ySplit="5" topLeftCell="AA9" activePane="bottomRight" state="frozen"/>
      <selection activeCell="M12" sqref="M12"/>
      <selection pane="topRight" activeCell="M12" sqref="M12"/>
      <selection pane="bottomLeft" activeCell="M12" sqref="M12"/>
      <selection pane="bottomRight" activeCell="M12" sqref="M12"/>
    </sheetView>
  </sheetViews>
  <sheetFormatPr baseColWidth="10" defaultColWidth="17.33203125" defaultRowHeight="15"/>
  <cols>
    <col min="1" max="1" width="4.33203125" style="1" customWidth="1"/>
    <col min="2" max="2" width="50.44140625" style="3" customWidth="1"/>
    <col min="3" max="3" width="55.109375" style="3" customWidth="1"/>
    <col min="4" max="4" width="36.33203125" style="3" customWidth="1"/>
    <col min="5" max="5" width="29.44140625" style="5" hidden="1" customWidth="1"/>
    <col min="6" max="6" width="37.5546875" style="5" hidden="1" customWidth="1"/>
    <col min="7" max="7" width="60.44140625" style="5" hidden="1" customWidth="1"/>
    <col min="8" max="8" width="52.88671875" style="3" customWidth="1"/>
    <col min="9" max="9" width="25.44140625" style="5" hidden="1" customWidth="1"/>
    <col min="10" max="10" width="26.33203125" style="5" customWidth="1"/>
    <col min="11" max="11" width="29.44140625" style="3" customWidth="1"/>
    <col min="12" max="12" width="56.33203125" style="3" customWidth="1"/>
    <col min="13" max="20" width="25.6640625" style="3" customWidth="1"/>
    <col min="21" max="21" width="26.6640625" style="3" customWidth="1"/>
    <col min="22" max="22" width="25.6640625" style="3" customWidth="1"/>
    <col min="23" max="23" width="28.33203125" style="3" customWidth="1"/>
    <col min="24" max="24" width="28.44140625" style="3" customWidth="1"/>
    <col min="25" max="25" width="35.6640625" style="3" customWidth="1"/>
    <col min="26" max="26" width="23.6640625" style="690" customWidth="1"/>
    <col min="27" max="38" width="23.33203125" style="690" customWidth="1"/>
    <col min="39" max="46" width="23.33203125" style="690" hidden="1" customWidth="1"/>
    <col min="47" max="49" width="23.33203125" style="690" customWidth="1"/>
    <col min="50" max="57" width="23.33203125" style="690" hidden="1" customWidth="1"/>
    <col min="58" max="60" width="23.33203125" style="690" customWidth="1"/>
    <col min="61" max="61" width="30.33203125" style="690" customWidth="1"/>
    <col min="62" max="63" width="34.6640625" style="690" customWidth="1"/>
    <col min="64" max="64" width="36.6640625" style="690" customWidth="1"/>
    <col min="65" max="65" width="38.6640625" style="690" customWidth="1"/>
    <col min="66" max="69" width="38.6640625" style="1" customWidth="1"/>
    <col min="70" max="16384" width="17.33203125" style="1"/>
  </cols>
  <sheetData>
    <row r="1" spans="2:71" ht="15" customHeight="1" thickBot="1"/>
    <row r="2" spans="2:71" ht="95.4" customHeight="1" thickBot="1">
      <c r="B2" s="899" t="s">
        <v>702</v>
      </c>
      <c r="C2" s="1229" t="s">
        <v>970</v>
      </c>
      <c r="D2" s="1230"/>
      <c r="E2" s="1230"/>
      <c r="F2" s="1230"/>
      <c r="G2" s="1230"/>
      <c r="H2" s="1230"/>
      <c r="I2" s="1230"/>
      <c r="J2" s="1230"/>
      <c r="K2" s="1230"/>
      <c r="L2" s="1231"/>
      <c r="M2" s="898"/>
      <c r="N2" s="898"/>
      <c r="O2" s="898"/>
      <c r="P2" s="898"/>
      <c r="Q2" s="898"/>
      <c r="R2" s="898"/>
      <c r="S2" s="898"/>
      <c r="T2" s="898"/>
      <c r="U2" s="898"/>
      <c r="V2" s="898"/>
      <c r="W2" s="898"/>
      <c r="X2" s="898"/>
      <c r="Y2" s="898"/>
      <c r="Z2" s="898"/>
      <c r="AA2" s="898"/>
      <c r="AB2" s="898"/>
      <c r="AC2" s="898"/>
      <c r="AD2" s="898"/>
      <c r="AE2" s="898"/>
      <c r="AF2" s="898"/>
      <c r="AG2" s="898"/>
      <c r="AH2" s="898"/>
      <c r="AI2" s="898"/>
      <c r="AJ2" s="898"/>
      <c r="AK2" s="898"/>
      <c r="AL2" s="898"/>
      <c r="AM2" s="898"/>
      <c r="AN2" s="898"/>
      <c r="AO2" s="898"/>
      <c r="AP2" s="898"/>
      <c r="AQ2" s="898"/>
      <c r="AR2" s="898"/>
      <c r="AS2" s="898"/>
      <c r="AT2" s="898"/>
      <c r="AU2" s="898"/>
      <c r="AV2" s="898"/>
      <c r="AW2" s="898"/>
      <c r="AX2" s="898"/>
      <c r="AY2" s="898"/>
      <c r="AZ2" s="898"/>
      <c r="BA2" s="898"/>
      <c r="BB2" s="898"/>
      <c r="BC2" s="898"/>
      <c r="BD2" s="898"/>
      <c r="BE2" s="898"/>
      <c r="BF2" s="898"/>
      <c r="BG2" s="898"/>
      <c r="BH2" s="898"/>
      <c r="BI2" s="898"/>
      <c r="BJ2" s="898"/>
      <c r="BK2" s="898"/>
      <c r="BL2" s="898"/>
      <c r="BM2" s="898"/>
      <c r="BN2" s="898"/>
      <c r="BO2" s="896"/>
      <c r="BP2" s="896"/>
      <c r="BQ2" s="896"/>
      <c r="BR2" s="12"/>
      <c r="BS2" s="12"/>
    </row>
    <row r="3" spans="2:71" ht="14.25" customHeight="1" thickBot="1">
      <c r="B3" s="2"/>
      <c r="C3" s="2"/>
      <c r="D3" s="2"/>
      <c r="E3" s="4"/>
      <c r="F3" s="4"/>
      <c r="G3" s="4"/>
      <c r="H3" s="2"/>
      <c r="I3" s="4"/>
      <c r="J3" s="4"/>
      <c r="K3" s="2"/>
      <c r="L3" s="2"/>
      <c r="M3" s="2"/>
      <c r="N3" s="2"/>
      <c r="O3" s="2"/>
      <c r="P3" s="2"/>
      <c r="Q3" s="2"/>
      <c r="R3" s="2"/>
      <c r="S3" s="2"/>
      <c r="T3" s="2"/>
      <c r="U3" s="2"/>
      <c r="V3" s="2"/>
      <c r="W3" s="2"/>
      <c r="X3" s="2"/>
      <c r="Y3" s="2"/>
    </row>
    <row r="4" spans="2:71" ht="32.4" customHeight="1" thickBot="1">
      <c r="B4" s="691" t="s">
        <v>714</v>
      </c>
      <c r="C4" s="692" t="s">
        <v>1057</v>
      </c>
      <c r="D4" s="693">
        <v>2021</v>
      </c>
      <c r="E4" s="746"/>
      <c r="F4" s="746"/>
      <c r="G4" s="746"/>
      <c r="H4" s="747"/>
      <c r="I4" s="694"/>
      <c r="J4" s="694"/>
      <c r="K4" s="694"/>
      <c r="L4" s="694"/>
      <c r="M4" s="694"/>
      <c r="N4" s="694"/>
      <c r="O4" s="694"/>
      <c r="P4" s="694"/>
      <c r="Q4" s="694"/>
      <c r="R4" s="694"/>
      <c r="S4" s="694"/>
      <c r="T4" s="694"/>
      <c r="U4" s="694"/>
      <c r="V4" s="694"/>
      <c r="W4" s="694"/>
      <c r="X4" s="694"/>
      <c r="Y4" s="694"/>
      <c r="Z4" s="694"/>
      <c r="AA4" s="694"/>
      <c r="AB4" s="694"/>
      <c r="AC4" s="694"/>
      <c r="AD4" s="694"/>
      <c r="AE4" s="694"/>
      <c r="AF4" s="694"/>
      <c r="AG4" s="694"/>
      <c r="AH4" s="694"/>
      <c r="AI4" s="694"/>
      <c r="AJ4" s="694"/>
      <c r="AK4" s="694"/>
      <c r="AL4" s="694"/>
      <c r="AM4" s="694"/>
      <c r="AN4" s="694"/>
      <c r="AO4" s="694"/>
      <c r="AP4" s="694"/>
      <c r="AQ4" s="694"/>
      <c r="AR4" s="694"/>
      <c r="AS4" s="694"/>
      <c r="AT4" s="694"/>
      <c r="AU4" s="694"/>
      <c r="AV4" s="694"/>
      <c r="AW4" s="694"/>
      <c r="AX4" s="694"/>
      <c r="AY4" s="694"/>
      <c r="AZ4" s="694"/>
      <c r="BA4" s="694"/>
      <c r="BB4" s="694"/>
      <c r="BC4" s="694"/>
      <c r="BD4" s="694"/>
      <c r="BE4" s="694"/>
      <c r="BF4" s="694"/>
      <c r="BG4" s="694"/>
      <c r="BH4" s="694"/>
      <c r="BI4" s="694"/>
      <c r="BJ4" s="694"/>
      <c r="BK4" s="694"/>
      <c r="BL4" s="694"/>
      <c r="BM4" s="694"/>
      <c r="BN4" s="694"/>
      <c r="BO4" s="694"/>
      <c r="BP4" s="694"/>
      <c r="BQ4" s="694"/>
    </row>
    <row r="5" spans="2:71" ht="14.25" customHeight="1">
      <c r="B5" s="2"/>
      <c r="C5" s="2"/>
      <c r="D5" s="2"/>
      <c r="E5" s="4"/>
      <c r="F5" s="4"/>
      <c r="G5" s="4"/>
      <c r="H5" s="2"/>
      <c r="I5" s="4"/>
      <c r="J5" s="4"/>
      <c r="K5" s="2"/>
      <c r="L5" s="2"/>
      <c r="M5" s="2"/>
      <c r="N5" s="2"/>
      <c r="O5" s="2"/>
      <c r="P5" s="2"/>
      <c r="Q5" s="2"/>
      <c r="R5" s="2"/>
      <c r="S5" s="2"/>
      <c r="T5" s="2"/>
      <c r="U5" s="2"/>
      <c r="V5" s="2"/>
      <c r="W5" s="2"/>
      <c r="X5" s="2"/>
      <c r="Y5" s="2"/>
      <c r="Z5" s="695"/>
      <c r="AA5" s="695"/>
      <c r="AB5" s="695"/>
      <c r="AC5" s="695"/>
      <c r="AD5" s="695"/>
      <c r="AE5" s="695"/>
      <c r="AF5" s="695"/>
      <c r="AG5" s="695"/>
      <c r="AH5" s="695"/>
      <c r="AI5" s="695"/>
      <c r="AJ5" s="695"/>
      <c r="AK5" s="695"/>
      <c r="AL5" s="695"/>
      <c r="AM5" s="695"/>
      <c r="AN5" s="695"/>
      <c r="AO5" s="695"/>
      <c r="AP5" s="695"/>
      <c r="AQ5" s="695"/>
      <c r="AR5" s="695"/>
      <c r="AS5" s="695"/>
      <c r="AT5" s="695"/>
      <c r="AU5" s="695"/>
      <c r="AV5" s="695"/>
      <c r="AW5" s="695"/>
      <c r="AX5" s="695"/>
      <c r="AY5" s="695"/>
      <c r="AZ5" s="695"/>
      <c r="BA5" s="695"/>
      <c r="BB5" s="695"/>
      <c r="BC5" s="695"/>
      <c r="BD5" s="695"/>
      <c r="BE5" s="695"/>
      <c r="BF5" s="695"/>
      <c r="BG5" s="695"/>
      <c r="BH5" s="695"/>
      <c r="BI5" s="695"/>
      <c r="BJ5" s="695"/>
      <c r="BK5" s="695"/>
      <c r="BL5" s="695"/>
      <c r="BM5" s="695"/>
      <c r="BN5" s="12"/>
      <c r="BO5" s="12"/>
      <c r="BP5" s="12"/>
      <c r="BQ5" s="12"/>
    </row>
    <row r="6" spans="2:71" ht="52.2" customHeight="1">
      <c r="B6" s="1302" t="s">
        <v>0</v>
      </c>
      <c r="C6" s="1302" t="s">
        <v>52</v>
      </c>
      <c r="D6" s="1308" t="s">
        <v>936</v>
      </c>
      <c r="E6" s="1309" t="s">
        <v>937</v>
      </c>
      <c r="F6" s="1312" t="s">
        <v>938</v>
      </c>
      <c r="G6" s="1313" t="s">
        <v>939</v>
      </c>
      <c r="H6" s="1302" t="s">
        <v>54</v>
      </c>
      <c r="I6" s="1316" t="s">
        <v>55</v>
      </c>
      <c r="J6" s="1302" t="s">
        <v>56</v>
      </c>
      <c r="K6" s="1302" t="s">
        <v>41</v>
      </c>
      <c r="L6" s="1302" t="s">
        <v>42</v>
      </c>
      <c r="M6" s="1319" t="s">
        <v>75</v>
      </c>
      <c r="N6" s="1319"/>
      <c r="O6" s="1319"/>
      <c r="P6" s="1319"/>
      <c r="Q6" s="1320">
        <v>2021</v>
      </c>
      <c r="R6" s="1321"/>
      <c r="S6" s="1321"/>
      <c r="T6" s="1321"/>
      <c r="U6" s="1321"/>
      <c r="V6" s="1321"/>
      <c r="W6" s="1321"/>
      <c r="X6" s="1321"/>
      <c r="Y6" s="1321"/>
      <c r="Z6" s="1321"/>
      <c r="AA6" s="1322"/>
      <c r="AB6" s="1303">
        <v>2022</v>
      </c>
      <c r="AC6" s="1304"/>
      <c r="AD6" s="1304"/>
      <c r="AE6" s="1304"/>
      <c r="AF6" s="1304"/>
      <c r="AG6" s="1304"/>
      <c r="AH6" s="1304"/>
      <c r="AI6" s="1304"/>
      <c r="AJ6" s="1304"/>
      <c r="AK6" s="1304"/>
      <c r="AL6" s="1305"/>
      <c r="AM6" s="1320">
        <v>2023</v>
      </c>
      <c r="AN6" s="1321"/>
      <c r="AO6" s="1321"/>
      <c r="AP6" s="1321"/>
      <c r="AQ6" s="1321"/>
      <c r="AR6" s="1321"/>
      <c r="AS6" s="1321"/>
      <c r="AT6" s="1321"/>
      <c r="AU6" s="1321"/>
      <c r="AV6" s="1321"/>
      <c r="AW6" s="1322"/>
      <c r="AX6" s="1303">
        <v>2024</v>
      </c>
      <c r="AY6" s="1304"/>
      <c r="AZ6" s="1304"/>
      <c r="BA6" s="1304"/>
      <c r="BB6" s="1304"/>
      <c r="BC6" s="1304"/>
      <c r="BD6" s="1304"/>
      <c r="BE6" s="1304"/>
      <c r="BF6" s="1304"/>
      <c r="BG6" s="1304"/>
      <c r="BH6" s="1305"/>
      <c r="BI6" s="1330" t="s">
        <v>709</v>
      </c>
      <c r="BJ6" s="1331"/>
      <c r="BK6" s="1331"/>
      <c r="BL6" s="1331"/>
      <c r="BM6" s="1331"/>
      <c r="BN6" s="1331"/>
      <c r="BO6" s="1332"/>
      <c r="BP6" s="828"/>
      <c r="BQ6" s="828"/>
    </row>
    <row r="7" spans="2:71" ht="59.4" customHeight="1">
      <c r="B7" s="1302"/>
      <c r="C7" s="1302"/>
      <c r="D7" s="1308"/>
      <c r="E7" s="1310"/>
      <c r="F7" s="1312"/>
      <c r="G7" s="1314"/>
      <c r="H7" s="1302"/>
      <c r="I7" s="1317"/>
      <c r="J7" s="1302"/>
      <c r="K7" s="1302"/>
      <c r="L7" s="1302"/>
      <c r="M7" s="673" t="s">
        <v>59</v>
      </c>
      <c r="N7" s="673" t="s">
        <v>59</v>
      </c>
      <c r="O7" s="673" t="s">
        <v>59</v>
      </c>
      <c r="P7" s="673" t="s">
        <v>59</v>
      </c>
      <c r="Q7" s="1298" t="s">
        <v>21</v>
      </c>
      <c r="R7" s="1299"/>
      <c r="S7" s="1298" t="s">
        <v>22</v>
      </c>
      <c r="T7" s="1299"/>
      <c r="U7" s="1298" t="s">
        <v>23</v>
      </c>
      <c r="V7" s="1299"/>
      <c r="W7" s="1298" t="s">
        <v>24</v>
      </c>
      <c r="X7" s="1299"/>
      <c r="Y7" s="1300" t="s">
        <v>712</v>
      </c>
      <c r="Z7" s="1300" t="s">
        <v>707</v>
      </c>
      <c r="AA7" s="1306" t="s">
        <v>935</v>
      </c>
      <c r="AB7" s="1292" t="s">
        <v>21</v>
      </c>
      <c r="AC7" s="1293"/>
      <c r="AD7" s="1292" t="s">
        <v>22</v>
      </c>
      <c r="AE7" s="1293"/>
      <c r="AF7" s="1292" t="s">
        <v>23</v>
      </c>
      <c r="AG7" s="1293"/>
      <c r="AH7" s="1292" t="s">
        <v>24</v>
      </c>
      <c r="AI7" s="1293"/>
      <c r="AJ7" s="1294" t="s">
        <v>712</v>
      </c>
      <c r="AK7" s="1294" t="s">
        <v>707</v>
      </c>
      <c r="AL7" s="1294" t="s">
        <v>940</v>
      </c>
      <c r="AM7" s="1298" t="s">
        <v>21</v>
      </c>
      <c r="AN7" s="1299"/>
      <c r="AO7" s="1298" t="s">
        <v>22</v>
      </c>
      <c r="AP7" s="1299"/>
      <c r="AQ7" s="1298" t="s">
        <v>23</v>
      </c>
      <c r="AR7" s="1299"/>
      <c r="AS7" s="1298" t="s">
        <v>24</v>
      </c>
      <c r="AT7" s="1299"/>
      <c r="AU7" s="1300" t="s">
        <v>712</v>
      </c>
      <c r="AV7" s="1300" t="s">
        <v>707</v>
      </c>
      <c r="AW7" s="1300" t="s">
        <v>940</v>
      </c>
      <c r="AX7" s="1292" t="s">
        <v>21</v>
      </c>
      <c r="AY7" s="1293"/>
      <c r="AZ7" s="1292" t="s">
        <v>22</v>
      </c>
      <c r="BA7" s="1293"/>
      <c r="BB7" s="1292" t="s">
        <v>23</v>
      </c>
      <c r="BC7" s="1293"/>
      <c r="BD7" s="1292" t="s">
        <v>24</v>
      </c>
      <c r="BE7" s="1293"/>
      <c r="BF7" s="1294" t="s">
        <v>712</v>
      </c>
      <c r="BG7" s="1294" t="s">
        <v>707</v>
      </c>
      <c r="BH7" s="1294" t="s">
        <v>940</v>
      </c>
      <c r="BI7" s="1334" t="s">
        <v>981</v>
      </c>
      <c r="BJ7" s="1335"/>
      <c r="BK7" s="814">
        <v>44561</v>
      </c>
      <c r="BL7" s="1296" t="s">
        <v>994</v>
      </c>
      <c r="BM7" s="1296" t="s">
        <v>708</v>
      </c>
      <c r="BN7" s="1296" t="s">
        <v>941</v>
      </c>
      <c r="BO7" s="1329" t="s">
        <v>995</v>
      </c>
      <c r="BP7" s="829"/>
      <c r="BQ7" s="829"/>
    </row>
    <row r="8" spans="2:71" ht="38.4" customHeight="1">
      <c r="B8" s="1302"/>
      <c r="C8" s="1302"/>
      <c r="D8" s="1308"/>
      <c r="E8" s="1311"/>
      <c r="F8" s="1312"/>
      <c r="G8" s="1315"/>
      <c r="H8" s="1302"/>
      <c r="I8" s="1318"/>
      <c r="J8" s="1302"/>
      <c r="K8" s="1302"/>
      <c r="L8" s="1302"/>
      <c r="M8" s="672">
        <v>2021</v>
      </c>
      <c r="N8" s="672">
        <v>2022</v>
      </c>
      <c r="O8" s="672">
        <v>2023</v>
      </c>
      <c r="P8" s="672">
        <v>2024</v>
      </c>
      <c r="Q8" s="670" t="s">
        <v>704</v>
      </c>
      <c r="R8" s="670" t="s">
        <v>705</v>
      </c>
      <c r="S8" s="670" t="s">
        <v>704</v>
      </c>
      <c r="T8" s="670" t="s">
        <v>705</v>
      </c>
      <c r="U8" s="670" t="s">
        <v>704</v>
      </c>
      <c r="V8" s="670" t="s">
        <v>705</v>
      </c>
      <c r="W8" s="670" t="s">
        <v>704</v>
      </c>
      <c r="X8" s="670" t="s">
        <v>705</v>
      </c>
      <c r="Y8" s="1301"/>
      <c r="Z8" s="1301"/>
      <c r="AA8" s="1307"/>
      <c r="AB8" s="696" t="s">
        <v>704</v>
      </c>
      <c r="AC8" s="696" t="s">
        <v>705</v>
      </c>
      <c r="AD8" s="696" t="s">
        <v>704</v>
      </c>
      <c r="AE8" s="696" t="s">
        <v>705</v>
      </c>
      <c r="AF8" s="696" t="s">
        <v>704</v>
      </c>
      <c r="AG8" s="696" t="s">
        <v>705</v>
      </c>
      <c r="AH8" s="696" t="s">
        <v>704</v>
      </c>
      <c r="AI8" s="696" t="s">
        <v>705</v>
      </c>
      <c r="AJ8" s="1295"/>
      <c r="AK8" s="1295"/>
      <c r="AL8" s="1295"/>
      <c r="AM8" s="670" t="s">
        <v>704</v>
      </c>
      <c r="AN8" s="670" t="s">
        <v>705</v>
      </c>
      <c r="AO8" s="670" t="s">
        <v>704</v>
      </c>
      <c r="AP8" s="670" t="s">
        <v>705</v>
      </c>
      <c r="AQ8" s="670" t="s">
        <v>704</v>
      </c>
      <c r="AR8" s="670" t="s">
        <v>705</v>
      </c>
      <c r="AS8" s="670" t="s">
        <v>704</v>
      </c>
      <c r="AT8" s="670" t="s">
        <v>705</v>
      </c>
      <c r="AU8" s="1301"/>
      <c r="AV8" s="1301"/>
      <c r="AW8" s="1301"/>
      <c r="AX8" s="696" t="s">
        <v>704</v>
      </c>
      <c r="AY8" s="696" t="s">
        <v>705</v>
      </c>
      <c r="AZ8" s="696" t="s">
        <v>704</v>
      </c>
      <c r="BA8" s="696" t="s">
        <v>705</v>
      </c>
      <c r="BB8" s="696" t="s">
        <v>704</v>
      </c>
      <c r="BC8" s="696" t="s">
        <v>705</v>
      </c>
      <c r="BD8" s="696" t="s">
        <v>704</v>
      </c>
      <c r="BE8" s="696" t="s">
        <v>705</v>
      </c>
      <c r="BF8" s="1295"/>
      <c r="BG8" s="1295"/>
      <c r="BH8" s="1295"/>
      <c r="BI8" s="851" t="s">
        <v>17</v>
      </c>
      <c r="BJ8" s="851" t="s">
        <v>18</v>
      </c>
      <c r="BK8" s="852" t="s">
        <v>982</v>
      </c>
      <c r="BL8" s="1297"/>
      <c r="BM8" s="1297"/>
      <c r="BN8" s="1297"/>
      <c r="BO8" s="1329"/>
      <c r="BP8" s="829"/>
      <c r="BQ8" s="829"/>
    </row>
    <row r="9" spans="2:71" ht="103.5" customHeight="1">
      <c r="B9" s="1165" t="str">
        <f>+'Matriz PEI 2021-2024'!B10</f>
        <v>1. Promover la defensa y protección de los derechos de las personas en el Distrito Capital con énfasis en los sujetos de especial protección constitucional, en particular de las personas mayores y mujeres y la población migrante a través de acciones que propendan por su garantía.</v>
      </c>
      <c r="C9" s="1232" t="str">
        <f>+'Matriz PEI 2021-2024'!C10</f>
        <v>1.1. Realizar 884.203 acciones que promuevan la defensa, garantía y restablecimiento de los derechos de las personas en el Distrito Capital.</v>
      </c>
      <c r="D9" s="1247">
        <f>+'Matriz PEI 2021-2024'!E10</f>
        <v>879078</v>
      </c>
      <c r="E9" s="1238">
        <f>+'Matriz PEI 2021-2024'!D10</f>
        <v>0.7</v>
      </c>
      <c r="F9" s="1260" t="s">
        <v>990</v>
      </c>
      <c r="G9" s="1260" t="s">
        <v>992</v>
      </c>
      <c r="H9" s="51" t="str">
        <f>+'1.Informe Seguimiento POA 2022'!D13</f>
        <v>1.1.1 Realizar 356.610 intervenciones dentro del ejercicio del Ministerio Público para prevenir la vulneración de derechos y/o lograr el  restablecimiento de los mismos.</v>
      </c>
      <c r="I9" s="782">
        <f>+'1.Informe Seguimiento POA 2022'!E13</f>
        <v>0.38</v>
      </c>
      <c r="J9" s="714">
        <f>+'1.Informe Seguimiento POA 2022'!F13</f>
        <v>356610</v>
      </c>
      <c r="K9" s="787" t="str">
        <f>+'1.Informe Seguimiento POA 2022'!I13</f>
        <v>Promoción y Defensa de Derechos</v>
      </c>
      <c r="L9" s="787" t="str">
        <f>+'1.Informe Seguimiento POA 2022'!J13</f>
        <v>P.D. para Asuntos Penales I, Penales II, Derechos Humanos y Policivos y Civiles
P.D. para los Sectores Planeación y Movilidad y la P.D. para los Sectores Educación y Cultura, Recreación y Deporte</v>
      </c>
      <c r="M9" s="698">
        <f>+'1.Informe Seguimiento POA 2022'!K13</f>
        <v>102450</v>
      </c>
      <c r="N9" s="698">
        <f>+'1.Informe Seguimiento POA 2022'!L13</f>
        <v>106660</v>
      </c>
      <c r="O9" s="698">
        <f>+'1.Informe Seguimiento POA 2022'!M13</f>
        <v>98250</v>
      </c>
      <c r="P9" s="698">
        <f>+'1.Informe Seguimiento POA 2022'!N13</f>
        <v>49250</v>
      </c>
      <c r="Q9" s="699">
        <v>22050</v>
      </c>
      <c r="R9" s="699">
        <v>29988</v>
      </c>
      <c r="S9" s="699">
        <v>27075</v>
      </c>
      <c r="T9" s="699">
        <v>30354</v>
      </c>
      <c r="U9" s="699">
        <v>28635</v>
      </c>
      <c r="V9" s="699">
        <v>36860</v>
      </c>
      <c r="W9" s="699">
        <v>24690</v>
      </c>
      <c r="X9" s="699">
        <v>30952</v>
      </c>
      <c r="Y9" s="699">
        <v>102450</v>
      </c>
      <c r="Z9" s="699">
        <v>128154</v>
      </c>
      <c r="AA9" s="1097">
        <v>1.2508931185944363</v>
      </c>
      <c r="AB9" s="699">
        <f>+'1.Informe Seguimiento POA 2022'!O13</f>
        <v>25305</v>
      </c>
      <c r="AC9" s="699">
        <f>+'1.Informe Seguimiento POA 2022'!P13</f>
        <v>29145</v>
      </c>
      <c r="AD9" s="699">
        <f>+'1.Informe Seguimiento POA 2022'!Q13</f>
        <v>28020</v>
      </c>
      <c r="AE9" s="699">
        <f>+'1.Informe Seguimiento POA 2022'!R13</f>
        <v>0</v>
      </c>
      <c r="AF9" s="699">
        <f>+'1.Informe Seguimiento POA 2022'!S13</f>
        <v>28020</v>
      </c>
      <c r="AG9" s="699">
        <f>+'1.Informe Seguimiento POA 2022'!T13</f>
        <v>0</v>
      </c>
      <c r="AH9" s="699">
        <f>+'1.Informe Seguimiento POA 2022'!U13</f>
        <v>25315</v>
      </c>
      <c r="AI9" s="699">
        <f>+'1.Informe Seguimiento POA 2022'!V13</f>
        <v>0</v>
      </c>
      <c r="AJ9" s="699">
        <f>+'1.Informe Seguimiento POA 2022'!W13</f>
        <v>106660</v>
      </c>
      <c r="AK9" s="699">
        <f>+'1.Informe Seguimiento POA 2022'!X13</f>
        <v>29145</v>
      </c>
      <c r="AL9" s="790">
        <f>+'1.Informe Seguimiento POA 2022'!Y13</f>
        <v>0.273251453215826</v>
      </c>
      <c r="AM9" s="700"/>
      <c r="AN9" s="700"/>
      <c r="AO9" s="700"/>
      <c r="AP9" s="700"/>
      <c r="AQ9" s="700"/>
      <c r="AR9" s="700"/>
      <c r="AS9" s="700"/>
      <c r="AT9" s="700"/>
      <c r="AU9" s="699">
        <f>+O9</f>
        <v>98250</v>
      </c>
      <c r="AV9" s="699"/>
      <c r="AW9" s="700"/>
      <c r="AX9" s="700"/>
      <c r="AY9" s="700"/>
      <c r="AZ9" s="700"/>
      <c r="BA9" s="700"/>
      <c r="BB9" s="700"/>
      <c r="BC9" s="700"/>
      <c r="BD9" s="700"/>
      <c r="BE9" s="700"/>
      <c r="BF9" s="699">
        <f>+P9</f>
        <v>49250</v>
      </c>
      <c r="BG9" s="699"/>
      <c r="BH9" s="700"/>
      <c r="BI9" s="800">
        <f t="shared" ref="BI9:BI18" si="0">+AB9+AD9+AF9+AH9</f>
        <v>106660</v>
      </c>
      <c r="BJ9" s="800">
        <f t="shared" ref="BJ9:BJ18" si="1">+AC9+AE9+AG9+AI9</f>
        <v>29145</v>
      </c>
      <c r="BK9" s="700">
        <f>IF(AND(BI9&gt;0),BJ9/BI9,"No programado")</f>
        <v>0.273251453215826</v>
      </c>
      <c r="BL9" s="700">
        <f>IF(AND(BJ9&gt;0,$J9&gt;0),BJ9/$J9,0)</f>
        <v>8.1727938083620763E-2</v>
      </c>
      <c r="BM9" s="701">
        <f t="shared" ref="BM9:BM38" si="2">IF(AND(BL9&gt;0,I9&gt;0),BL9*I9,0)</f>
        <v>3.1056616471775891E-2</v>
      </c>
      <c r="BN9" s="1290">
        <f>SUM(BM9:BM19)</f>
        <v>8.302771187591157E-2</v>
      </c>
      <c r="BO9" s="1206">
        <f>(IF(AND(BN9&gt;0,E9&gt;0),BN9*E9))+(IF(AND(BN20&gt;0,E20&gt;0),BN20*E20))+(IF(AND(BN26&gt;0,E26&gt;0),BN26*E26))</f>
        <v>7.4921202643780424E-2</v>
      </c>
      <c r="BP9" s="830"/>
      <c r="BQ9" s="830"/>
    </row>
    <row r="10" spans="2:71" ht="133.19999999999999" customHeight="1">
      <c r="B10" s="1166"/>
      <c r="C10" s="1233"/>
      <c r="D10" s="1255"/>
      <c r="E10" s="1239"/>
      <c r="F10" s="1260"/>
      <c r="G10" s="1260"/>
      <c r="H10" s="51" t="str">
        <f>+'1.Informe Seguimiento POA 2022'!D14</f>
        <v>1.1.2 Orientar 292.755 personas en garantía de derechos.</v>
      </c>
      <c r="I10" s="782">
        <f>+'1.Informe Seguimiento POA 2022'!E14</f>
        <v>0.3</v>
      </c>
      <c r="J10" s="714">
        <f>+'1.Informe Seguimiento POA 2022'!F14</f>
        <v>292755</v>
      </c>
      <c r="K10" s="787" t="str">
        <f>+'1.Informe Seguimiento POA 2022'!I14</f>
        <v>Promoción y Defensa de Derechos</v>
      </c>
      <c r="L10" s="787" t="str">
        <f>+'1.Informe Seguimiento POA 2022'!J14</f>
        <v>P.D. para la Coordinación del MP y DDHH y sus dependencias adscritas
P.D. para la Coordinación de la Gestión de Personerías Locales y sus Personerías Locales adscritas
P.D. para la Coordinación de la Prevención y Control a la Función Pública y sus dependencias adscritas</v>
      </c>
      <c r="M10" s="698">
        <f>+'1.Informe Seguimiento POA 2022'!K14</f>
        <v>78750</v>
      </c>
      <c r="N10" s="698">
        <f>+'1.Informe Seguimiento POA 2022'!L14</f>
        <v>97105</v>
      </c>
      <c r="O10" s="698">
        <f>+'1.Informe Seguimiento POA 2022'!M14</f>
        <v>76600</v>
      </c>
      <c r="P10" s="698">
        <f>+'1.Informe Seguimiento POA 2022'!N14</f>
        <v>40300</v>
      </c>
      <c r="Q10" s="699">
        <v>17420</v>
      </c>
      <c r="R10" s="699">
        <v>17308</v>
      </c>
      <c r="S10" s="699">
        <v>19380</v>
      </c>
      <c r="T10" s="699">
        <v>18431</v>
      </c>
      <c r="U10" s="699">
        <v>20444</v>
      </c>
      <c r="V10" s="699">
        <v>28295</v>
      </c>
      <c r="W10" s="699">
        <v>21506</v>
      </c>
      <c r="X10" s="699">
        <v>32130</v>
      </c>
      <c r="Y10" s="699">
        <v>78750</v>
      </c>
      <c r="Z10" s="699">
        <v>96164</v>
      </c>
      <c r="AA10" s="1097">
        <v>1.2211301587301586</v>
      </c>
      <c r="AB10" s="699">
        <f>+'1.Informe Seguimiento POA 2022'!O14</f>
        <v>21621</v>
      </c>
      <c r="AC10" s="699">
        <f>+'1.Informe Seguimiento POA 2022'!P14</f>
        <v>26507</v>
      </c>
      <c r="AD10" s="699">
        <f>+'1.Informe Seguimiento POA 2022'!Q14</f>
        <v>25997</v>
      </c>
      <c r="AE10" s="699">
        <f>+'1.Informe Seguimiento POA 2022'!R14</f>
        <v>0</v>
      </c>
      <c r="AF10" s="699">
        <f>+'1.Informe Seguimiento POA 2022'!S14</f>
        <v>26645</v>
      </c>
      <c r="AG10" s="699">
        <f>+'1.Informe Seguimiento POA 2022'!T14</f>
        <v>0</v>
      </c>
      <c r="AH10" s="699">
        <f>+'1.Informe Seguimiento POA 2022'!U14</f>
        <v>22842</v>
      </c>
      <c r="AI10" s="699">
        <f>+'1.Informe Seguimiento POA 2022'!V14</f>
        <v>0</v>
      </c>
      <c r="AJ10" s="699">
        <f>+'1.Informe Seguimiento POA 2022'!W14</f>
        <v>97105</v>
      </c>
      <c r="AK10" s="699">
        <f>+'1.Informe Seguimiento POA 2022'!X14</f>
        <v>26507</v>
      </c>
      <c r="AL10" s="790">
        <f>+'1.Informe Seguimiento POA 2022'!Y14</f>
        <v>0.27297255548118016</v>
      </c>
      <c r="AM10" s="700"/>
      <c r="AN10" s="700"/>
      <c r="AO10" s="700"/>
      <c r="AP10" s="700"/>
      <c r="AQ10" s="700"/>
      <c r="AR10" s="700"/>
      <c r="AS10" s="700"/>
      <c r="AT10" s="700"/>
      <c r="AU10" s="699">
        <f t="shared" ref="AU10:AU28" si="3">+O10</f>
        <v>76600</v>
      </c>
      <c r="AV10" s="699"/>
      <c r="AW10" s="700"/>
      <c r="AX10" s="700"/>
      <c r="AY10" s="700"/>
      <c r="AZ10" s="700"/>
      <c r="BA10" s="700"/>
      <c r="BB10" s="700"/>
      <c r="BC10" s="700"/>
      <c r="BD10" s="700"/>
      <c r="BE10" s="700"/>
      <c r="BF10" s="699">
        <f t="shared" ref="BF10:BF28" si="4">+P10</f>
        <v>40300</v>
      </c>
      <c r="BG10" s="699"/>
      <c r="BH10" s="700"/>
      <c r="BI10" s="800">
        <f t="shared" si="0"/>
        <v>97105</v>
      </c>
      <c r="BJ10" s="800">
        <f t="shared" si="1"/>
        <v>26507</v>
      </c>
      <c r="BK10" s="700">
        <f t="shared" ref="BK10:BK26" si="5">IF(AND(BI10&gt;0),BJ10/BI10,"No programado")</f>
        <v>0.27297255548118016</v>
      </c>
      <c r="BL10" s="700">
        <f t="shared" ref="BL10:BL56" si="6">IF(AND(BJ10&gt;0,$J10&gt;0),BJ10/$J10,0)</f>
        <v>9.0543287048897539E-2</v>
      </c>
      <c r="BM10" s="701">
        <f t="shared" si="2"/>
        <v>2.716298611466926E-2</v>
      </c>
      <c r="BN10" s="1159"/>
      <c r="BO10" s="1206"/>
      <c r="BP10" s="830"/>
      <c r="BQ10" s="830"/>
    </row>
    <row r="11" spans="2:71" ht="185.25" customHeight="1">
      <c r="B11" s="1166"/>
      <c r="C11" s="1233"/>
      <c r="D11" s="1255"/>
      <c r="E11" s="1239"/>
      <c r="F11" s="1260"/>
      <c r="G11" s="1260"/>
      <c r="H11" s="51" t="str">
        <f>+'1.Informe Seguimiento POA 2022'!D15</f>
        <v>1.1.3 Asistir 117.610 personas en garantía de derechos.</v>
      </c>
      <c r="I11" s="782">
        <f>+'1.Informe Seguimiento POA 2022'!E15</f>
        <v>0.15</v>
      </c>
      <c r="J11" s="714">
        <f>+'1.Informe Seguimiento POA 2022'!F15</f>
        <v>117610</v>
      </c>
      <c r="K11" s="787" t="str">
        <f>+'1.Informe Seguimiento POA 2022'!I15</f>
        <v>Promoción y Defensa de Derechos</v>
      </c>
      <c r="L11" s="787" t="str">
        <f>+'1.Informe Seguimiento POA 2022'!J15</f>
        <v>P.D. para Asuntos Policivos y Civiles, Derechos Humanos, Familia, Orientación y Asistencia, Consumidor, Asuntos Jurisdiccionales y Dirección de Conciliación y M.A.S.C.
P.D. para la Coordinación de la Gestión de Personerías Locales y sus Personerías Locales adscritas
P.D. para la Coordinación de la Prevención y Control a la Función Pública y sus dependencias adscritas</v>
      </c>
      <c r="M11" s="698">
        <f>+'1.Informe Seguimiento POA 2022'!K15</f>
        <v>28695</v>
      </c>
      <c r="N11" s="698">
        <f>+'1.Informe Seguimiento POA 2022'!L15</f>
        <v>26115</v>
      </c>
      <c r="O11" s="698">
        <f>+'1.Informe Seguimiento POA 2022'!M15</f>
        <v>39200</v>
      </c>
      <c r="P11" s="698">
        <f>+'1.Informe Seguimiento POA 2022'!N15</f>
        <v>23600</v>
      </c>
      <c r="Q11" s="699">
        <v>8750</v>
      </c>
      <c r="R11" s="699">
        <v>4414</v>
      </c>
      <c r="S11" s="699">
        <v>10350</v>
      </c>
      <c r="T11" s="699">
        <v>6018</v>
      </c>
      <c r="U11" s="699">
        <v>6260</v>
      </c>
      <c r="V11" s="699">
        <v>8637</v>
      </c>
      <c r="W11" s="699">
        <v>3335</v>
      </c>
      <c r="X11" s="699">
        <v>11029</v>
      </c>
      <c r="Y11" s="699">
        <v>28695</v>
      </c>
      <c r="Z11" s="699">
        <v>30098</v>
      </c>
      <c r="AA11" s="1097">
        <v>1.0488935354591393</v>
      </c>
      <c r="AB11" s="699">
        <f>+'1.Informe Seguimiento POA 2022'!O15</f>
        <v>6670</v>
      </c>
      <c r="AC11" s="699">
        <f>+'1.Informe Seguimiento POA 2022'!P15</f>
        <v>9518</v>
      </c>
      <c r="AD11" s="699">
        <f>+'1.Informe Seguimiento POA 2022'!Q15</f>
        <v>8165</v>
      </c>
      <c r="AE11" s="699">
        <f>+'1.Informe Seguimiento POA 2022'!R15</f>
        <v>0</v>
      </c>
      <c r="AF11" s="699">
        <f>+'1.Informe Seguimiento POA 2022'!S15</f>
        <v>6765</v>
      </c>
      <c r="AG11" s="699">
        <f>+'1.Informe Seguimiento POA 2022'!T15</f>
        <v>0</v>
      </c>
      <c r="AH11" s="699">
        <f>+'1.Informe Seguimiento POA 2022'!U15</f>
        <v>4515</v>
      </c>
      <c r="AI11" s="699">
        <f>+'1.Informe Seguimiento POA 2022'!V15</f>
        <v>0</v>
      </c>
      <c r="AJ11" s="699">
        <f>+'1.Informe Seguimiento POA 2022'!W15</f>
        <v>26115</v>
      </c>
      <c r="AK11" s="699">
        <f>+'1.Informe Seguimiento POA 2022'!X15</f>
        <v>9518</v>
      </c>
      <c r="AL11" s="790">
        <f>+'1.Informe Seguimiento POA 2022'!Y15</f>
        <v>0.36446486693471186</v>
      </c>
      <c r="AM11" s="700"/>
      <c r="AN11" s="700"/>
      <c r="AO11" s="700"/>
      <c r="AP11" s="700"/>
      <c r="AQ11" s="700"/>
      <c r="AR11" s="700"/>
      <c r="AS11" s="700"/>
      <c r="AT11" s="700"/>
      <c r="AU11" s="699">
        <f t="shared" si="3"/>
        <v>39200</v>
      </c>
      <c r="AV11" s="699"/>
      <c r="AW11" s="700"/>
      <c r="AX11" s="700"/>
      <c r="AY11" s="700"/>
      <c r="AZ11" s="700"/>
      <c r="BA11" s="700"/>
      <c r="BB11" s="700"/>
      <c r="BC11" s="700"/>
      <c r="BD11" s="700"/>
      <c r="BE11" s="700"/>
      <c r="BF11" s="699">
        <f t="shared" si="4"/>
        <v>23600</v>
      </c>
      <c r="BG11" s="699"/>
      <c r="BH11" s="700"/>
      <c r="BI11" s="800">
        <f t="shared" si="0"/>
        <v>26115</v>
      </c>
      <c r="BJ11" s="800">
        <f t="shared" si="1"/>
        <v>9518</v>
      </c>
      <c r="BK11" s="700">
        <f t="shared" si="5"/>
        <v>0.36446486693471186</v>
      </c>
      <c r="BL11" s="700">
        <f t="shared" si="6"/>
        <v>8.0928492475129662E-2</v>
      </c>
      <c r="BM11" s="701">
        <f t="shared" si="2"/>
        <v>1.213927387126945E-2</v>
      </c>
      <c r="BN11" s="1159"/>
      <c r="BO11" s="1206"/>
      <c r="BP11" s="830"/>
      <c r="BQ11" s="830"/>
    </row>
    <row r="12" spans="2:71" ht="94.95" customHeight="1">
      <c r="B12" s="1166"/>
      <c r="C12" s="1233"/>
      <c r="D12" s="1255"/>
      <c r="E12" s="1239"/>
      <c r="F12" s="1260"/>
      <c r="G12" s="1260"/>
      <c r="H12" s="51" t="str">
        <f>+'1.Informe Seguimiento POA 2022'!D16</f>
        <v>1.1.4 Asistir a 28.586 personas en mecanismos alternativos de solución de conflictos.</v>
      </c>
      <c r="I12" s="782">
        <f>+'1.Informe Seguimiento POA 2022'!E16</f>
        <v>0.04</v>
      </c>
      <c r="J12" s="714">
        <f>+'1.Informe Seguimiento POA 2022'!F16</f>
        <v>28586</v>
      </c>
      <c r="K12" s="787" t="str">
        <f>+'1.Informe Seguimiento POA 2022'!I16</f>
        <v>Promoción y Defensa de Derechos</v>
      </c>
      <c r="L12" s="787" t="str">
        <f>+'1.Informe Seguimiento POA 2022'!J16</f>
        <v>Dirección de Conciliación y M.A.S.C.</v>
      </c>
      <c r="M12" s="698">
        <f>+'1.Informe Seguimiento POA 2022'!K16</f>
        <v>6810</v>
      </c>
      <c r="N12" s="698">
        <f>+'1.Informe Seguimiento POA 2022'!L16</f>
        <v>6900</v>
      </c>
      <c r="O12" s="698">
        <f>+'1.Informe Seguimiento POA 2022'!M16</f>
        <v>10500</v>
      </c>
      <c r="P12" s="698">
        <f>+'1.Informe Seguimiento POA 2022'!N16</f>
        <v>4376</v>
      </c>
      <c r="Q12" s="699">
        <v>2420</v>
      </c>
      <c r="R12" s="699">
        <v>1338</v>
      </c>
      <c r="S12" s="699">
        <v>2730</v>
      </c>
      <c r="T12" s="699">
        <v>1814</v>
      </c>
      <c r="U12" s="699">
        <v>1210</v>
      </c>
      <c r="V12" s="699">
        <v>2484</v>
      </c>
      <c r="W12" s="699">
        <v>450</v>
      </c>
      <c r="X12" s="699">
        <v>3080</v>
      </c>
      <c r="Y12" s="699">
        <v>6810</v>
      </c>
      <c r="Z12" s="699">
        <v>8716</v>
      </c>
      <c r="AA12" s="1097">
        <v>1.2798825256975037</v>
      </c>
      <c r="AB12" s="699">
        <f>+'1.Informe Seguimiento POA 2022'!O16</f>
        <v>900</v>
      </c>
      <c r="AC12" s="699">
        <f>+'1.Informe Seguimiento POA 2022'!P16</f>
        <v>3289</v>
      </c>
      <c r="AD12" s="699">
        <f>+'1.Informe Seguimiento POA 2022'!Q16</f>
        <v>1500</v>
      </c>
      <c r="AE12" s="699">
        <f>+'1.Informe Seguimiento POA 2022'!R16</f>
        <v>0</v>
      </c>
      <c r="AF12" s="699">
        <f>+'1.Informe Seguimiento POA 2022'!S16</f>
        <v>2100</v>
      </c>
      <c r="AG12" s="699">
        <f>+'1.Informe Seguimiento POA 2022'!T16</f>
        <v>0</v>
      </c>
      <c r="AH12" s="699">
        <f>+'1.Informe Seguimiento POA 2022'!U16</f>
        <v>2400</v>
      </c>
      <c r="AI12" s="699">
        <f>+'1.Informe Seguimiento POA 2022'!V16</f>
        <v>0</v>
      </c>
      <c r="AJ12" s="699">
        <f>+'1.Informe Seguimiento POA 2022'!W16</f>
        <v>6900</v>
      </c>
      <c r="AK12" s="699">
        <f>+'1.Informe Seguimiento POA 2022'!X16</f>
        <v>3289</v>
      </c>
      <c r="AL12" s="790">
        <f>+'1.Informe Seguimiento POA 2022'!Y16</f>
        <v>0.47666666666666668</v>
      </c>
      <c r="AM12" s="700"/>
      <c r="AN12" s="700"/>
      <c r="AO12" s="700"/>
      <c r="AP12" s="700"/>
      <c r="AQ12" s="700"/>
      <c r="AR12" s="700"/>
      <c r="AS12" s="700"/>
      <c r="AT12" s="700"/>
      <c r="AU12" s="699">
        <f t="shared" si="3"/>
        <v>10500</v>
      </c>
      <c r="AV12" s="699"/>
      <c r="AW12" s="700"/>
      <c r="AX12" s="700"/>
      <c r="AY12" s="700"/>
      <c r="AZ12" s="700"/>
      <c r="BA12" s="700"/>
      <c r="BB12" s="700"/>
      <c r="BC12" s="700"/>
      <c r="BD12" s="700"/>
      <c r="BE12" s="700"/>
      <c r="BF12" s="699">
        <f t="shared" si="4"/>
        <v>4376</v>
      </c>
      <c r="BG12" s="699"/>
      <c r="BH12" s="700"/>
      <c r="BI12" s="800">
        <f t="shared" si="0"/>
        <v>6900</v>
      </c>
      <c r="BJ12" s="800">
        <f t="shared" si="1"/>
        <v>3289</v>
      </c>
      <c r="BK12" s="700">
        <f t="shared" si="5"/>
        <v>0.47666666666666668</v>
      </c>
      <c r="BL12" s="700">
        <f t="shared" si="6"/>
        <v>0.11505632127614916</v>
      </c>
      <c r="BM12" s="701">
        <f t="shared" si="2"/>
        <v>4.6022528510459666E-3</v>
      </c>
      <c r="BN12" s="1159"/>
      <c r="BO12" s="1206"/>
      <c r="BP12" s="830"/>
      <c r="BQ12" s="830"/>
    </row>
    <row r="13" spans="2:71" ht="136.5" customHeight="1">
      <c r="B13" s="1166"/>
      <c r="C13" s="1233"/>
      <c r="D13" s="1255"/>
      <c r="E13" s="1239"/>
      <c r="F13" s="1260"/>
      <c r="G13" s="1260"/>
      <c r="H13" s="51" t="str">
        <f>+'1.Informe Seguimiento POA 2022'!D17</f>
        <v>1.1.5 Atender y gestionar 55.722 peticiones y/o requerimientos presentados por la comunidad en garantía de derechos.</v>
      </c>
      <c r="I13" s="782">
        <f>+'1.Informe Seguimiento POA 2022'!E17</f>
        <v>0.06</v>
      </c>
      <c r="J13" s="714">
        <f>+'1.Informe Seguimiento POA 2022'!F17</f>
        <v>55722</v>
      </c>
      <c r="K13" s="787" t="str">
        <f>+'1.Informe Seguimiento POA 2022'!I17</f>
        <v>Promoción y Defensa de Derechos</v>
      </c>
      <c r="L13" s="787" t="str">
        <f>+'1.Informe Seguimiento POA 2022'!J17</f>
        <v>* P.D. para la Coordinación del MP y DDHH, P.D. para Asuntos Penales I, Penales II, Policivos y Civiles, Derechos Humanos, Familia y Orientación y Asistencia.
* P.D. para la Coordinación de la Gestión de Personerías Locales y sus Personerías Locales adscritas
* P.D. para la Coordinación de la Prevención y Control a la Función Pública y sus dependencias adscritas</v>
      </c>
      <c r="M13" s="698">
        <f>+'1.Informe Seguimiento POA 2022'!K17</f>
        <v>14307</v>
      </c>
      <c r="N13" s="698">
        <f>+'1.Informe Seguimiento POA 2022'!L17</f>
        <v>16115</v>
      </c>
      <c r="O13" s="698">
        <f>+'1.Informe Seguimiento POA 2022'!M17</f>
        <v>21200</v>
      </c>
      <c r="P13" s="698">
        <f>+'1.Informe Seguimiento POA 2022'!N17</f>
        <v>4100</v>
      </c>
      <c r="Q13" s="699">
        <v>3520</v>
      </c>
      <c r="R13" s="699">
        <v>2602</v>
      </c>
      <c r="S13" s="699">
        <v>4530</v>
      </c>
      <c r="T13" s="699">
        <v>4847</v>
      </c>
      <c r="U13" s="699">
        <v>5182</v>
      </c>
      <c r="V13" s="699">
        <v>3793</v>
      </c>
      <c r="W13" s="699">
        <v>1075</v>
      </c>
      <c r="X13" s="699">
        <v>5899</v>
      </c>
      <c r="Y13" s="699">
        <v>14307</v>
      </c>
      <c r="Z13" s="699">
        <v>17141</v>
      </c>
      <c r="AA13" s="1097">
        <v>1.1980848535681834</v>
      </c>
      <c r="AB13" s="699">
        <f>+'1.Informe Seguimiento POA 2022'!O17</f>
        <v>3408</v>
      </c>
      <c r="AC13" s="699">
        <f>+'1.Informe Seguimiento POA 2022'!P17</f>
        <v>5102</v>
      </c>
      <c r="AD13" s="699">
        <f>+'1.Informe Seguimiento POA 2022'!Q17</f>
        <v>4265</v>
      </c>
      <c r="AE13" s="699">
        <f>+'1.Informe Seguimiento POA 2022'!R17</f>
        <v>0</v>
      </c>
      <c r="AF13" s="699">
        <f>+'1.Informe Seguimiento POA 2022'!S17</f>
        <v>4275</v>
      </c>
      <c r="AG13" s="699">
        <f>+'1.Informe Seguimiento POA 2022'!T17</f>
        <v>0</v>
      </c>
      <c r="AH13" s="699">
        <f>+'1.Informe Seguimiento POA 2022'!U17</f>
        <v>4167</v>
      </c>
      <c r="AI13" s="699">
        <f>+'1.Informe Seguimiento POA 2022'!V17</f>
        <v>0</v>
      </c>
      <c r="AJ13" s="699">
        <f>+'1.Informe Seguimiento POA 2022'!W17</f>
        <v>16115</v>
      </c>
      <c r="AK13" s="699">
        <f>+'1.Informe Seguimiento POA 2022'!X17</f>
        <v>5102</v>
      </c>
      <c r="AL13" s="790">
        <f>+'1.Informe Seguimiento POA 2022'!Y17</f>
        <v>0.31659944151411729</v>
      </c>
      <c r="AM13" s="700"/>
      <c r="AN13" s="700"/>
      <c r="AO13" s="700"/>
      <c r="AP13" s="700"/>
      <c r="AQ13" s="700"/>
      <c r="AR13" s="700"/>
      <c r="AS13" s="700"/>
      <c r="AT13" s="700"/>
      <c r="AU13" s="699">
        <f t="shared" si="3"/>
        <v>21200</v>
      </c>
      <c r="AV13" s="699"/>
      <c r="AW13" s="700"/>
      <c r="AX13" s="700"/>
      <c r="AY13" s="700"/>
      <c r="AZ13" s="700"/>
      <c r="BA13" s="700"/>
      <c r="BB13" s="700"/>
      <c r="BC13" s="700"/>
      <c r="BD13" s="700"/>
      <c r="BE13" s="700"/>
      <c r="BF13" s="699">
        <f t="shared" si="4"/>
        <v>4100</v>
      </c>
      <c r="BG13" s="699"/>
      <c r="BH13" s="700"/>
      <c r="BI13" s="800">
        <f t="shared" si="0"/>
        <v>16115</v>
      </c>
      <c r="BJ13" s="800">
        <f t="shared" si="1"/>
        <v>5102</v>
      </c>
      <c r="BK13" s="700">
        <f t="shared" si="5"/>
        <v>0.31659944151411729</v>
      </c>
      <c r="BL13" s="700">
        <f t="shared" si="6"/>
        <v>9.1561681203115461E-2</v>
      </c>
      <c r="BM13" s="701">
        <f t="shared" si="2"/>
        <v>5.4937008721869275E-3</v>
      </c>
      <c r="BN13" s="1159"/>
      <c r="BO13" s="1206"/>
      <c r="BP13" s="830"/>
      <c r="BQ13" s="830"/>
    </row>
    <row r="14" spans="2:71" ht="96" customHeight="1">
      <c r="B14" s="1166"/>
      <c r="C14" s="1233"/>
      <c r="D14" s="1255"/>
      <c r="E14" s="1239"/>
      <c r="F14" s="1260"/>
      <c r="G14" s="1260"/>
      <c r="H14" s="51" t="str">
        <f>+'1.Informe Seguimiento POA 2022'!D18</f>
        <v>1.1.6 Generar 80 espacios de mejora, de transferencia de conocimientos y buenas prácticas que permitan brindar una atención idónea a las personas que acuden a la Personería de Bogotá, D. C</v>
      </c>
      <c r="I14" s="782">
        <f>+'1.Informe Seguimiento POA 2022'!E18</f>
        <v>0.01</v>
      </c>
      <c r="J14" s="714">
        <f>+'1.Informe Seguimiento POA 2022'!F18</f>
        <v>80</v>
      </c>
      <c r="K14" s="787" t="str">
        <f>+'1.Informe Seguimiento POA 2022'!I18</f>
        <v>Promoción y Defensa de Derechos</v>
      </c>
      <c r="L14" s="787" t="str">
        <f>+'1.Informe Seguimiento POA 2022'!J18</f>
        <v>P.D. para la Coordinación del MP y DDHH y sus dependencias adscritas.</v>
      </c>
      <c r="M14" s="698">
        <f>+'1.Informe Seguimiento POA 2022'!K18</f>
        <v>20</v>
      </c>
      <c r="N14" s="698">
        <f>+'1.Informe Seguimiento POA 2022'!L18</f>
        <v>20</v>
      </c>
      <c r="O14" s="698">
        <f>+'1.Informe Seguimiento POA 2022'!M18</f>
        <v>20</v>
      </c>
      <c r="P14" s="698">
        <f>+'1.Informe Seguimiento POA 2022'!N18</f>
        <v>20</v>
      </c>
      <c r="Q14" s="699">
        <v>5</v>
      </c>
      <c r="R14" s="699">
        <v>1</v>
      </c>
      <c r="S14" s="699">
        <v>15</v>
      </c>
      <c r="T14" s="699">
        <v>10</v>
      </c>
      <c r="U14" s="699">
        <v>0</v>
      </c>
      <c r="V14" s="699">
        <v>6</v>
      </c>
      <c r="W14" s="699">
        <v>0</v>
      </c>
      <c r="X14" s="699">
        <v>3</v>
      </c>
      <c r="Y14" s="699">
        <v>20</v>
      </c>
      <c r="Z14" s="699">
        <v>20</v>
      </c>
      <c r="AA14" s="1097">
        <v>1</v>
      </c>
      <c r="AB14" s="699">
        <f>+'1.Informe Seguimiento POA 2022'!O18</f>
        <v>2</v>
      </c>
      <c r="AC14" s="699">
        <f>+'1.Informe Seguimiento POA 2022'!P18</f>
        <v>0</v>
      </c>
      <c r="AD14" s="699">
        <f>+'1.Informe Seguimiento POA 2022'!Q18</f>
        <v>11</v>
      </c>
      <c r="AE14" s="699">
        <f>+'1.Informe Seguimiento POA 2022'!R18</f>
        <v>0</v>
      </c>
      <c r="AF14" s="699">
        <f>+'1.Informe Seguimiento POA 2022'!S18</f>
        <v>6</v>
      </c>
      <c r="AG14" s="699">
        <f>+'1.Informe Seguimiento POA 2022'!T18</f>
        <v>0</v>
      </c>
      <c r="AH14" s="699">
        <f>+'1.Informe Seguimiento POA 2022'!U18</f>
        <v>1</v>
      </c>
      <c r="AI14" s="699">
        <f>+'1.Informe Seguimiento POA 2022'!V18</f>
        <v>0</v>
      </c>
      <c r="AJ14" s="699">
        <f>+'1.Informe Seguimiento POA 2022'!W18</f>
        <v>20</v>
      </c>
      <c r="AK14" s="699">
        <f>+'1.Informe Seguimiento POA 2022'!X18</f>
        <v>0</v>
      </c>
      <c r="AL14" s="790">
        <f>+'1.Informe Seguimiento POA 2022'!Y18</f>
        <v>0</v>
      </c>
      <c r="AM14" s="700"/>
      <c r="AN14" s="700"/>
      <c r="AO14" s="700"/>
      <c r="AP14" s="700"/>
      <c r="AQ14" s="700"/>
      <c r="AR14" s="700"/>
      <c r="AS14" s="700"/>
      <c r="AT14" s="700"/>
      <c r="AU14" s="699">
        <f t="shared" si="3"/>
        <v>20</v>
      </c>
      <c r="AV14" s="699"/>
      <c r="AW14" s="700"/>
      <c r="AX14" s="700"/>
      <c r="AY14" s="700"/>
      <c r="AZ14" s="700"/>
      <c r="BA14" s="700"/>
      <c r="BB14" s="700"/>
      <c r="BC14" s="700"/>
      <c r="BD14" s="700"/>
      <c r="BE14" s="700"/>
      <c r="BF14" s="699">
        <f t="shared" si="4"/>
        <v>20</v>
      </c>
      <c r="BG14" s="699"/>
      <c r="BH14" s="700"/>
      <c r="BI14" s="800">
        <f t="shared" si="0"/>
        <v>20</v>
      </c>
      <c r="BJ14" s="800">
        <f t="shared" si="1"/>
        <v>0</v>
      </c>
      <c r="BK14" s="700">
        <f t="shared" si="5"/>
        <v>0</v>
      </c>
      <c r="BL14" s="700">
        <f t="shared" si="6"/>
        <v>0</v>
      </c>
      <c r="BM14" s="701">
        <f t="shared" si="2"/>
        <v>0</v>
      </c>
      <c r="BN14" s="1159"/>
      <c r="BO14" s="1206"/>
      <c r="BP14" s="830"/>
      <c r="BQ14" s="830"/>
    </row>
    <row r="15" spans="2:71" ht="115.2" customHeight="1">
      <c r="B15" s="1166"/>
      <c r="C15" s="1233"/>
      <c r="D15" s="1255"/>
      <c r="E15" s="1239"/>
      <c r="F15" s="1260"/>
      <c r="G15" s="1260"/>
      <c r="H15" s="51" t="str">
        <f>+'1.Informe Seguimiento POA 2022'!D20</f>
        <v>1.1.8 Asistir a 19.500 audiencias públicas y realizar las actuaciones que se requieran en protección de los derechos y defensa del interés público, en temas de urbanismo, espacio público, actividad económica y de los comportamientos contrarios a la convivencia (Ley 1801 de 2016)</v>
      </c>
      <c r="I15" s="782">
        <f>+'1.Informe Seguimiento POA 2022'!E20</f>
        <v>0.02</v>
      </c>
      <c r="J15" s="697">
        <f>+'1.Informe Seguimiento POA 2022'!F20</f>
        <v>19500</v>
      </c>
      <c r="K15" s="787" t="str">
        <f>+'1.Informe Seguimiento POA 2022'!I20</f>
        <v>Promoción y Defensa de Derechos</v>
      </c>
      <c r="L15" s="787" t="str">
        <f>+'1.Informe Seguimiento POA 2022'!J20</f>
        <v>P.D. para la Coordinación de la Gestión de Personerías Locales y sus Personerías Locales adscritas</v>
      </c>
      <c r="M15" s="698">
        <f>+'1.Informe Seguimiento POA 2022'!K20</f>
        <v>5000</v>
      </c>
      <c r="N15" s="698">
        <f>+'1.Informe Seguimiento POA 2022'!L20</f>
        <v>6000</v>
      </c>
      <c r="O15" s="698">
        <f>+'1.Informe Seguimiento POA 2022'!M20</f>
        <v>6500</v>
      </c>
      <c r="P15" s="698">
        <f>+'1.Informe Seguimiento POA 2022'!N20</f>
        <v>2000</v>
      </c>
      <c r="Q15" s="699">
        <v>1020</v>
      </c>
      <c r="R15" s="699">
        <v>977</v>
      </c>
      <c r="S15" s="699">
        <v>1380</v>
      </c>
      <c r="T15" s="699">
        <v>1846</v>
      </c>
      <c r="U15" s="699">
        <v>1380</v>
      </c>
      <c r="V15" s="699">
        <v>1748</v>
      </c>
      <c r="W15" s="699">
        <v>1220</v>
      </c>
      <c r="X15" s="699">
        <v>1608</v>
      </c>
      <c r="Y15" s="699">
        <v>5000</v>
      </c>
      <c r="Z15" s="699">
        <v>6179</v>
      </c>
      <c r="AA15" s="1097">
        <v>1.2358</v>
      </c>
      <c r="AB15" s="699">
        <f>+'1.Informe Seguimiento POA 2022'!O20</f>
        <v>1200</v>
      </c>
      <c r="AC15" s="699">
        <f>+'1.Informe Seguimiento POA 2022'!P20</f>
        <v>1452</v>
      </c>
      <c r="AD15" s="699">
        <f>+'1.Informe Seguimiento POA 2022'!Q20</f>
        <v>1800</v>
      </c>
      <c r="AE15" s="699">
        <f>+'1.Informe Seguimiento POA 2022'!R20</f>
        <v>0</v>
      </c>
      <c r="AF15" s="699">
        <f>+'1.Informe Seguimiento POA 2022'!S20</f>
        <v>1800</v>
      </c>
      <c r="AG15" s="699">
        <f>+'1.Informe Seguimiento POA 2022'!T20</f>
        <v>0</v>
      </c>
      <c r="AH15" s="699">
        <f>+'1.Informe Seguimiento POA 2022'!U20</f>
        <v>1200</v>
      </c>
      <c r="AI15" s="699">
        <f>+'1.Informe Seguimiento POA 2022'!V20</f>
        <v>0</v>
      </c>
      <c r="AJ15" s="699">
        <f>+'1.Informe Seguimiento POA 2022'!W20</f>
        <v>6000</v>
      </c>
      <c r="AK15" s="699">
        <f>+'1.Informe Seguimiento POA 2022'!X20</f>
        <v>1452</v>
      </c>
      <c r="AL15" s="790">
        <f>+'1.Informe Seguimiento POA 2022'!Y20</f>
        <v>0.24199999999999999</v>
      </c>
      <c r="AM15" s="700"/>
      <c r="AN15" s="700"/>
      <c r="AO15" s="700"/>
      <c r="AP15" s="700"/>
      <c r="AQ15" s="700"/>
      <c r="AR15" s="700"/>
      <c r="AS15" s="700"/>
      <c r="AT15" s="700"/>
      <c r="AU15" s="699">
        <f t="shared" si="3"/>
        <v>6500</v>
      </c>
      <c r="AV15" s="699"/>
      <c r="AW15" s="700"/>
      <c r="AX15" s="700"/>
      <c r="AY15" s="700"/>
      <c r="AZ15" s="700"/>
      <c r="BA15" s="700"/>
      <c r="BB15" s="700"/>
      <c r="BC15" s="700"/>
      <c r="BD15" s="700"/>
      <c r="BE15" s="700"/>
      <c r="BF15" s="699">
        <f t="shared" si="4"/>
        <v>2000</v>
      </c>
      <c r="BG15" s="699"/>
      <c r="BH15" s="700"/>
      <c r="BI15" s="800">
        <f t="shared" si="0"/>
        <v>6000</v>
      </c>
      <c r="BJ15" s="800">
        <f t="shared" si="1"/>
        <v>1452</v>
      </c>
      <c r="BK15" s="700">
        <f>IF(AND(BI15&gt;0),BJ15/BI15,"No programado")</f>
        <v>0.24199999999999999</v>
      </c>
      <c r="BL15" s="700">
        <f t="shared" si="6"/>
        <v>7.4461538461538468E-2</v>
      </c>
      <c r="BM15" s="701">
        <f t="shared" si="2"/>
        <v>1.4892307692307694E-3</v>
      </c>
      <c r="BN15" s="1159"/>
      <c r="BO15" s="1206"/>
      <c r="BP15" s="830"/>
      <c r="BQ15" s="830"/>
    </row>
    <row r="16" spans="2:71" ht="121.5" customHeight="1">
      <c r="B16" s="1166"/>
      <c r="C16" s="1233"/>
      <c r="D16" s="1255"/>
      <c r="E16" s="1239"/>
      <c r="F16" s="1260"/>
      <c r="G16" s="1260"/>
      <c r="H16" s="51" t="str">
        <f>+'1.Informe Seguimiento POA 2022'!D21</f>
        <v>1.1.9 Realizar 11.000 intervenciones de manera oportuna para evitar situaciones de caducidad y perdida de fuerza ejecutoria en las actuaciones administrativas y policivas</v>
      </c>
      <c r="I16" s="147">
        <f>+'1.Informe Seguimiento POA 2022'!E21</f>
        <v>0.01</v>
      </c>
      <c r="J16" s="697">
        <f>+'1.Informe Seguimiento POA 2022'!F21</f>
        <v>11000</v>
      </c>
      <c r="K16" s="787" t="str">
        <f>+'1.Informe Seguimiento POA 2022'!I21</f>
        <v>Promoción y Defensa de Derechos</v>
      </c>
      <c r="L16" s="787" t="str">
        <f>+'1.Informe Seguimiento POA 2022'!J21</f>
        <v>P.D. para la Coordinación de la Gestión de Personerías Locales y sus Personerías Locales adscritas</v>
      </c>
      <c r="M16" s="698">
        <f>+'1.Informe Seguimiento POA 2022'!K21</f>
        <v>3000</v>
      </c>
      <c r="N16" s="698">
        <f>+'1.Informe Seguimiento POA 2022'!L21</f>
        <v>3000</v>
      </c>
      <c r="O16" s="698">
        <f>+'1.Informe Seguimiento POA 2022'!M21</f>
        <v>4000</v>
      </c>
      <c r="P16" s="698">
        <f>+'1.Informe Seguimiento POA 2022'!N21</f>
        <v>1000</v>
      </c>
      <c r="Q16" s="699">
        <v>640</v>
      </c>
      <c r="R16" s="699">
        <v>488</v>
      </c>
      <c r="S16" s="699">
        <v>810</v>
      </c>
      <c r="T16" s="699">
        <v>1360</v>
      </c>
      <c r="U16" s="699">
        <v>810</v>
      </c>
      <c r="V16" s="699">
        <v>1087</v>
      </c>
      <c r="W16" s="699">
        <v>740</v>
      </c>
      <c r="X16" s="699">
        <v>903</v>
      </c>
      <c r="Y16" s="699">
        <v>3000</v>
      </c>
      <c r="Z16" s="699">
        <v>3838</v>
      </c>
      <c r="AA16" s="1097">
        <v>1.2793333333333334</v>
      </c>
      <c r="AB16" s="699">
        <f>+'1.Informe Seguimiento POA 2022'!O21</f>
        <v>600</v>
      </c>
      <c r="AC16" s="699">
        <f>+'1.Informe Seguimiento POA 2022'!P21</f>
        <v>438</v>
      </c>
      <c r="AD16" s="699">
        <f>+'1.Informe Seguimiento POA 2022'!Q21</f>
        <v>900</v>
      </c>
      <c r="AE16" s="699">
        <f>+'1.Informe Seguimiento POA 2022'!R21</f>
        <v>0</v>
      </c>
      <c r="AF16" s="699">
        <f>+'1.Informe Seguimiento POA 2022'!S21</f>
        <v>900</v>
      </c>
      <c r="AG16" s="699">
        <f>+'1.Informe Seguimiento POA 2022'!T21</f>
        <v>0</v>
      </c>
      <c r="AH16" s="699">
        <f>+'1.Informe Seguimiento POA 2022'!U21</f>
        <v>600</v>
      </c>
      <c r="AI16" s="699">
        <f>+'1.Informe Seguimiento POA 2022'!V21</f>
        <v>0</v>
      </c>
      <c r="AJ16" s="699">
        <f>+'1.Informe Seguimiento POA 2022'!W21</f>
        <v>3000</v>
      </c>
      <c r="AK16" s="699">
        <f>+'1.Informe Seguimiento POA 2022'!X21</f>
        <v>438</v>
      </c>
      <c r="AL16" s="790">
        <f>+'1.Informe Seguimiento POA 2022'!Y21</f>
        <v>0.14599999999999999</v>
      </c>
      <c r="AM16" s="700"/>
      <c r="AN16" s="700"/>
      <c r="AO16" s="700"/>
      <c r="AP16" s="700"/>
      <c r="AQ16" s="700"/>
      <c r="AR16" s="700"/>
      <c r="AS16" s="700"/>
      <c r="AT16" s="700"/>
      <c r="AU16" s="699">
        <f t="shared" si="3"/>
        <v>4000</v>
      </c>
      <c r="AV16" s="699"/>
      <c r="AW16" s="700"/>
      <c r="AX16" s="700"/>
      <c r="AY16" s="700"/>
      <c r="AZ16" s="700"/>
      <c r="BA16" s="700"/>
      <c r="BB16" s="700"/>
      <c r="BC16" s="700"/>
      <c r="BD16" s="700"/>
      <c r="BE16" s="700"/>
      <c r="BF16" s="699">
        <f t="shared" si="4"/>
        <v>1000</v>
      </c>
      <c r="BG16" s="699"/>
      <c r="BH16" s="700"/>
      <c r="BI16" s="800">
        <f t="shared" si="0"/>
        <v>3000</v>
      </c>
      <c r="BJ16" s="800">
        <f t="shared" si="1"/>
        <v>438</v>
      </c>
      <c r="BK16" s="700">
        <f t="shared" si="5"/>
        <v>0.14599999999999999</v>
      </c>
      <c r="BL16" s="700">
        <f t="shared" si="6"/>
        <v>3.9818181818181815E-2</v>
      </c>
      <c r="BM16" s="701">
        <f t="shared" si="2"/>
        <v>3.9818181818181814E-4</v>
      </c>
      <c r="BN16" s="1159"/>
      <c r="BO16" s="1206"/>
      <c r="BP16" s="830"/>
      <c r="BQ16" s="830"/>
    </row>
    <row r="17" spans="2:69" ht="84.75" customHeight="1">
      <c r="B17" s="1166"/>
      <c r="C17" s="1233"/>
      <c r="D17" s="1255"/>
      <c r="E17" s="1239"/>
      <c r="F17" s="1260"/>
      <c r="G17" s="1260"/>
      <c r="H17" s="51" t="str">
        <f>+'1.Informe Seguimiento POA 2022'!D22</f>
        <v>1.1.10 Impulsar 2.300 expedientes que contengan orden de policía (MULTA) en firme y ejecutoriada, para que se efectúen cobros persuasivos y/o se de traslado para el cobro coactivo.</v>
      </c>
      <c r="I17" s="147">
        <f>+'1.Informe Seguimiento POA 2022'!E22</f>
        <v>0.01</v>
      </c>
      <c r="J17" s="697">
        <f>+'1.Informe Seguimiento POA 2022'!F22</f>
        <v>2300</v>
      </c>
      <c r="K17" s="787" t="str">
        <f>+'1.Informe Seguimiento POA 2022'!I22</f>
        <v>Promoción y Defensa de Derechos</v>
      </c>
      <c r="L17" s="787" t="str">
        <f>+'1.Informe Seguimiento POA 2022'!J22</f>
        <v>P.D. para la Coordinación de la Gestión de Personerías Locales y sus Personerías Locales adscritas</v>
      </c>
      <c r="M17" s="698">
        <f>+'1.Informe Seguimiento POA 2022'!K22</f>
        <v>700</v>
      </c>
      <c r="N17" s="698">
        <f>+'1.Informe Seguimiento POA 2022'!L22</f>
        <v>500</v>
      </c>
      <c r="O17" s="698">
        <f>+'1.Informe Seguimiento POA 2022'!M22</f>
        <v>800</v>
      </c>
      <c r="P17" s="698">
        <f>+'1.Informe Seguimiento POA 2022'!N22</f>
        <v>300</v>
      </c>
      <c r="Q17" s="699">
        <v>145</v>
      </c>
      <c r="R17" s="699">
        <v>74</v>
      </c>
      <c r="S17" s="699">
        <v>190</v>
      </c>
      <c r="T17" s="699">
        <v>635</v>
      </c>
      <c r="U17" s="699">
        <v>195</v>
      </c>
      <c r="V17" s="699">
        <v>110</v>
      </c>
      <c r="W17" s="699">
        <v>170</v>
      </c>
      <c r="X17" s="699">
        <v>221</v>
      </c>
      <c r="Y17" s="699">
        <v>700</v>
      </c>
      <c r="Z17" s="699">
        <v>1040</v>
      </c>
      <c r="AA17" s="1097">
        <v>1.4857142857142858</v>
      </c>
      <c r="AB17" s="699">
        <f>+'1.Informe Seguimiento POA 2022'!O22</f>
        <v>100</v>
      </c>
      <c r="AC17" s="699">
        <f>+'1.Informe Seguimiento POA 2022'!P22</f>
        <v>82</v>
      </c>
      <c r="AD17" s="699">
        <f>+'1.Informe Seguimiento POA 2022'!Q22</f>
        <v>150</v>
      </c>
      <c r="AE17" s="699">
        <f>+'1.Informe Seguimiento POA 2022'!R22</f>
        <v>0</v>
      </c>
      <c r="AF17" s="699">
        <f>+'1.Informe Seguimiento POA 2022'!S22</f>
        <v>150</v>
      </c>
      <c r="AG17" s="699">
        <f>+'1.Informe Seguimiento POA 2022'!T22</f>
        <v>0</v>
      </c>
      <c r="AH17" s="699">
        <f>+'1.Informe Seguimiento POA 2022'!U22</f>
        <v>100</v>
      </c>
      <c r="AI17" s="699">
        <f>+'1.Informe Seguimiento POA 2022'!V22</f>
        <v>0</v>
      </c>
      <c r="AJ17" s="699">
        <f>+'1.Informe Seguimiento POA 2022'!W22</f>
        <v>500</v>
      </c>
      <c r="AK17" s="699">
        <f>+'1.Informe Seguimiento POA 2022'!X22</f>
        <v>82</v>
      </c>
      <c r="AL17" s="790">
        <f>+'1.Informe Seguimiento POA 2022'!Y22</f>
        <v>0.16400000000000001</v>
      </c>
      <c r="AM17" s="700"/>
      <c r="AN17" s="700"/>
      <c r="AO17" s="700"/>
      <c r="AP17" s="700"/>
      <c r="AQ17" s="700"/>
      <c r="AR17" s="700"/>
      <c r="AS17" s="700"/>
      <c r="AT17" s="700"/>
      <c r="AU17" s="699">
        <f t="shared" si="3"/>
        <v>800</v>
      </c>
      <c r="AV17" s="699"/>
      <c r="AW17" s="700"/>
      <c r="AX17" s="700"/>
      <c r="AY17" s="700"/>
      <c r="AZ17" s="700"/>
      <c r="BA17" s="700"/>
      <c r="BB17" s="700"/>
      <c r="BC17" s="700"/>
      <c r="BD17" s="700"/>
      <c r="BE17" s="700"/>
      <c r="BF17" s="699">
        <f t="shared" si="4"/>
        <v>300</v>
      </c>
      <c r="BG17" s="699"/>
      <c r="BH17" s="700"/>
      <c r="BI17" s="800">
        <f t="shared" si="0"/>
        <v>500</v>
      </c>
      <c r="BJ17" s="800">
        <f t="shared" si="1"/>
        <v>82</v>
      </c>
      <c r="BK17" s="700">
        <f t="shared" si="5"/>
        <v>0.16400000000000001</v>
      </c>
      <c r="BL17" s="700">
        <f t="shared" si="6"/>
        <v>3.5652173913043476E-2</v>
      </c>
      <c r="BM17" s="701">
        <f t="shared" si="2"/>
        <v>3.5652173913043475E-4</v>
      </c>
      <c r="BN17" s="1159"/>
      <c r="BO17" s="1206"/>
      <c r="BP17" s="830"/>
      <c r="BQ17" s="830"/>
    </row>
    <row r="18" spans="2:69" ht="83.25" customHeight="1">
      <c r="B18" s="1166"/>
      <c r="C18" s="1233"/>
      <c r="D18" s="1255"/>
      <c r="E18" s="1239"/>
      <c r="F18" s="1260"/>
      <c r="G18" s="1260"/>
      <c r="H18" s="51" t="str">
        <f>+'1.Informe Seguimiento POA 2022'!D23</f>
        <v>1.1.11 Establecer de forma periódica, 40 estados de la vulneración de  los derechos humanos en las localidades, dando a conocer a las Entidades correspondientes los hechos observados que requieren su intervención.</v>
      </c>
      <c r="I18" s="147">
        <f>+'1.Informe Seguimiento POA 2022'!E23</f>
        <v>0.01</v>
      </c>
      <c r="J18" s="697">
        <f>+'1.Informe Seguimiento POA 2022'!F23</f>
        <v>40</v>
      </c>
      <c r="K18" s="787" t="str">
        <f>+'1.Informe Seguimiento POA 2022'!I23</f>
        <v>Promoción y Defensa de Derechos</v>
      </c>
      <c r="L18" s="787" t="str">
        <f>+'1.Informe Seguimiento POA 2022'!J23</f>
        <v>P.D. para la Coordinación de la Gestión de Personerías Locales y sus Personerías Locales adscritas</v>
      </c>
      <c r="M18" s="698">
        <f>+'1.Informe Seguimiento POA 2022'!K23</f>
        <v>0</v>
      </c>
      <c r="N18" s="698">
        <f>+'1.Informe Seguimiento POA 2022'!L23</f>
        <v>0</v>
      </c>
      <c r="O18" s="698">
        <f>+'1.Informe Seguimiento POA 2022'!M23</f>
        <v>20</v>
      </c>
      <c r="P18" s="698">
        <f>+'1.Informe Seguimiento POA 2022'!N23</f>
        <v>20</v>
      </c>
      <c r="Q18" s="699">
        <v>0</v>
      </c>
      <c r="R18" s="699">
        <v>0</v>
      </c>
      <c r="S18" s="699">
        <v>0</v>
      </c>
      <c r="T18" s="699">
        <v>0</v>
      </c>
      <c r="U18" s="699">
        <v>0</v>
      </c>
      <c r="V18" s="699">
        <v>0</v>
      </c>
      <c r="W18" s="699">
        <v>0</v>
      </c>
      <c r="X18" s="699">
        <v>0</v>
      </c>
      <c r="Y18" s="699">
        <v>0</v>
      </c>
      <c r="Z18" s="699">
        <v>0</v>
      </c>
      <c r="AA18" s="1097" t="s">
        <v>1171</v>
      </c>
      <c r="AB18" s="699">
        <f>+'1.Informe Seguimiento POA 2022'!O23</f>
        <v>0</v>
      </c>
      <c r="AC18" s="699">
        <f>+'1.Informe Seguimiento POA 2022'!P23</f>
        <v>0</v>
      </c>
      <c r="AD18" s="699">
        <f>+'1.Informe Seguimiento POA 2022'!Q23</f>
        <v>0</v>
      </c>
      <c r="AE18" s="699">
        <f>+'1.Informe Seguimiento POA 2022'!R23</f>
        <v>0</v>
      </c>
      <c r="AF18" s="699">
        <f>+'1.Informe Seguimiento POA 2022'!S23</f>
        <v>0</v>
      </c>
      <c r="AG18" s="699">
        <f>+'1.Informe Seguimiento POA 2022'!T23</f>
        <v>0</v>
      </c>
      <c r="AH18" s="699">
        <f>+'1.Informe Seguimiento POA 2022'!U23</f>
        <v>0</v>
      </c>
      <c r="AI18" s="699">
        <f>+'1.Informe Seguimiento POA 2022'!V23</f>
        <v>0</v>
      </c>
      <c r="AJ18" s="699">
        <f>+'1.Informe Seguimiento POA 2022'!W23</f>
        <v>0</v>
      </c>
      <c r="AK18" s="699">
        <f>+'1.Informe Seguimiento POA 2022'!X23</f>
        <v>0</v>
      </c>
      <c r="AL18" s="790" t="str">
        <f>+'1.Informe Seguimiento POA 2022'!Y23</f>
        <v>No programado</v>
      </c>
      <c r="AM18" s="700"/>
      <c r="AN18" s="700"/>
      <c r="AO18" s="700"/>
      <c r="AP18" s="700"/>
      <c r="AQ18" s="700"/>
      <c r="AR18" s="700"/>
      <c r="AS18" s="700"/>
      <c r="AT18" s="700"/>
      <c r="AU18" s="699">
        <f t="shared" si="3"/>
        <v>20</v>
      </c>
      <c r="AV18" s="699"/>
      <c r="AW18" s="700"/>
      <c r="AX18" s="700"/>
      <c r="AY18" s="700"/>
      <c r="AZ18" s="700"/>
      <c r="BA18" s="700"/>
      <c r="BB18" s="700"/>
      <c r="BC18" s="700"/>
      <c r="BD18" s="700"/>
      <c r="BE18" s="700"/>
      <c r="BF18" s="699">
        <f t="shared" si="4"/>
        <v>20</v>
      </c>
      <c r="BG18" s="699"/>
      <c r="BH18" s="702"/>
      <c r="BI18" s="800">
        <f t="shared" si="0"/>
        <v>0</v>
      </c>
      <c r="BJ18" s="800">
        <f t="shared" si="1"/>
        <v>0</v>
      </c>
      <c r="BK18" s="700" t="str">
        <f t="shared" si="5"/>
        <v>No programado</v>
      </c>
      <c r="BL18" s="700">
        <f t="shared" si="6"/>
        <v>0</v>
      </c>
      <c r="BM18" s="701">
        <f t="shared" si="2"/>
        <v>0</v>
      </c>
      <c r="BN18" s="1159"/>
      <c r="BO18" s="1206"/>
      <c r="BP18" s="830"/>
      <c r="BQ18" s="830"/>
    </row>
    <row r="19" spans="2:69" ht="153.6" customHeight="1">
      <c r="B19" s="1166"/>
      <c r="C19" s="1234"/>
      <c r="D19" s="1256"/>
      <c r="E19" s="1240"/>
      <c r="F19" s="783" t="s">
        <v>1040</v>
      </c>
      <c r="G19" s="783" t="s">
        <v>229</v>
      </c>
      <c r="H19" s="51" t="str">
        <f>+'1.Informe Seguimiento POA 2022'!D19</f>
        <v>1.1.7 Entregar en un termino menor a los cinco (5) días hábiles, mas del 95% de las solicitudes de elaboración de tutelas, desacatos e impugnaciones que realicen las personas en el Distrito Capital.</v>
      </c>
      <c r="I19" s="147">
        <f>+'1.Informe Seguimiento POA 2022'!E19</f>
        <v>0.01</v>
      </c>
      <c r="J19" s="697" t="str">
        <f>+'1.Informe Seguimiento POA 2022'!F19</f>
        <v>&gt;=95%</v>
      </c>
      <c r="K19" s="787" t="str">
        <f>+'1.Informe Seguimiento POA 2022'!I19</f>
        <v>Promoción y Defensa de Derechos</v>
      </c>
      <c r="L19" s="787" t="str">
        <f>+'1.Informe Seguimiento POA 2022'!J19</f>
        <v>P.D. para Asuntos Jurisdiccionales, Víctimas y Penal II.
P.D. para la Coordinación de la Gestión de Personerías Locales y sus Personerías Locales adscritas</v>
      </c>
      <c r="M19" s="698" t="str">
        <f>+'1.Informe Seguimiento POA 2022'!K19</f>
        <v>&gt;=95%</v>
      </c>
      <c r="N19" s="698" t="str">
        <f>+'1.Informe Seguimiento POA 2022'!L19</f>
        <v>&gt;=95%</v>
      </c>
      <c r="O19" s="698" t="str">
        <f>+'1.Informe Seguimiento POA 2022'!M19</f>
        <v>&gt;=95%</v>
      </c>
      <c r="P19" s="698" t="str">
        <f>+'1.Informe Seguimiento POA 2022'!N19</f>
        <v>&gt;=95%</v>
      </c>
      <c r="Q19" s="1098">
        <v>0.94999999999999984</v>
      </c>
      <c r="R19" s="1098">
        <v>0.99199999999999999</v>
      </c>
      <c r="S19" s="1098">
        <v>0.94999999999999984</v>
      </c>
      <c r="T19" s="1098">
        <v>0.99633333333333329</v>
      </c>
      <c r="U19" s="1098">
        <v>0.94999999999999984</v>
      </c>
      <c r="V19" s="1099">
        <v>0.999</v>
      </c>
      <c r="W19" s="1098">
        <v>0.94999999999999984</v>
      </c>
      <c r="X19" s="1098">
        <v>1</v>
      </c>
      <c r="Y19" s="1098">
        <v>0.94999999999999984</v>
      </c>
      <c r="Z19" s="1099">
        <v>0.996</v>
      </c>
      <c r="AA19" s="1097">
        <v>1.0484210526315791</v>
      </c>
      <c r="AB19" s="782">
        <f>+'1.Informe Seguimiento POA 2022'!O19</f>
        <v>0.94999999999999984</v>
      </c>
      <c r="AC19" s="782">
        <f>+'1.Informe Seguimiento POA 2022'!P19</f>
        <v>1</v>
      </c>
      <c r="AD19" s="782">
        <f>+'1.Informe Seguimiento POA 2022'!Q19</f>
        <v>0.94999999999999984</v>
      </c>
      <c r="AE19" s="782">
        <f>+'1.Informe Seguimiento POA 2022'!R19</f>
        <v>0</v>
      </c>
      <c r="AF19" s="782">
        <f>+'1.Informe Seguimiento POA 2022'!S19</f>
        <v>0.94999999999999984</v>
      </c>
      <c r="AG19" s="789">
        <f>+'1.Informe Seguimiento POA 2022'!T19</f>
        <v>0</v>
      </c>
      <c r="AH19" s="782">
        <f>+'1.Informe Seguimiento POA 2022'!U19</f>
        <v>0.94999999999999984</v>
      </c>
      <c r="AI19" s="782">
        <f>+'1.Informe Seguimiento POA 2022'!V19</f>
        <v>0</v>
      </c>
      <c r="AJ19" s="782">
        <f>+'1.Informe Seguimiento POA 2022'!W19</f>
        <v>0.94999999999999984</v>
      </c>
      <c r="AK19" s="789">
        <f>+'1.Informe Seguimiento POA 2022'!X19</f>
        <v>0.25</v>
      </c>
      <c r="AL19" s="790">
        <f>+'1.Informe Seguimiento POA 2022'!Y19</f>
        <v>6.5789473684210537E-2</v>
      </c>
      <c r="AM19" s="700"/>
      <c r="AN19" s="700"/>
      <c r="AO19" s="700"/>
      <c r="AP19" s="700"/>
      <c r="AQ19" s="700"/>
      <c r="AR19" s="700"/>
      <c r="AS19" s="700"/>
      <c r="AT19" s="700"/>
      <c r="AU19" s="699" t="str">
        <f t="shared" si="3"/>
        <v>&gt;=95%</v>
      </c>
      <c r="AV19" s="699"/>
      <c r="AW19" s="700"/>
      <c r="AX19" s="700"/>
      <c r="AY19" s="700"/>
      <c r="AZ19" s="700"/>
      <c r="BA19" s="700"/>
      <c r="BB19" s="700"/>
      <c r="BC19" s="700"/>
      <c r="BD19" s="700"/>
      <c r="BE19" s="700"/>
      <c r="BF19" s="699" t="str">
        <f t="shared" si="4"/>
        <v>&gt;=95%</v>
      </c>
      <c r="BG19" s="699"/>
      <c r="BH19" s="700"/>
      <c r="BI19" s="700">
        <f>IFERROR(AVERAGE(AB19,AD19,AF19,AH19),0)</f>
        <v>0.94999999999999984</v>
      </c>
      <c r="BJ19" s="700">
        <f>IFERROR(AVERAGE(AC19,AE19,AG19,AI19),0)</f>
        <v>0.25</v>
      </c>
      <c r="BK19" s="700">
        <f>IF(AND(BI19&gt;0),BJ19/BI19,"No programado")</f>
        <v>0.26315789473684215</v>
      </c>
      <c r="BL19" s="700">
        <f>((IF(AND(BJ19&gt;0,95%&gt;0),BJ19/95%,0)/4)*0.5)</f>
        <v>3.2894736842105261E-2</v>
      </c>
      <c r="BM19" s="701">
        <f t="shared" si="2"/>
        <v>3.2894736842105262E-4</v>
      </c>
      <c r="BN19" s="1291"/>
      <c r="BO19" s="1206"/>
      <c r="BP19" s="830"/>
      <c r="BQ19" s="830"/>
    </row>
    <row r="20" spans="2:69" ht="135.75" customHeight="1">
      <c r="B20" s="1166"/>
      <c r="C20" s="1232" t="str">
        <f>+'Matriz PEI 2021-2024'!C11</f>
        <v>1.2. Realizar 260.709 acciones que propendan por la efectiva defensa y garantía de los derechos de los sujetos de especial protección constitucional, con énfasis en las personas mayores, mujeres y la población migrante en el Distrito Capital.</v>
      </c>
      <c r="D20" s="1247">
        <f>+'Matriz PEI 2021-2024'!E11</f>
        <v>245514</v>
      </c>
      <c r="E20" s="1238">
        <f>+'Matriz PEI 2021-2024'!D11</f>
        <v>0.2</v>
      </c>
      <c r="F20" s="1232" t="s">
        <v>942</v>
      </c>
      <c r="G20" s="1232" t="s">
        <v>943</v>
      </c>
      <c r="H20" s="51" t="str">
        <f>+'1.Informe Seguimiento POA 2022'!D24</f>
        <v>1.2.1 Sensibilizar a 205.930 personas en derechos humanos, Derecho Internacional Humanitario, Cultura Ciudadana, Protección Animal, Deberes de los Ciudadanos y oferta institucional, con énfasis en sujetos de especial protección constitucional, en particular, personas mayores, mujeres y población migrante.</v>
      </c>
      <c r="I20" s="786">
        <f>+'1.Informe Seguimiento POA 2022'!E24</f>
        <v>0.75</v>
      </c>
      <c r="J20" s="697">
        <f>+'1.Informe Seguimiento POA 2022'!F24</f>
        <v>205930</v>
      </c>
      <c r="K20" s="787" t="str">
        <f>+'1.Informe Seguimiento POA 2022'!I24</f>
        <v>Promoción y Defensa de Derechos</v>
      </c>
      <c r="L20" s="787" t="str">
        <f>+'1.Informe Seguimiento POA 2022'!J24</f>
        <v>P.D. para la Coordinación del MP y DDHH y sus dependencias adscritas
P.D. para la Coordinación de la Gestión de Personerías Locales y sus Personerías Locales adscritas</v>
      </c>
      <c r="M20" s="698">
        <f>+'1.Informe Seguimiento POA 2022'!K24</f>
        <v>62360</v>
      </c>
      <c r="N20" s="698">
        <f>+'1.Informe Seguimiento POA 2022'!L24</f>
        <v>71570</v>
      </c>
      <c r="O20" s="698">
        <f>+'1.Informe Seguimiento POA 2022'!M24</f>
        <v>53000</v>
      </c>
      <c r="P20" s="698">
        <f>+'1.Informe Seguimiento POA 2022'!N24</f>
        <v>19000</v>
      </c>
      <c r="Q20" s="699">
        <v>5300</v>
      </c>
      <c r="R20" s="699">
        <v>25347</v>
      </c>
      <c r="S20" s="699">
        <v>15930</v>
      </c>
      <c r="T20" s="699">
        <v>25884</v>
      </c>
      <c r="U20" s="699">
        <v>21720</v>
      </c>
      <c r="V20" s="699">
        <v>17775</v>
      </c>
      <c r="W20" s="699">
        <v>19410</v>
      </c>
      <c r="X20" s="699">
        <v>7874</v>
      </c>
      <c r="Y20" s="699">
        <v>62360</v>
      </c>
      <c r="Z20" s="699">
        <v>76880</v>
      </c>
      <c r="AA20" s="1097">
        <v>1.2328415651058371</v>
      </c>
      <c r="AB20" s="699">
        <f>+'1.Informe Seguimiento POA 2022'!O24</f>
        <v>10700</v>
      </c>
      <c r="AC20" s="699">
        <f>+'1.Informe Seguimiento POA 2022'!P24</f>
        <v>16789</v>
      </c>
      <c r="AD20" s="699">
        <f>+'1.Informe Seguimiento POA 2022'!Q24</f>
        <v>21400</v>
      </c>
      <c r="AE20" s="699">
        <f>+'1.Informe Seguimiento POA 2022'!R24</f>
        <v>0</v>
      </c>
      <c r="AF20" s="699">
        <f>+'1.Informe Seguimiento POA 2022'!S24</f>
        <v>23550</v>
      </c>
      <c r="AG20" s="699">
        <f>+'1.Informe Seguimiento POA 2022'!T24</f>
        <v>0</v>
      </c>
      <c r="AH20" s="699">
        <f>+'1.Informe Seguimiento POA 2022'!U24</f>
        <v>15920</v>
      </c>
      <c r="AI20" s="699">
        <f>+'1.Informe Seguimiento POA 2022'!V24</f>
        <v>0</v>
      </c>
      <c r="AJ20" s="699">
        <f>+'1.Informe Seguimiento POA 2022'!W24</f>
        <v>71570</v>
      </c>
      <c r="AK20" s="699">
        <f>+'1.Informe Seguimiento POA 2022'!X24</f>
        <v>16789</v>
      </c>
      <c r="AL20" s="790">
        <f>+'1.Informe Seguimiento POA 2022'!Y24</f>
        <v>0.23458152857342462</v>
      </c>
      <c r="AM20" s="700"/>
      <c r="AN20" s="700"/>
      <c r="AO20" s="700"/>
      <c r="AP20" s="700"/>
      <c r="AQ20" s="700"/>
      <c r="AR20" s="700"/>
      <c r="AS20" s="700"/>
      <c r="AT20" s="700"/>
      <c r="AU20" s="699">
        <f t="shared" si="3"/>
        <v>53000</v>
      </c>
      <c r="AV20" s="699"/>
      <c r="AW20" s="700"/>
      <c r="AX20" s="700"/>
      <c r="AY20" s="700"/>
      <c r="AZ20" s="700"/>
      <c r="BA20" s="700"/>
      <c r="BB20" s="700"/>
      <c r="BC20" s="700"/>
      <c r="BD20" s="700"/>
      <c r="BE20" s="700"/>
      <c r="BF20" s="699">
        <f t="shared" si="4"/>
        <v>19000</v>
      </c>
      <c r="BG20" s="699"/>
      <c r="BH20" s="700"/>
      <c r="BI20" s="800">
        <f t="shared" ref="BI20:BI36" si="7">+AB20+AD20+AF20+AH20</f>
        <v>71570</v>
      </c>
      <c r="BJ20" s="800">
        <f t="shared" ref="BJ20:BJ36" si="8">+AC20+AE20+AG20+AI20</f>
        <v>16789</v>
      </c>
      <c r="BK20" s="700">
        <f t="shared" si="5"/>
        <v>0.23458152857342462</v>
      </c>
      <c r="BL20" s="700">
        <f t="shared" si="6"/>
        <v>8.1527703588598066E-2</v>
      </c>
      <c r="BM20" s="701">
        <f t="shared" si="2"/>
        <v>6.114577769144855E-2</v>
      </c>
      <c r="BN20" s="1246">
        <f>+BM20+BM21+BM22+BM23+BM24+BM25</f>
        <v>8.4009021653211627E-2</v>
      </c>
      <c r="BO20" s="1206"/>
      <c r="BP20" s="831"/>
      <c r="BQ20" s="831"/>
    </row>
    <row r="21" spans="2:69" ht="106.2" customHeight="1">
      <c r="B21" s="1166"/>
      <c r="C21" s="1233"/>
      <c r="D21" s="1248"/>
      <c r="E21" s="1239"/>
      <c r="F21" s="1233"/>
      <c r="G21" s="1233"/>
      <c r="H21" s="51" t="str">
        <f>+'1.Informe Seguimiento POA 2022'!D25</f>
        <v>1.2.2 Adelantar 23.910 acciones necesarias en favor de la población víctima del conflicto armado interno mediante el apoyo jurídico, la atención psicosocial, la gestión para acceso a derechos, la toma de declaraciones y la elaboración de derechos de petición.</v>
      </c>
      <c r="I21" s="786">
        <f>+'1.Informe Seguimiento POA 2022'!E25</f>
        <v>0.12</v>
      </c>
      <c r="J21" s="697">
        <f>+'1.Informe Seguimiento POA 2022'!F25</f>
        <v>23910</v>
      </c>
      <c r="K21" s="787" t="str">
        <f>+'1.Informe Seguimiento POA 2022'!I25</f>
        <v>Promoción y Defensa de Derechos</v>
      </c>
      <c r="L21" s="787" t="str">
        <f>+'1.Informe Seguimiento POA 2022'!J25</f>
        <v>P.D. para la Protección de las Víctimas del Conflicto Armado Interno
P.D. para la Coordinación de la Gestión de Personerías Locales y sus Personerías Locales adscritas</v>
      </c>
      <c r="M21" s="698">
        <f>+'1.Informe Seguimiento POA 2022'!K25</f>
        <v>5480</v>
      </c>
      <c r="N21" s="698">
        <f>+'1.Informe Seguimiento POA 2022'!L25</f>
        <v>5480</v>
      </c>
      <c r="O21" s="698">
        <f>+'1.Informe Seguimiento POA 2022'!M25</f>
        <v>8650</v>
      </c>
      <c r="P21" s="698">
        <f>+'1.Informe Seguimiento POA 2022'!N25</f>
        <v>4300</v>
      </c>
      <c r="Q21" s="699">
        <v>1404</v>
      </c>
      <c r="R21" s="699">
        <v>1308</v>
      </c>
      <c r="S21" s="699">
        <v>1944</v>
      </c>
      <c r="T21" s="699">
        <v>1590</v>
      </c>
      <c r="U21" s="699">
        <v>684</v>
      </c>
      <c r="V21" s="699">
        <v>2806</v>
      </c>
      <c r="W21" s="699">
        <v>1448</v>
      </c>
      <c r="X21" s="699">
        <v>2904</v>
      </c>
      <c r="Y21" s="699">
        <v>5480</v>
      </c>
      <c r="Z21" s="699">
        <v>8608</v>
      </c>
      <c r="AA21" s="1097">
        <v>1.5708029197080291</v>
      </c>
      <c r="AB21" s="699">
        <f>+'1.Informe Seguimiento POA 2022'!O25</f>
        <v>920</v>
      </c>
      <c r="AC21" s="699">
        <f>+'1.Informe Seguimiento POA 2022'!P25</f>
        <v>2701</v>
      </c>
      <c r="AD21" s="699">
        <f>+'1.Informe Seguimiento POA 2022'!Q25</f>
        <v>1760</v>
      </c>
      <c r="AE21" s="699">
        <f>+'1.Informe Seguimiento POA 2022'!R25</f>
        <v>0</v>
      </c>
      <c r="AF21" s="699">
        <f>+'1.Informe Seguimiento POA 2022'!S25</f>
        <v>1680</v>
      </c>
      <c r="AG21" s="699">
        <f>+'1.Informe Seguimiento POA 2022'!T25</f>
        <v>0</v>
      </c>
      <c r="AH21" s="699">
        <f>+'1.Informe Seguimiento POA 2022'!U25</f>
        <v>1120</v>
      </c>
      <c r="AI21" s="699">
        <f>+'1.Informe Seguimiento POA 2022'!V25</f>
        <v>0</v>
      </c>
      <c r="AJ21" s="699">
        <f>+'1.Informe Seguimiento POA 2022'!W25</f>
        <v>5480</v>
      </c>
      <c r="AK21" s="699">
        <f>+'1.Informe Seguimiento POA 2022'!X25</f>
        <v>2701</v>
      </c>
      <c r="AL21" s="790">
        <f>+'1.Informe Seguimiento POA 2022'!Y25</f>
        <v>0.49288321167883209</v>
      </c>
      <c r="AM21" s="700"/>
      <c r="AN21" s="700"/>
      <c r="AO21" s="700"/>
      <c r="AP21" s="700"/>
      <c r="AQ21" s="700"/>
      <c r="AR21" s="700"/>
      <c r="AS21" s="700"/>
      <c r="AT21" s="700"/>
      <c r="AU21" s="699">
        <f t="shared" si="3"/>
        <v>8650</v>
      </c>
      <c r="AV21" s="699"/>
      <c r="AW21" s="700"/>
      <c r="AX21" s="700"/>
      <c r="AY21" s="700"/>
      <c r="AZ21" s="700"/>
      <c r="BA21" s="700"/>
      <c r="BB21" s="700"/>
      <c r="BC21" s="700"/>
      <c r="BD21" s="700"/>
      <c r="BE21" s="700"/>
      <c r="BF21" s="699">
        <f t="shared" si="4"/>
        <v>4300</v>
      </c>
      <c r="BG21" s="699"/>
      <c r="BH21" s="700"/>
      <c r="BI21" s="800">
        <f t="shared" si="7"/>
        <v>5480</v>
      </c>
      <c r="BJ21" s="800">
        <f t="shared" si="8"/>
        <v>2701</v>
      </c>
      <c r="BK21" s="700">
        <f t="shared" si="5"/>
        <v>0.49288321167883209</v>
      </c>
      <c r="BL21" s="700">
        <f t="shared" si="6"/>
        <v>0.11296528649100794</v>
      </c>
      <c r="BM21" s="701">
        <f t="shared" si="2"/>
        <v>1.3555834378920953E-2</v>
      </c>
      <c r="BN21" s="1192"/>
      <c r="BO21" s="1206"/>
      <c r="BP21" s="831"/>
      <c r="BQ21" s="831"/>
    </row>
    <row r="22" spans="2:69" ht="75">
      <c r="B22" s="1166"/>
      <c r="C22" s="1233"/>
      <c r="D22" s="1248"/>
      <c r="E22" s="1239"/>
      <c r="F22" s="1233"/>
      <c r="G22" s="1233"/>
      <c r="H22" s="51" t="str">
        <f>+'1.Informe Seguimiento POA 2022'!D26</f>
        <v>1.2.3 Prevenir mediante la elaboración de 18.880 acciones constitucionales, la vulneración de derechos  con énfasis en sujetos de especial protección constitucional.</v>
      </c>
      <c r="I22" s="786">
        <f>+'1.Informe Seguimiento POA 2022'!E26</f>
        <v>0.09</v>
      </c>
      <c r="J22" s="697">
        <f>+'1.Informe Seguimiento POA 2022'!F26</f>
        <v>18880</v>
      </c>
      <c r="K22" s="787" t="str">
        <f>+'1.Informe Seguimiento POA 2022'!I26</f>
        <v>Promoción y Defensa de Derechos</v>
      </c>
      <c r="L22" s="787" t="str">
        <f>+'1.Informe Seguimiento POA 2022'!J26</f>
        <v>P.D. para Asuntos Jurisdiccionales, Víctimas, Penal II y Consumidor.
P.D. para la Coordinación de la Gestión de Personerías Locales y sus Personerías Locales adscritas</v>
      </c>
      <c r="M22" s="698">
        <f>+'1.Informe Seguimiento POA 2022'!K26</f>
        <v>4790</v>
      </c>
      <c r="N22" s="698">
        <f>+'1.Informe Seguimiento POA 2022'!L26</f>
        <v>4790</v>
      </c>
      <c r="O22" s="698">
        <f>+'1.Informe Seguimiento POA 2022'!M26</f>
        <v>6300</v>
      </c>
      <c r="P22" s="698">
        <f>+'1.Informe Seguimiento POA 2022'!N26</f>
        <v>3000</v>
      </c>
      <c r="Q22" s="699">
        <v>1350</v>
      </c>
      <c r="R22" s="699">
        <v>1189</v>
      </c>
      <c r="S22" s="699">
        <v>1650</v>
      </c>
      <c r="T22" s="699">
        <v>1167</v>
      </c>
      <c r="U22" s="699">
        <v>1070</v>
      </c>
      <c r="V22" s="699">
        <v>1356</v>
      </c>
      <c r="W22" s="699">
        <v>720</v>
      </c>
      <c r="X22" s="699">
        <v>1750</v>
      </c>
      <c r="Y22" s="699">
        <v>4790</v>
      </c>
      <c r="Z22" s="699">
        <v>5462</v>
      </c>
      <c r="AA22" s="1097">
        <v>1.1402922755741127</v>
      </c>
      <c r="AB22" s="699">
        <f>+'1.Informe Seguimiento POA 2022'!O26</f>
        <v>1311</v>
      </c>
      <c r="AC22" s="699">
        <f>+'1.Informe Seguimiento POA 2022'!P26</f>
        <v>1473</v>
      </c>
      <c r="AD22" s="699">
        <f>+'1.Informe Seguimiento POA 2022'!Q26</f>
        <v>1674</v>
      </c>
      <c r="AE22" s="699">
        <f>+'1.Informe Seguimiento POA 2022'!R26</f>
        <v>0</v>
      </c>
      <c r="AF22" s="699">
        <f>+'1.Informe Seguimiento POA 2022'!S26</f>
        <v>1107</v>
      </c>
      <c r="AG22" s="699">
        <f>+'1.Informe Seguimiento POA 2022'!T26</f>
        <v>0</v>
      </c>
      <c r="AH22" s="699">
        <f>+'1.Informe Seguimiento POA 2022'!U26</f>
        <v>698</v>
      </c>
      <c r="AI22" s="699">
        <f>+'1.Informe Seguimiento POA 2022'!V26</f>
        <v>0</v>
      </c>
      <c r="AJ22" s="699">
        <f>+'1.Informe Seguimiento POA 2022'!W26</f>
        <v>4790</v>
      </c>
      <c r="AK22" s="699">
        <f>+'1.Informe Seguimiento POA 2022'!X26</f>
        <v>1473</v>
      </c>
      <c r="AL22" s="790">
        <f>+'1.Informe Seguimiento POA 2022'!Y26</f>
        <v>0.30751565762004174</v>
      </c>
      <c r="AM22" s="700"/>
      <c r="AN22" s="700"/>
      <c r="AO22" s="700"/>
      <c r="AP22" s="700"/>
      <c r="AQ22" s="700"/>
      <c r="AR22" s="700"/>
      <c r="AS22" s="700"/>
      <c r="AT22" s="700"/>
      <c r="AU22" s="699">
        <f t="shared" si="3"/>
        <v>6300</v>
      </c>
      <c r="AV22" s="699"/>
      <c r="AW22" s="700"/>
      <c r="AX22" s="700"/>
      <c r="AY22" s="700"/>
      <c r="AZ22" s="700"/>
      <c r="BA22" s="700"/>
      <c r="BB22" s="700"/>
      <c r="BC22" s="700"/>
      <c r="BD22" s="700"/>
      <c r="BE22" s="700"/>
      <c r="BF22" s="699">
        <f t="shared" si="4"/>
        <v>3000</v>
      </c>
      <c r="BG22" s="699"/>
      <c r="BH22" s="700"/>
      <c r="BI22" s="800">
        <f t="shared" si="7"/>
        <v>4790</v>
      </c>
      <c r="BJ22" s="800">
        <f t="shared" si="8"/>
        <v>1473</v>
      </c>
      <c r="BK22" s="700">
        <f>IF(AND(BI22&gt;0),BJ22/BI22,"No programado")</f>
        <v>0.30751565762004174</v>
      </c>
      <c r="BL22" s="700">
        <f t="shared" si="6"/>
        <v>7.8019067796610164E-2</v>
      </c>
      <c r="BM22" s="701">
        <f t="shared" si="2"/>
        <v>7.0217161016949145E-3</v>
      </c>
      <c r="BN22" s="1192"/>
      <c r="BO22" s="1206"/>
      <c r="BP22" s="831"/>
      <c r="BQ22" s="831"/>
    </row>
    <row r="23" spans="2:69" ht="85.2" customHeight="1">
      <c r="B23" s="1166"/>
      <c r="C23" s="1233"/>
      <c r="D23" s="1248"/>
      <c r="E23" s="1239"/>
      <c r="F23" s="1233"/>
      <c r="G23" s="1233"/>
      <c r="H23" s="51" t="str">
        <f>+'1.Informe Seguimiento POA 2022'!D27</f>
        <v>1.2.4 Fortalecer el ejercicio del ministerio público ante las comisarías de familia, mediante el seguimiento a 3.540 medidas de protección que estas imponen.</v>
      </c>
      <c r="I23" s="786">
        <f>+'1.Informe Seguimiento POA 2022'!E27</f>
        <v>0.02</v>
      </c>
      <c r="J23" s="697">
        <f>+'1.Informe Seguimiento POA 2022'!F27</f>
        <v>3940</v>
      </c>
      <c r="K23" s="787" t="str">
        <f>+'1.Informe Seguimiento POA 2022'!I27</f>
        <v>Promoción y Defensa de Derechos</v>
      </c>
      <c r="L23" s="787" t="str">
        <f>+'1.Informe Seguimiento POA 2022'!J27</f>
        <v>P.D. para la Familia y Sujetos de Especial Protección Constitucional</v>
      </c>
      <c r="M23" s="698">
        <f>+'1.Informe Seguimiento POA 2022'!K27</f>
        <v>940</v>
      </c>
      <c r="N23" s="698">
        <f>+'1.Informe Seguimiento POA 2022'!L27</f>
        <v>800</v>
      </c>
      <c r="O23" s="698">
        <f>+'1.Informe Seguimiento POA 2022'!M27</f>
        <v>1200</v>
      </c>
      <c r="P23" s="698">
        <f>+'1.Informe Seguimiento POA 2022'!N27</f>
        <v>600</v>
      </c>
      <c r="Q23" s="699">
        <v>100</v>
      </c>
      <c r="R23" s="699">
        <v>264</v>
      </c>
      <c r="S23" s="699">
        <v>390</v>
      </c>
      <c r="T23" s="699">
        <v>224</v>
      </c>
      <c r="U23" s="699">
        <v>290</v>
      </c>
      <c r="V23" s="699">
        <v>244</v>
      </c>
      <c r="W23" s="699">
        <v>160</v>
      </c>
      <c r="X23" s="699">
        <v>177</v>
      </c>
      <c r="Y23" s="699">
        <v>940</v>
      </c>
      <c r="Z23" s="699">
        <v>909</v>
      </c>
      <c r="AA23" s="1097">
        <v>0.96702127659574466</v>
      </c>
      <c r="AB23" s="699">
        <f>+'1.Informe Seguimiento POA 2022'!O27</f>
        <v>140</v>
      </c>
      <c r="AC23" s="699">
        <f>+'1.Informe Seguimiento POA 2022'!P27</f>
        <v>53</v>
      </c>
      <c r="AD23" s="699">
        <f>+'1.Informe Seguimiento POA 2022'!Q27</f>
        <v>270</v>
      </c>
      <c r="AE23" s="699">
        <f>+'1.Informe Seguimiento POA 2022'!R27</f>
        <v>0</v>
      </c>
      <c r="AF23" s="699">
        <f>+'1.Informe Seguimiento POA 2022'!S27</f>
        <v>240</v>
      </c>
      <c r="AG23" s="699">
        <f>+'1.Informe Seguimiento POA 2022'!T27</f>
        <v>0</v>
      </c>
      <c r="AH23" s="699">
        <f>+'1.Informe Seguimiento POA 2022'!U27</f>
        <v>150</v>
      </c>
      <c r="AI23" s="699">
        <f>+'1.Informe Seguimiento POA 2022'!V27</f>
        <v>0</v>
      </c>
      <c r="AJ23" s="699">
        <f>+'1.Informe Seguimiento POA 2022'!W27</f>
        <v>800</v>
      </c>
      <c r="AK23" s="699">
        <f>+'1.Informe Seguimiento POA 2022'!X27</f>
        <v>53</v>
      </c>
      <c r="AL23" s="790">
        <f>+'1.Informe Seguimiento POA 2022'!Y27</f>
        <v>6.6250000000000003E-2</v>
      </c>
      <c r="AM23" s="700"/>
      <c r="AN23" s="700"/>
      <c r="AO23" s="700"/>
      <c r="AP23" s="700"/>
      <c r="AQ23" s="700"/>
      <c r="AR23" s="700"/>
      <c r="AS23" s="700"/>
      <c r="AT23" s="700"/>
      <c r="AU23" s="699">
        <f t="shared" si="3"/>
        <v>1200</v>
      </c>
      <c r="AV23" s="699"/>
      <c r="AW23" s="700"/>
      <c r="AX23" s="700"/>
      <c r="AY23" s="700"/>
      <c r="AZ23" s="700"/>
      <c r="BA23" s="700"/>
      <c r="BB23" s="700"/>
      <c r="BC23" s="700"/>
      <c r="BD23" s="700"/>
      <c r="BE23" s="700"/>
      <c r="BF23" s="699">
        <f t="shared" si="4"/>
        <v>600</v>
      </c>
      <c r="BG23" s="699"/>
      <c r="BH23" s="700"/>
      <c r="BI23" s="800">
        <f t="shared" si="7"/>
        <v>800</v>
      </c>
      <c r="BJ23" s="800">
        <f t="shared" si="8"/>
        <v>53</v>
      </c>
      <c r="BK23" s="700">
        <f t="shared" si="5"/>
        <v>6.6250000000000003E-2</v>
      </c>
      <c r="BL23" s="700">
        <f t="shared" si="6"/>
        <v>1.3451776649746193E-2</v>
      </c>
      <c r="BM23" s="701">
        <f t="shared" si="2"/>
        <v>2.6903553299492385E-4</v>
      </c>
      <c r="BN23" s="1192"/>
      <c r="BO23" s="1206"/>
      <c r="BP23" s="831"/>
      <c r="BQ23" s="831"/>
    </row>
    <row r="24" spans="2:69" ht="120" customHeight="1">
      <c r="B24" s="1166"/>
      <c r="C24" s="1233"/>
      <c r="D24" s="1248"/>
      <c r="E24" s="1239"/>
      <c r="F24" s="1233"/>
      <c r="G24" s="1233"/>
      <c r="H24" s="51" t="str">
        <f>+'1.Informe Seguimiento POA 2022'!D28</f>
        <v>1.2.5 Participar en 7.711 comités, mesas y consejos interinstitucionales en garantía de derechos, con énfasis en temas relacionados con sujetos de especial protección constitucional, en particular, persona mayor, mujer y población migrante.</v>
      </c>
      <c r="I24" s="786">
        <f>+'1.Informe Seguimiento POA 2022'!E28</f>
        <v>0.01</v>
      </c>
      <c r="J24" s="697">
        <f>+'1.Informe Seguimiento POA 2022'!F28</f>
        <v>7711</v>
      </c>
      <c r="K24" s="787" t="str">
        <f>+'1.Informe Seguimiento POA 2022'!I28</f>
        <v>Promoción y Defensa de Derechos</v>
      </c>
      <c r="L24" s="787" t="str">
        <f>+'1.Informe Seguimiento POA 2022'!J28</f>
        <v>P.D. para la Coordinación del MP y DDHH, P.D. para Asuntos Penales I, Penales II, Derechos Humanos, Familia, Víctimas, Asuntos Jurisdiccionales y Consumidor.
 P.D. para la Coordinación de la Gestión de Personerías Locales y sus Personerías Locales adscritas</v>
      </c>
      <c r="M24" s="698">
        <f>+'1.Informe Seguimiento POA 2022'!K28</f>
        <v>2802</v>
      </c>
      <c r="N24" s="698">
        <f>+'1.Informe Seguimiento POA 2022'!L28</f>
        <v>2771</v>
      </c>
      <c r="O24" s="698">
        <f>+'1.Informe Seguimiento POA 2022'!M28</f>
        <v>1092</v>
      </c>
      <c r="P24" s="698">
        <f>+'1.Informe Seguimiento POA 2022'!N28</f>
        <v>1046</v>
      </c>
      <c r="Q24" s="699">
        <v>196</v>
      </c>
      <c r="R24" s="699">
        <v>642</v>
      </c>
      <c r="S24" s="699">
        <v>327</v>
      </c>
      <c r="T24" s="699">
        <v>722</v>
      </c>
      <c r="U24" s="699">
        <v>451</v>
      </c>
      <c r="V24" s="699">
        <v>856</v>
      </c>
      <c r="W24" s="699">
        <v>1828</v>
      </c>
      <c r="X24" s="699">
        <v>933</v>
      </c>
      <c r="Y24" s="699">
        <v>2802</v>
      </c>
      <c r="Z24" s="699">
        <v>3153</v>
      </c>
      <c r="AA24" s="1097">
        <v>1.1252676659528908</v>
      </c>
      <c r="AB24" s="699">
        <f>+'1.Informe Seguimiento POA 2022'!O28</f>
        <v>678</v>
      </c>
      <c r="AC24" s="699">
        <f>+'1.Informe Seguimiento POA 2022'!P28</f>
        <v>602</v>
      </c>
      <c r="AD24" s="699">
        <f>+'1.Informe Seguimiento POA 2022'!Q28</f>
        <v>702</v>
      </c>
      <c r="AE24" s="699">
        <f>+'1.Informe Seguimiento POA 2022'!R28</f>
        <v>0</v>
      </c>
      <c r="AF24" s="699">
        <f>+'1.Informe Seguimiento POA 2022'!S28</f>
        <v>703</v>
      </c>
      <c r="AG24" s="699">
        <f>+'1.Informe Seguimiento POA 2022'!T28</f>
        <v>0</v>
      </c>
      <c r="AH24" s="699">
        <f>+'1.Informe Seguimiento POA 2022'!U28</f>
        <v>688</v>
      </c>
      <c r="AI24" s="699">
        <f>+'1.Informe Seguimiento POA 2022'!V28</f>
        <v>0</v>
      </c>
      <c r="AJ24" s="699">
        <f>+'1.Informe Seguimiento POA 2022'!W28</f>
        <v>2771</v>
      </c>
      <c r="AK24" s="699">
        <f>+'1.Informe Seguimiento POA 2022'!X28</f>
        <v>602</v>
      </c>
      <c r="AL24" s="790">
        <f>+'1.Informe Seguimiento POA 2022'!Y28</f>
        <v>0.21725009022013714</v>
      </c>
      <c r="AM24" s="700"/>
      <c r="AN24" s="700"/>
      <c r="AO24" s="700"/>
      <c r="AP24" s="700"/>
      <c r="AQ24" s="700"/>
      <c r="AR24" s="700"/>
      <c r="AS24" s="700"/>
      <c r="AT24" s="700"/>
      <c r="AU24" s="699">
        <f t="shared" si="3"/>
        <v>1092</v>
      </c>
      <c r="AV24" s="699"/>
      <c r="AW24" s="700"/>
      <c r="AX24" s="700"/>
      <c r="AY24" s="700"/>
      <c r="AZ24" s="700"/>
      <c r="BA24" s="700"/>
      <c r="BB24" s="700"/>
      <c r="BC24" s="700"/>
      <c r="BD24" s="700"/>
      <c r="BE24" s="700"/>
      <c r="BF24" s="699">
        <f t="shared" si="4"/>
        <v>1046</v>
      </c>
      <c r="BG24" s="699"/>
      <c r="BH24" s="700"/>
      <c r="BI24" s="800">
        <f t="shared" si="7"/>
        <v>2771</v>
      </c>
      <c r="BJ24" s="800">
        <f t="shared" si="8"/>
        <v>602</v>
      </c>
      <c r="BK24" s="700">
        <f t="shared" si="5"/>
        <v>0.21725009022013714</v>
      </c>
      <c r="BL24" s="700">
        <f t="shared" si="6"/>
        <v>7.8070289197250675E-2</v>
      </c>
      <c r="BM24" s="701">
        <f t="shared" si="2"/>
        <v>7.807028919725068E-4</v>
      </c>
      <c r="BN24" s="1192"/>
      <c r="BO24" s="1206"/>
      <c r="BP24" s="831"/>
      <c r="BQ24" s="831"/>
    </row>
    <row r="25" spans="2:69" ht="105">
      <c r="B25" s="1166"/>
      <c r="C25" s="1234"/>
      <c r="D25" s="1249"/>
      <c r="E25" s="1240"/>
      <c r="F25" s="1234"/>
      <c r="G25" s="1234"/>
      <c r="H25" s="51" t="str">
        <f>+'1.Informe Seguimiento POA 2022'!D29</f>
        <v>1.2.6 Realizar 738 seguimientos a la amenaza y vulneración de los derechos, con énfasis en sujetos de especial protección constitucional, en particular, persona mayor, mujer y población migrante</v>
      </c>
      <c r="I25" s="786">
        <f>+'1.Informe Seguimiento POA 2022'!E29</f>
        <v>0.01</v>
      </c>
      <c r="J25" s="697">
        <f>+'1.Informe Seguimiento POA 2022'!F29</f>
        <v>712</v>
      </c>
      <c r="K25" s="787" t="str">
        <f>+'1.Informe Seguimiento POA 2022'!I29</f>
        <v>Promoción y Defensa de Derechos</v>
      </c>
      <c r="L25" s="787" t="str">
        <f>+'1.Informe Seguimiento POA 2022'!J29</f>
        <v>P.D. para la Coordinación del MP y DDHH, P.D. para Asuntos Policivos y Civiles, Penales I, Penales II, Derechos Humanos, Familia, Víctimas, Consumidor y Asuntos Jurisdiccionales.
 P.D. para la Coordinación de la Gestión de Personerías Locales y sus Personerías Locales adscritas</v>
      </c>
      <c r="M25" s="698">
        <f>+'1.Informe Seguimiento POA 2022'!K29</f>
        <v>228</v>
      </c>
      <c r="N25" s="698">
        <f>+'1.Informe Seguimiento POA 2022'!L29</f>
        <v>208</v>
      </c>
      <c r="O25" s="698">
        <f>+'1.Informe Seguimiento POA 2022'!M29</f>
        <v>182</v>
      </c>
      <c r="P25" s="698">
        <f>+'1.Informe Seguimiento POA 2022'!N29</f>
        <v>120</v>
      </c>
      <c r="Q25" s="699">
        <v>41</v>
      </c>
      <c r="R25" s="699">
        <v>64</v>
      </c>
      <c r="S25" s="699">
        <v>51</v>
      </c>
      <c r="T25" s="699">
        <v>88</v>
      </c>
      <c r="U25" s="699">
        <v>72</v>
      </c>
      <c r="V25" s="699">
        <v>87</v>
      </c>
      <c r="W25" s="699">
        <v>64</v>
      </c>
      <c r="X25" s="699">
        <v>61</v>
      </c>
      <c r="Y25" s="699">
        <v>228</v>
      </c>
      <c r="Z25" s="699">
        <v>300</v>
      </c>
      <c r="AA25" s="1097">
        <v>1.3157894736842106</v>
      </c>
      <c r="AB25" s="699">
        <f>+'1.Informe Seguimiento POA 2022'!O29</f>
        <v>45</v>
      </c>
      <c r="AC25" s="699">
        <f>+'1.Informe Seguimiento POA 2022'!P29</f>
        <v>88</v>
      </c>
      <c r="AD25" s="699">
        <f>+'1.Informe Seguimiento POA 2022'!Q29</f>
        <v>64</v>
      </c>
      <c r="AE25" s="699">
        <f>+'1.Informe Seguimiento POA 2022'!R29</f>
        <v>0</v>
      </c>
      <c r="AF25" s="699">
        <f>+'1.Informe Seguimiento POA 2022'!S29</f>
        <v>57</v>
      </c>
      <c r="AG25" s="699">
        <f>+'1.Informe Seguimiento POA 2022'!T29</f>
        <v>0</v>
      </c>
      <c r="AH25" s="699">
        <f>+'1.Informe Seguimiento POA 2022'!U29</f>
        <v>42</v>
      </c>
      <c r="AI25" s="699">
        <f>+'1.Informe Seguimiento POA 2022'!V29</f>
        <v>0</v>
      </c>
      <c r="AJ25" s="699">
        <f>+'1.Informe Seguimiento POA 2022'!W29</f>
        <v>208</v>
      </c>
      <c r="AK25" s="699">
        <f>+'1.Informe Seguimiento POA 2022'!X29</f>
        <v>88</v>
      </c>
      <c r="AL25" s="790">
        <f>+'1.Informe Seguimiento POA 2022'!Y29</f>
        <v>0.42307692307692307</v>
      </c>
      <c r="AM25" s="700"/>
      <c r="AN25" s="700"/>
      <c r="AO25" s="700"/>
      <c r="AP25" s="700"/>
      <c r="AQ25" s="700"/>
      <c r="AR25" s="700"/>
      <c r="AS25" s="700"/>
      <c r="AT25" s="700"/>
      <c r="AU25" s="699">
        <f t="shared" si="3"/>
        <v>182</v>
      </c>
      <c r="AV25" s="699"/>
      <c r="AW25" s="700"/>
      <c r="AX25" s="700"/>
      <c r="AY25" s="700"/>
      <c r="AZ25" s="700"/>
      <c r="BA25" s="700"/>
      <c r="BB25" s="700"/>
      <c r="BC25" s="700"/>
      <c r="BD25" s="700"/>
      <c r="BE25" s="700"/>
      <c r="BF25" s="699">
        <f t="shared" si="4"/>
        <v>120</v>
      </c>
      <c r="BG25" s="699"/>
      <c r="BH25" s="700"/>
      <c r="BI25" s="800">
        <f t="shared" si="7"/>
        <v>208</v>
      </c>
      <c r="BJ25" s="800">
        <f t="shared" si="8"/>
        <v>88</v>
      </c>
      <c r="BK25" s="700">
        <f t="shared" si="5"/>
        <v>0.42307692307692307</v>
      </c>
      <c r="BL25" s="700">
        <f t="shared" si="6"/>
        <v>0.12359550561797752</v>
      </c>
      <c r="BM25" s="701">
        <f t="shared" si="2"/>
        <v>1.2359550561797752E-3</v>
      </c>
      <c r="BN25" s="1336"/>
      <c r="BO25" s="1206"/>
      <c r="BP25" s="831"/>
      <c r="BQ25" s="831"/>
    </row>
    <row r="26" spans="2:69" ht="90" customHeight="1">
      <c r="B26" s="1166"/>
      <c r="C26" s="1232" t="str">
        <f>+'Matriz PEI 2021-2024'!C12</f>
        <v>1.3. Construir e Implementar 35 estrategias que permitan incrementar la oferta y cobertura de los servicios prestados por la Entidad.</v>
      </c>
      <c r="D26" s="1253">
        <f>+'Matriz PEI 2021-2024'!E12</f>
        <v>36</v>
      </c>
      <c r="E26" s="1238">
        <f>+'Matriz PEI 2021-2024'!D12</f>
        <v>0.1</v>
      </c>
      <c r="F26" s="1232" t="s">
        <v>944</v>
      </c>
      <c r="G26" s="1232" t="s">
        <v>945</v>
      </c>
      <c r="H26" s="51" t="str">
        <f>+'1.Informe Seguimiento POA 2022'!D30</f>
        <v>1.3.1 Realizar 20 actividades que permitan el acercamiento de la Entidad a la Comunidad.</v>
      </c>
      <c r="I26" s="786">
        <f>+'1.Informe Seguimiento POA 2022'!E30</f>
        <v>0.56000000000000005</v>
      </c>
      <c r="J26" s="697">
        <f>+'1.Informe Seguimiento POA 2022'!F30</f>
        <v>20</v>
      </c>
      <c r="K26" s="787" t="str">
        <f>+'1.Informe Seguimiento POA 2022'!I30</f>
        <v>Promoción y Defensa de Derechos</v>
      </c>
      <c r="L26" s="787" t="str">
        <f>+'1.Informe Seguimiento POA 2022'!J30</f>
        <v>P.D. para la Coordinación del MP y DDHH y sus dependencias adscritas
 P.D. para la Coordinación de la Gestión de Personerías Locales y sus Personerías Locales adscritas</v>
      </c>
      <c r="M26" s="698">
        <f>+'1.Informe Seguimiento POA 2022'!K30</f>
        <v>2</v>
      </c>
      <c r="N26" s="698">
        <f>+'1.Informe Seguimiento POA 2022'!L30</f>
        <v>8</v>
      </c>
      <c r="O26" s="698">
        <f>+'1.Informe Seguimiento POA 2022'!M30</f>
        <v>8</v>
      </c>
      <c r="P26" s="698">
        <f>+'1.Informe Seguimiento POA 2022'!N30</f>
        <v>2</v>
      </c>
      <c r="Q26" s="699">
        <v>0</v>
      </c>
      <c r="R26" s="699">
        <v>0</v>
      </c>
      <c r="S26" s="699">
        <v>0</v>
      </c>
      <c r="T26" s="699">
        <v>0.1</v>
      </c>
      <c r="U26" s="699">
        <v>2</v>
      </c>
      <c r="V26" s="699">
        <v>0.6</v>
      </c>
      <c r="W26" s="699">
        <v>0</v>
      </c>
      <c r="X26" s="699">
        <v>1.3</v>
      </c>
      <c r="Y26" s="699">
        <v>2</v>
      </c>
      <c r="Z26" s="699">
        <v>2</v>
      </c>
      <c r="AA26" s="1097">
        <v>1</v>
      </c>
      <c r="AB26" s="699">
        <f>+'1.Informe Seguimiento POA 2022'!O30</f>
        <v>0</v>
      </c>
      <c r="AC26" s="699">
        <f>+'1.Informe Seguimiento POA 2022'!P30</f>
        <v>0</v>
      </c>
      <c r="AD26" s="699">
        <f>+'1.Informe Seguimiento POA 2022'!Q30</f>
        <v>2</v>
      </c>
      <c r="AE26" s="699">
        <f>+'1.Informe Seguimiento POA 2022'!R30</f>
        <v>0</v>
      </c>
      <c r="AF26" s="699">
        <f>+'1.Informe Seguimiento POA 2022'!S30</f>
        <v>5</v>
      </c>
      <c r="AG26" s="699">
        <f>+'1.Informe Seguimiento POA 2022'!T30</f>
        <v>0</v>
      </c>
      <c r="AH26" s="699">
        <f>+'1.Informe Seguimiento POA 2022'!U30</f>
        <v>1</v>
      </c>
      <c r="AI26" s="699">
        <f>+'1.Informe Seguimiento POA 2022'!V30</f>
        <v>0</v>
      </c>
      <c r="AJ26" s="699">
        <f>+'1.Informe Seguimiento POA 2022'!W30</f>
        <v>8</v>
      </c>
      <c r="AK26" s="699">
        <f>+'1.Informe Seguimiento POA 2022'!X30</f>
        <v>0</v>
      </c>
      <c r="AL26" s="790">
        <f>+'1.Informe Seguimiento POA 2022'!Y30</f>
        <v>0</v>
      </c>
      <c r="AM26" s="700"/>
      <c r="AN26" s="700"/>
      <c r="AO26" s="700"/>
      <c r="AP26" s="700"/>
      <c r="AQ26" s="700"/>
      <c r="AR26" s="700"/>
      <c r="AS26" s="700"/>
      <c r="AT26" s="700"/>
      <c r="AU26" s="699">
        <f t="shared" si="3"/>
        <v>8</v>
      </c>
      <c r="AV26" s="699"/>
      <c r="AW26" s="700"/>
      <c r="AX26" s="700"/>
      <c r="AY26" s="700"/>
      <c r="AZ26" s="700"/>
      <c r="BA26" s="700"/>
      <c r="BB26" s="700"/>
      <c r="BC26" s="700"/>
      <c r="BD26" s="700"/>
      <c r="BE26" s="700"/>
      <c r="BF26" s="699">
        <f t="shared" si="4"/>
        <v>2</v>
      </c>
      <c r="BG26" s="699"/>
      <c r="BH26" s="700"/>
      <c r="BI26" s="800">
        <f t="shared" si="7"/>
        <v>8</v>
      </c>
      <c r="BJ26" s="800">
        <f t="shared" si="8"/>
        <v>0</v>
      </c>
      <c r="BK26" s="700">
        <f t="shared" si="5"/>
        <v>0</v>
      </c>
      <c r="BL26" s="700">
        <f t="shared" si="6"/>
        <v>0</v>
      </c>
      <c r="BM26" s="701">
        <f t="shared" si="2"/>
        <v>0</v>
      </c>
      <c r="BN26" s="1246">
        <f>+BM26+BM27+BM28</f>
        <v>0</v>
      </c>
      <c r="BO26" s="1206"/>
      <c r="BP26" s="831"/>
      <c r="BQ26" s="831"/>
    </row>
    <row r="27" spans="2:69" ht="92.25" customHeight="1">
      <c r="B27" s="1166"/>
      <c r="C27" s="1233"/>
      <c r="D27" s="1254"/>
      <c r="E27" s="1239"/>
      <c r="F27" s="1233"/>
      <c r="G27" s="1233"/>
      <c r="H27" s="51" t="str">
        <f>+'1.Informe Seguimiento POA 2022'!D31</f>
        <v>1.3.2 Incrementar la cobertura de los servicios que presta el proceso de Promoción y Defensa de Derechos, mediante la implementación de 11 acciones que propendan por el mejoramiento de los mismos.</v>
      </c>
      <c r="I27" s="786">
        <f>+'1.Informe Seguimiento POA 2022'!E31</f>
        <v>0.31</v>
      </c>
      <c r="J27" s="697">
        <f>+'1.Informe Seguimiento POA 2022'!F31</f>
        <v>11</v>
      </c>
      <c r="K27" s="787" t="str">
        <f>+'1.Informe Seguimiento POA 2022'!I31</f>
        <v>Promoción y Defensa de Derechos</v>
      </c>
      <c r="L27" s="787" t="str">
        <f>+'1.Informe Seguimiento POA 2022'!J31</f>
        <v>P.D. para la Coordinación del MP y DDHH y sus dependencias adscritas
 P.D. para la Coordinación de la Gestión de Personerías Locales y sus Personerías Locales adscritas</v>
      </c>
      <c r="M27" s="698">
        <f>+'1.Informe Seguimiento POA 2022'!K31</f>
        <v>3</v>
      </c>
      <c r="N27" s="698">
        <f>+'1.Informe Seguimiento POA 2022'!L31</f>
        <v>3</v>
      </c>
      <c r="O27" s="698">
        <f>+'1.Informe Seguimiento POA 2022'!M31</f>
        <v>3</v>
      </c>
      <c r="P27" s="698">
        <f>+'1.Informe Seguimiento POA 2022'!N31</f>
        <v>2</v>
      </c>
      <c r="Q27" s="699">
        <v>0</v>
      </c>
      <c r="R27" s="699">
        <v>0</v>
      </c>
      <c r="S27" s="699">
        <v>1</v>
      </c>
      <c r="T27" s="699">
        <v>0</v>
      </c>
      <c r="U27" s="699">
        <v>2</v>
      </c>
      <c r="V27" s="699">
        <v>1</v>
      </c>
      <c r="W27" s="699">
        <v>0</v>
      </c>
      <c r="X27" s="699">
        <v>2</v>
      </c>
      <c r="Y27" s="699">
        <v>3</v>
      </c>
      <c r="Z27" s="699">
        <v>3</v>
      </c>
      <c r="AA27" s="1097">
        <v>1</v>
      </c>
      <c r="AB27" s="699">
        <f>+'1.Informe Seguimiento POA 2022'!O31</f>
        <v>0</v>
      </c>
      <c r="AC27" s="699">
        <f>+'1.Informe Seguimiento POA 2022'!P31</f>
        <v>0</v>
      </c>
      <c r="AD27" s="699">
        <f>+'1.Informe Seguimiento POA 2022'!Q31</f>
        <v>0</v>
      </c>
      <c r="AE27" s="699">
        <f>+'1.Informe Seguimiento POA 2022'!R31</f>
        <v>0</v>
      </c>
      <c r="AF27" s="699">
        <f>+'1.Informe Seguimiento POA 2022'!S31</f>
        <v>3</v>
      </c>
      <c r="AG27" s="699">
        <f>+'1.Informe Seguimiento POA 2022'!T31</f>
        <v>0</v>
      </c>
      <c r="AH27" s="699">
        <f>+'1.Informe Seguimiento POA 2022'!U31</f>
        <v>0</v>
      </c>
      <c r="AI27" s="699">
        <f>+'1.Informe Seguimiento POA 2022'!V31</f>
        <v>0</v>
      </c>
      <c r="AJ27" s="699">
        <f>+'1.Informe Seguimiento POA 2022'!W31</f>
        <v>3</v>
      </c>
      <c r="AK27" s="699">
        <f>+'1.Informe Seguimiento POA 2022'!X31</f>
        <v>0</v>
      </c>
      <c r="AL27" s="790">
        <f>+'1.Informe Seguimiento POA 2022'!Y31</f>
        <v>0</v>
      </c>
      <c r="AM27" s="700"/>
      <c r="AN27" s="700"/>
      <c r="AO27" s="700"/>
      <c r="AP27" s="700"/>
      <c r="AQ27" s="700"/>
      <c r="AR27" s="700"/>
      <c r="AS27" s="700"/>
      <c r="AT27" s="700"/>
      <c r="AU27" s="699">
        <f t="shared" si="3"/>
        <v>3</v>
      </c>
      <c r="AV27" s="699"/>
      <c r="AW27" s="700"/>
      <c r="AX27" s="700"/>
      <c r="AY27" s="700"/>
      <c r="AZ27" s="700"/>
      <c r="BA27" s="700"/>
      <c r="BB27" s="700"/>
      <c r="BC27" s="700"/>
      <c r="BD27" s="700"/>
      <c r="BE27" s="700"/>
      <c r="BF27" s="699">
        <f t="shared" si="4"/>
        <v>2</v>
      </c>
      <c r="BG27" s="699"/>
      <c r="BH27" s="700"/>
      <c r="BI27" s="800">
        <f t="shared" si="7"/>
        <v>3</v>
      </c>
      <c r="BJ27" s="800">
        <f t="shared" si="8"/>
        <v>0</v>
      </c>
      <c r="BK27" s="700">
        <f>IF(AND(BI27&gt;0),BJ27/BI27,"No programado")</f>
        <v>0</v>
      </c>
      <c r="BL27" s="700">
        <f t="shared" si="6"/>
        <v>0</v>
      </c>
      <c r="BM27" s="701">
        <f t="shared" si="2"/>
        <v>0</v>
      </c>
      <c r="BN27" s="1192"/>
      <c r="BO27" s="1206"/>
      <c r="BP27" s="831"/>
      <c r="BQ27" s="831"/>
    </row>
    <row r="28" spans="2:69" ht="83.25" customHeight="1">
      <c r="B28" s="1166"/>
      <c r="C28" s="1233"/>
      <c r="D28" s="1254"/>
      <c r="E28" s="1239"/>
      <c r="F28" s="1233"/>
      <c r="G28" s="1233"/>
      <c r="H28" s="51" t="str">
        <f>+'1.Informe Seguimiento POA 2022'!D32</f>
        <v>1.3.3 Implementar 4 herramientas para la promoción y prevención a infracciones del Derecho Internacional Humanitario en el Distrito Capital</v>
      </c>
      <c r="I28" s="786">
        <f>+'1.Informe Seguimiento POA 2022'!E32</f>
        <v>0.11</v>
      </c>
      <c r="J28" s="697">
        <f>+'1.Informe Seguimiento POA 2022'!F32</f>
        <v>4</v>
      </c>
      <c r="K28" s="787" t="str">
        <f>+'1.Informe Seguimiento POA 2022'!I32</f>
        <v>Promoción y Defensa de Derechos</v>
      </c>
      <c r="L28" s="787" t="str">
        <f>+'1.Informe Seguimiento POA 2022'!J32</f>
        <v>P.D. para la Coordinación del MP y DDHH y sus dependencias adscritas
 P.D. para la Coordinación de la Gestión de Personerías Locales y sus Personerías Locales adscritas</v>
      </c>
      <c r="M28" s="698">
        <f>+'1.Informe Seguimiento POA 2022'!K32</f>
        <v>1</v>
      </c>
      <c r="N28" s="698">
        <f>+'1.Informe Seguimiento POA 2022'!L32</f>
        <v>1</v>
      </c>
      <c r="O28" s="698">
        <f>+'1.Informe Seguimiento POA 2022'!M32</f>
        <v>1</v>
      </c>
      <c r="P28" s="698">
        <f>+'1.Informe Seguimiento POA 2022'!N32</f>
        <v>1</v>
      </c>
      <c r="Q28" s="699">
        <v>0</v>
      </c>
      <c r="R28" s="699">
        <v>0</v>
      </c>
      <c r="S28" s="699">
        <v>0</v>
      </c>
      <c r="T28" s="699">
        <v>0</v>
      </c>
      <c r="U28" s="699">
        <v>1</v>
      </c>
      <c r="V28" s="699">
        <v>0</v>
      </c>
      <c r="W28" s="699">
        <v>0</v>
      </c>
      <c r="X28" s="699">
        <v>1</v>
      </c>
      <c r="Y28" s="699">
        <v>1</v>
      </c>
      <c r="Z28" s="699">
        <v>1</v>
      </c>
      <c r="AA28" s="1097">
        <v>1</v>
      </c>
      <c r="AB28" s="699">
        <f>+'1.Informe Seguimiento POA 2022'!O32</f>
        <v>0</v>
      </c>
      <c r="AC28" s="699">
        <f>+'1.Informe Seguimiento POA 2022'!P32</f>
        <v>0</v>
      </c>
      <c r="AD28" s="699">
        <f>+'1.Informe Seguimiento POA 2022'!Q32</f>
        <v>0</v>
      </c>
      <c r="AE28" s="699">
        <f>+'1.Informe Seguimiento POA 2022'!R32</f>
        <v>0</v>
      </c>
      <c r="AF28" s="699">
        <f>+'1.Informe Seguimiento POA 2022'!S32</f>
        <v>0</v>
      </c>
      <c r="AG28" s="699">
        <f>+'1.Informe Seguimiento POA 2022'!T32</f>
        <v>0</v>
      </c>
      <c r="AH28" s="699">
        <f>+'1.Informe Seguimiento POA 2022'!U32</f>
        <v>1</v>
      </c>
      <c r="AI28" s="699">
        <f>+'1.Informe Seguimiento POA 2022'!V32</f>
        <v>0</v>
      </c>
      <c r="AJ28" s="699">
        <f>+'1.Informe Seguimiento POA 2022'!W32</f>
        <v>1</v>
      </c>
      <c r="AK28" s="699">
        <f>+'1.Informe Seguimiento POA 2022'!X32</f>
        <v>0</v>
      </c>
      <c r="AL28" s="790">
        <f>+'1.Informe Seguimiento POA 2022'!Y32</f>
        <v>0</v>
      </c>
      <c r="AM28" s="700"/>
      <c r="AN28" s="700"/>
      <c r="AO28" s="700"/>
      <c r="AP28" s="700"/>
      <c r="AQ28" s="700"/>
      <c r="AR28" s="700"/>
      <c r="AS28" s="700"/>
      <c r="AT28" s="700"/>
      <c r="AU28" s="699">
        <f t="shared" si="3"/>
        <v>1</v>
      </c>
      <c r="AV28" s="699"/>
      <c r="AW28" s="700"/>
      <c r="AX28" s="700"/>
      <c r="AY28" s="700"/>
      <c r="AZ28" s="700"/>
      <c r="BA28" s="700"/>
      <c r="BB28" s="700"/>
      <c r="BC28" s="700"/>
      <c r="BD28" s="700"/>
      <c r="BE28" s="700"/>
      <c r="BF28" s="699">
        <f t="shared" si="4"/>
        <v>1</v>
      </c>
      <c r="BG28" s="699"/>
      <c r="BH28" s="700"/>
      <c r="BI28" s="815">
        <f t="shared" si="7"/>
        <v>1</v>
      </c>
      <c r="BJ28" s="815">
        <f t="shared" si="8"/>
        <v>0</v>
      </c>
      <c r="BK28" s="700">
        <f>IF(AND(BI28&gt;0),BJ28/BI28,"No programado")</f>
        <v>0</v>
      </c>
      <c r="BL28" s="700">
        <f t="shared" si="6"/>
        <v>0</v>
      </c>
      <c r="BM28" s="701">
        <f t="shared" si="2"/>
        <v>0</v>
      </c>
      <c r="BN28" s="1192"/>
      <c r="BO28" s="1206"/>
      <c r="BP28" s="831"/>
      <c r="BQ28" s="831"/>
    </row>
    <row r="29" spans="2:69" ht="102" customHeight="1">
      <c r="B29" s="1197" t="str">
        <f>+'Matriz PEI 2021-2024'!B13</f>
        <v>2. Realizar acciones de prevención y control a la Función Pública, en el marco del cumplimiento del Plan de Desarrollo, con énfasis en los Derechos e intereses colectivos.</v>
      </c>
      <c r="C29" s="1250" t="str">
        <f>+'Matriz PEI 2021-2024'!C13</f>
        <v>2.1. Realizar 22 acciones de prevención y control a la función pública en medio ambiente, agua, protección y bienestar animal y desarrollo urbano.</v>
      </c>
      <c r="D29" s="1286">
        <f>+'Matriz PEI 2021-2024'!E13</f>
        <v>22</v>
      </c>
      <c r="E29" s="1284">
        <f>+'Matriz PEI 2021-2024'!D13</f>
        <v>0.3</v>
      </c>
      <c r="F29" s="1250" t="s">
        <v>946</v>
      </c>
      <c r="G29" s="1250" t="s">
        <v>947</v>
      </c>
      <c r="H29" s="705" t="str">
        <f>+'1.Informe Seguimiento POA 2022'!D33</f>
        <v>2.1.1 Realizar 16 informes en los cuales se evalúen las políticas ambientales, el manejo de recursos hídricos, protección y bienestar animal y desarrollo urbano en el Distrito Capital.</v>
      </c>
      <c r="I29" s="152">
        <f>+'1.Informe Seguimiento POA 2022'!E33</f>
        <v>0.72727272727272696</v>
      </c>
      <c r="J29" s="706">
        <f>+'1.Informe Seguimiento POA 2022'!F33</f>
        <v>16</v>
      </c>
      <c r="K29" s="707" t="str">
        <f>+'1.Informe Seguimiento POA 2022'!I33</f>
        <v>Prevención y Control a la Función Pública</v>
      </c>
      <c r="L29" s="708" t="str">
        <f>+'1.Informe Seguimiento POA 2022'!J33</f>
        <v xml:space="preserve">Personería Delegada para la Coordinación de Prevención y Control a la Función Pública y sus Personerías Delegadas.
Personería Delegada para la Coordinación de Gestión de las Personerías Locales y sus Personerías Locales. </v>
      </c>
      <c r="M29" s="709">
        <f>+'1.Informe Seguimiento POA 2022'!K33</f>
        <v>2</v>
      </c>
      <c r="N29" s="709">
        <f>+'1.Informe Seguimiento POA 2022'!L33</f>
        <v>7</v>
      </c>
      <c r="O29" s="709">
        <f>+'1.Informe Seguimiento POA 2022'!M33</f>
        <v>6</v>
      </c>
      <c r="P29" s="709">
        <f>+'1.Informe Seguimiento POA 2022'!N33</f>
        <v>1</v>
      </c>
      <c r="Q29" s="710">
        <v>0</v>
      </c>
      <c r="R29" s="710">
        <v>0</v>
      </c>
      <c r="S29" s="710">
        <v>0</v>
      </c>
      <c r="T29" s="791">
        <v>0</v>
      </c>
      <c r="U29" s="710">
        <v>2</v>
      </c>
      <c r="V29" s="791">
        <v>0</v>
      </c>
      <c r="W29" s="710">
        <v>0</v>
      </c>
      <c r="X29" s="791">
        <v>2</v>
      </c>
      <c r="Y29" s="710">
        <v>2</v>
      </c>
      <c r="Z29" s="710">
        <v>2</v>
      </c>
      <c r="AA29" s="711">
        <v>1</v>
      </c>
      <c r="AB29" s="710">
        <f>+'1.Informe Seguimiento POA 2022'!O33</f>
        <v>0</v>
      </c>
      <c r="AC29" s="710">
        <f>+'1.Informe Seguimiento POA 2022'!P33</f>
        <v>0</v>
      </c>
      <c r="AD29" s="710">
        <f>+'1.Informe Seguimiento POA 2022'!Q33</f>
        <v>2</v>
      </c>
      <c r="AE29" s="791">
        <f>+'1.Informe Seguimiento POA 2022'!R33</f>
        <v>0</v>
      </c>
      <c r="AF29" s="710">
        <f>+'1.Informe Seguimiento POA 2022'!S33</f>
        <v>3</v>
      </c>
      <c r="AG29" s="791">
        <f>+'1.Informe Seguimiento POA 2022'!T33</f>
        <v>0</v>
      </c>
      <c r="AH29" s="710">
        <f>+'1.Informe Seguimiento POA 2022'!U33</f>
        <v>2</v>
      </c>
      <c r="AI29" s="791">
        <f>+'1.Informe Seguimiento POA 2022'!V33</f>
        <v>0</v>
      </c>
      <c r="AJ29" s="710">
        <f>+'1.Informe Seguimiento POA 2022'!W33</f>
        <v>7</v>
      </c>
      <c r="AK29" s="710">
        <f>+'1.Informe Seguimiento POA 2022'!X33</f>
        <v>0</v>
      </c>
      <c r="AL29" s="711">
        <f>+'1.Informe Seguimiento POA 2022'!Y33</f>
        <v>0</v>
      </c>
      <c r="AM29" s="711"/>
      <c r="AN29" s="711"/>
      <c r="AO29" s="711"/>
      <c r="AP29" s="711"/>
      <c r="AQ29" s="711"/>
      <c r="AR29" s="711"/>
      <c r="AS29" s="711"/>
      <c r="AT29" s="711"/>
      <c r="AU29" s="710">
        <f t="shared" ref="AU29:AU35" si="9">+O29</f>
        <v>6</v>
      </c>
      <c r="AV29" s="710"/>
      <c r="AW29" s="711"/>
      <c r="AX29" s="711"/>
      <c r="AY29" s="711"/>
      <c r="AZ29" s="711"/>
      <c r="BA29" s="711"/>
      <c r="BB29" s="711"/>
      <c r="BC29" s="711"/>
      <c r="BD29" s="711"/>
      <c r="BE29" s="711"/>
      <c r="BF29" s="710">
        <f t="shared" ref="BF29:BF35" si="10">+P29</f>
        <v>1</v>
      </c>
      <c r="BG29" s="710"/>
      <c r="BH29" s="711"/>
      <c r="BI29" s="710">
        <f t="shared" si="7"/>
        <v>7</v>
      </c>
      <c r="BJ29" s="710">
        <f t="shared" si="8"/>
        <v>0</v>
      </c>
      <c r="BK29" s="812">
        <f t="shared" ref="BK29:BK92" si="11">IF(AND(BI29&gt;0),BJ29/BI29,"No programado")</f>
        <v>0</v>
      </c>
      <c r="BL29" s="711">
        <f t="shared" si="6"/>
        <v>0</v>
      </c>
      <c r="BM29" s="712">
        <f t="shared" si="2"/>
        <v>0</v>
      </c>
      <c r="BN29" s="1333">
        <f>+BM29+BM30</f>
        <v>0</v>
      </c>
      <c r="BO29" s="1194">
        <f>(IF(AND(BN29&gt;0,E29&gt;0),BN29*E29))+(IF(AND(BN31&gt;0,E31&gt;0),BN31*E31))+(IF(AND(BN33&gt;0,E33&gt;0),BN33*E33))</f>
        <v>2.2781201848998459E-2</v>
      </c>
      <c r="BP29" s="831"/>
      <c r="BQ29" s="831"/>
    </row>
    <row r="30" spans="2:69" ht="120" customHeight="1">
      <c r="B30" s="1189"/>
      <c r="C30" s="1252"/>
      <c r="D30" s="1287"/>
      <c r="E30" s="1285"/>
      <c r="F30" s="1252"/>
      <c r="G30" s="1252"/>
      <c r="H30" s="705" t="str">
        <f>+'1.Informe Seguimiento POA 2022'!D34</f>
        <v>2.1.2 Realizar 6 informes de seguimiento a los resultados de las acciones de prevención y control a la función pública en los cuales se evaluaron las políticas ambientales, el manejo de recursos hídricos, protección y bienestar animal y desarrollo urbano, en el Distrito Capital</v>
      </c>
      <c r="I30" s="152">
        <f>+'1.Informe Seguimiento POA 2022'!E34</f>
        <v>0.27272727272727298</v>
      </c>
      <c r="J30" s="706">
        <f>+'1.Informe Seguimiento POA 2022'!F34</f>
        <v>6</v>
      </c>
      <c r="K30" s="707" t="str">
        <f>+'1.Informe Seguimiento POA 2022'!I34</f>
        <v>Prevención y Control a la Función Pública</v>
      </c>
      <c r="L30" s="708" t="str">
        <f>+'1.Informe Seguimiento POA 2022'!J34</f>
        <v xml:space="preserve">Personería Delegada para la Coordinación de Prevención y Control a la Función Pública y sus Personerías Delegadas.
Personería Delegada para la Coordinación de Gestión de las Personerías Locales y sus Personerías Locales. </v>
      </c>
      <c r="M30" s="709">
        <f>+'1.Informe Seguimiento POA 2022'!K34</f>
        <v>1</v>
      </c>
      <c r="N30" s="709">
        <f>+'1.Informe Seguimiento POA 2022'!L34</f>
        <v>1</v>
      </c>
      <c r="O30" s="709">
        <f>+'1.Informe Seguimiento POA 2022'!M34</f>
        <v>3</v>
      </c>
      <c r="P30" s="709">
        <f>+'1.Informe Seguimiento POA 2022'!N34</f>
        <v>1</v>
      </c>
      <c r="Q30" s="710">
        <v>1</v>
      </c>
      <c r="R30" s="710">
        <v>1</v>
      </c>
      <c r="S30" s="710">
        <v>0</v>
      </c>
      <c r="T30" s="791">
        <v>0</v>
      </c>
      <c r="U30" s="710">
        <v>0</v>
      </c>
      <c r="V30" s="791">
        <v>0</v>
      </c>
      <c r="W30" s="710">
        <v>0</v>
      </c>
      <c r="X30" s="791">
        <v>0</v>
      </c>
      <c r="Y30" s="710">
        <v>1</v>
      </c>
      <c r="Z30" s="710">
        <v>1</v>
      </c>
      <c r="AA30" s="711">
        <v>1</v>
      </c>
      <c r="AB30" s="710">
        <f>+'1.Informe Seguimiento POA 2022'!O34</f>
        <v>0</v>
      </c>
      <c r="AC30" s="710">
        <f>+'1.Informe Seguimiento POA 2022'!P34</f>
        <v>0</v>
      </c>
      <c r="AD30" s="710">
        <f>+'1.Informe Seguimiento POA 2022'!Q34</f>
        <v>0</v>
      </c>
      <c r="AE30" s="791">
        <f>+'1.Informe Seguimiento POA 2022'!R34</f>
        <v>0</v>
      </c>
      <c r="AF30" s="710">
        <f>+'1.Informe Seguimiento POA 2022'!S34</f>
        <v>1</v>
      </c>
      <c r="AG30" s="791">
        <f>+'1.Informe Seguimiento POA 2022'!T34</f>
        <v>0</v>
      </c>
      <c r="AH30" s="710">
        <f>+'1.Informe Seguimiento POA 2022'!U34</f>
        <v>0</v>
      </c>
      <c r="AI30" s="791">
        <f>+'1.Informe Seguimiento POA 2022'!V34</f>
        <v>0</v>
      </c>
      <c r="AJ30" s="710">
        <f>+'1.Informe Seguimiento POA 2022'!W34</f>
        <v>1</v>
      </c>
      <c r="AK30" s="710">
        <f>+'1.Informe Seguimiento POA 2022'!X34</f>
        <v>0</v>
      </c>
      <c r="AL30" s="711">
        <f>+'1.Informe Seguimiento POA 2022'!Y34</f>
        <v>0</v>
      </c>
      <c r="AM30" s="711"/>
      <c r="AN30" s="711"/>
      <c r="AO30" s="711"/>
      <c r="AP30" s="711"/>
      <c r="AQ30" s="711"/>
      <c r="AR30" s="711"/>
      <c r="AS30" s="711"/>
      <c r="AT30" s="711"/>
      <c r="AU30" s="710">
        <f t="shared" si="9"/>
        <v>3</v>
      </c>
      <c r="AV30" s="710"/>
      <c r="AW30" s="711"/>
      <c r="AX30" s="711"/>
      <c r="AY30" s="711"/>
      <c r="AZ30" s="711"/>
      <c r="BA30" s="711"/>
      <c r="BB30" s="711"/>
      <c r="BC30" s="711"/>
      <c r="BD30" s="711"/>
      <c r="BE30" s="711"/>
      <c r="BF30" s="710">
        <f t="shared" si="10"/>
        <v>1</v>
      </c>
      <c r="BG30" s="710"/>
      <c r="BH30" s="711"/>
      <c r="BI30" s="710">
        <f t="shared" si="7"/>
        <v>1</v>
      </c>
      <c r="BJ30" s="710">
        <f t="shared" si="8"/>
        <v>0</v>
      </c>
      <c r="BK30" s="812">
        <f t="shared" si="11"/>
        <v>0</v>
      </c>
      <c r="BL30" s="711">
        <f t="shared" si="6"/>
        <v>0</v>
      </c>
      <c r="BM30" s="712">
        <f t="shared" si="2"/>
        <v>0</v>
      </c>
      <c r="BN30" s="1333"/>
      <c r="BO30" s="1195"/>
      <c r="BP30" s="831"/>
      <c r="BQ30" s="831"/>
    </row>
    <row r="31" spans="2:69" ht="100.5" customHeight="1">
      <c r="B31" s="1189"/>
      <c r="C31" s="1250" t="str">
        <f>+'Matriz PEI 2021-2024'!C14</f>
        <v>2.2. Fortalecer la moralidad publica realizando  952 acciones de prevención y control a la función pública.</v>
      </c>
      <c r="D31" s="1286">
        <f>+'Matriz PEI 2021-2024'!E14</f>
        <v>888</v>
      </c>
      <c r="E31" s="1284">
        <f>+'Matriz PEI 2021-2024'!D14</f>
        <v>0.6</v>
      </c>
      <c r="F31" s="1250" t="s">
        <v>948</v>
      </c>
      <c r="G31" s="1250" t="s">
        <v>949</v>
      </c>
      <c r="H31" s="705" t="str">
        <f>+'1.Informe Seguimiento POA 2022'!D35</f>
        <v>2.2.1 Realizar 817 acciones de prevención y control a la función pública para fortalecer la moralidad pública.</v>
      </c>
      <c r="I31" s="152">
        <f>+'1.Informe Seguimiento POA 2022'!E35</f>
        <v>0.92840909090909096</v>
      </c>
      <c r="J31" s="706">
        <f>+'1.Informe Seguimiento POA 2022'!F35</f>
        <v>817</v>
      </c>
      <c r="K31" s="707" t="str">
        <f>+'1.Informe Seguimiento POA 2022'!I35</f>
        <v>Prevención y Control a la Función Pública</v>
      </c>
      <c r="L31" s="708" t="str">
        <f>+'1.Informe Seguimiento POA 2022'!J35</f>
        <v xml:space="preserve">Personería Delegada para la Coordinación de Prevención y Control a la Función Pública y sus Personerías Delegadas.
Personería Delegada para la Coordinación de Gestión de las Personerías Locales y sus Personerías Locales. </v>
      </c>
      <c r="M31" s="709">
        <f>+'1.Informe Seguimiento POA 2022'!K35</f>
        <v>200</v>
      </c>
      <c r="N31" s="709">
        <f>+'1.Informe Seguimiento POA 2022'!L35</f>
        <v>286</v>
      </c>
      <c r="O31" s="709">
        <f>+'1.Informe Seguimiento POA 2022'!M35</f>
        <v>259</v>
      </c>
      <c r="P31" s="709">
        <f>+'1.Informe Seguimiento POA 2022'!N35</f>
        <v>72</v>
      </c>
      <c r="Q31" s="710">
        <v>13</v>
      </c>
      <c r="R31" s="710">
        <v>37</v>
      </c>
      <c r="S31" s="710">
        <v>70</v>
      </c>
      <c r="T31" s="791">
        <v>74</v>
      </c>
      <c r="U31" s="710">
        <v>72</v>
      </c>
      <c r="V31" s="791">
        <v>40</v>
      </c>
      <c r="W31" s="710">
        <v>45</v>
      </c>
      <c r="X31" s="791">
        <v>129</v>
      </c>
      <c r="Y31" s="710">
        <v>200</v>
      </c>
      <c r="Z31" s="710">
        <v>280</v>
      </c>
      <c r="AA31" s="711">
        <v>1.4</v>
      </c>
      <c r="AB31" s="710">
        <f>+'1.Informe Seguimiento POA 2022'!O35</f>
        <v>41</v>
      </c>
      <c r="AC31" s="710">
        <f>+'1.Informe Seguimiento POA 2022'!P35</f>
        <v>16</v>
      </c>
      <c r="AD31" s="710">
        <f>+'1.Informe Seguimiento POA 2022'!Q35</f>
        <v>77</v>
      </c>
      <c r="AE31" s="791">
        <f>+'1.Informe Seguimiento POA 2022'!R35</f>
        <v>0</v>
      </c>
      <c r="AF31" s="710">
        <f>+'1.Informe Seguimiento POA 2022'!S35</f>
        <v>114</v>
      </c>
      <c r="AG31" s="791">
        <f>+'1.Informe Seguimiento POA 2022'!T35</f>
        <v>0</v>
      </c>
      <c r="AH31" s="710">
        <f>+'1.Informe Seguimiento POA 2022'!U35</f>
        <v>54</v>
      </c>
      <c r="AI31" s="791">
        <f>+'1.Informe Seguimiento POA 2022'!V35</f>
        <v>0</v>
      </c>
      <c r="AJ31" s="710">
        <f>+'1.Informe Seguimiento POA 2022'!W35</f>
        <v>286</v>
      </c>
      <c r="AK31" s="710">
        <f>+'1.Informe Seguimiento POA 2022'!X35</f>
        <v>16</v>
      </c>
      <c r="AL31" s="711">
        <f>+'1.Informe Seguimiento POA 2022'!Y35</f>
        <v>5.5944055944055944E-2</v>
      </c>
      <c r="AM31" s="711"/>
      <c r="AN31" s="711"/>
      <c r="AO31" s="711"/>
      <c r="AP31" s="711"/>
      <c r="AQ31" s="711"/>
      <c r="AR31" s="711"/>
      <c r="AS31" s="711"/>
      <c r="AT31" s="711"/>
      <c r="AU31" s="710">
        <f t="shared" si="9"/>
        <v>259</v>
      </c>
      <c r="AV31" s="710"/>
      <c r="AW31" s="711"/>
      <c r="AX31" s="711"/>
      <c r="AY31" s="711"/>
      <c r="AZ31" s="711"/>
      <c r="BA31" s="711"/>
      <c r="BB31" s="711"/>
      <c r="BC31" s="711"/>
      <c r="BD31" s="711"/>
      <c r="BE31" s="711"/>
      <c r="BF31" s="710">
        <f t="shared" si="10"/>
        <v>72</v>
      </c>
      <c r="BG31" s="710"/>
      <c r="BH31" s="711"/>
      <c r="BI31" s="710">
        <f t="shared" si="7"/>
        <v>286</v>
      </c>
      <c r="BJ31" s="710">
        <f t="shared" si="8"/>
        <v>16</v>
      </c>
      <c r="BK31" s="812">
        <f t="shared" si="11"/>
        <v>5.5944055944055944E-2</v>
      </c>
      <c r="BL31" s="711">
        <f t="shared" si="6"/>
        <v>1.9583843329253364E-2</v>
      </c>
      <c r="BM31" s="712">
        <f t="shared" si="2"/>
        <v>1.8181818181818181E-2</v>
      </c>
      <c r="BN31" s="1333">
        <f>+BM31+BM32</f>
        <v>2.0454545454545454E-2</v>
      </c>
      <c r="BO31" s="1195"/>
      <c r="BP31" s="831"/>
      <c r="BQ31" s="831"/>
    </row>
    <row r="32" spans="2:69" ht="100.5" customHeight="1">
      <c r="B32" s="1189"/>
      <c r="C32" s="1252"/>
      <c r="D32" s="1287"/>
      <c r="E32" s="1285"/>
      <c r="F32" s="1252"/>
      <c r="G32" s="1252"/>
      <c r="H32" s="705" t="str">
        <f>+'1.Informe Seguimiento POA 2022'!D36</f>
        <v>2.2.2 Realizar 135 acciones de prevención y control a la función pública - seguimientos, para fortalecer la moralidad pública en el Distrito Capital.</v>
      </c>
      <c r="I32" s="152">
        <f>+'1.Informe Seguimiento POA 2022'!E36</f>
        <v>0.15340909090909091</v>
      </c>
      <c r="J32" s="706">
        <f>+'1.Informe Seguimiento POA 2022'!F36</f>
        <v>135</v>
      </c>
      <c r="K32" s="707" t="str">
        <f>+'1.Informe Seguimiento POA 2022'!I36</f>
        <v>Prevención y Control a la Función Pública</v>
      </c>
      <c r="L32" s="708" t="str">
        <f>+'1.Informe Seguimiento POA 2022'!J36</f>
        <v xml:space="preserve">Personería Delegada para la Coordinación de Prevención y Control a la Función Pública y sus Personerías Delegadas.
Personería Delegada para la Coordinación de Gestión de las Personerías Locales y sus Personerías Locales. </v>
      </c>
      <c r="M32" s="709">
        <f>+'1.Informe Seguimiento POA 2022'!K36</f>
        <v>28</v>
      </c>
      <c r="N32" s="709">
        <f>+'1.Informe Seguimiento POA 2022'!L36</f>
        <v>67</v>
      </c>
      <c r="O32" s="709">
        <f>+'1.Informe Seguimiento POA 2022'!M36</f>
        <v>30</v>
      </c>
      <c r="P32" s="709">
        <f>+'1.Informe Seguimiento POA 2022'!N36</f>
        <v>10</v>
      </c>
      <c r="Q32" s="710">
        <v>0</v>
      </c>
      <c r="R32" s="710">
        <v>0</v>
      </c>
      <c r="S32" s="710">
        <v>4</v>
      </c>
      <c r="T32" s="791">
        <v>23</v>
      </c>
      <c r="U32" s="710">
        <v>8</v>
      </c>
      <c r="V32" s="791">
        <v>0</v>
      </c>
      <c r="W32" s="710">
        <v>16</v>
      </c>
      <c r="X32" s="791">
        <v>43</v>
      </c>
      <c r="Y32" s="710">
        <v>28</v>
      </c>
      <c r="Z32" s="710">
        <v>66</v>
      </c>
      <c r="AA32" s="711">
        <v>2.3571428571428572</v>
      </c>
      <c r="AB32" s="710">
        <f>+'1.Informe Seguimiento POA 2022'!O36</f>
        <v>1</v>
      </c>
      <c r="AC32" s="710">
        <f>+'1.Informe Seguimiento POA 2022'!P36</f>
        <v>2</v>
      </c>
      <c r="AD32" s="710">
        <f>+'1.Informe Seguimiento POA 2022'!Q36</f>
        <v>20</v>
      </c>
      <c r="AE32" s="791">
        <f>+'1.Informe Seguimiento POA 2022'!R36</f>
        <v>0</v>
      </c>
      <c r="AF32" s="710">
        <f>+'1.Informe Seguimiento POA 2022'!S36</f>
        <v>46</v>
      </c>
      <c r="AG32" s="791">
        <f>+'1.Informe Seguimiento POA 2022'!T36</f>
        <v>0</v>
      </c>
      <c r="AH32" s="710">
        <f>+'1.Informe Seguimiento POA 2022'!U36</f>
        <v>0</v>
      </c>
      <c r="AI32" s="791">
        <f>+'1.Informe Seguimiento POA 2022'!V36</f>
        <v>0</v>
      </c>
      <c r="AJ32" s="710">
        <f>+'1.Informe Seguimiento POA 2022'!W36</f>
        <v>67</v>
      </c>
      <c r="AK32" s="710">
        <f>+'1.Informe Seguimiento POA 2022'!X36</f>
        <v>2</v>
      </c>
      <c r="AL32" s="711">
        <f>+'1.Informe Seguimiento POA 2022'!Y36</f>
        <v>2.9850746268656716E-2</v>
      </c>
      <c r="AM32" s="711"/>
      <c r="AN32" s="711"/>
      <c r="AO32" s="711"/>
      <c r="AP32" s="711"/>
      <c r="AQ32" s="711"/>
      <c r="AR32" s="711"/>
      <c r="AS32" s="711"/>
      <c r="AT32" s="711"/>
      <c r="AU32" s="710">
        <f t="shared" si="9"/>
        <v>30</v>
      </c>
      <c r="AV32" s="710"/>
      <c r="AW32" s="711"/>
      <c r="AX32" s="711"/>
      <c r="AY32" s="711"/>
      <c r="AZ32" s="711"/>
      <c r="BA32" s="711"/>
      <c r="BB32" s="711"/>
      <c r="BC32" s="711"/>
      <c r="BD32" s="711"/>
      <c r="BE32" s="711"/>
      <c r="BF32" s="710">
        <f t="shared" si="10"/>
        <v>10</v>
      </c>
      <c r="BG32" s="710"/>
      <c r="BH32" s="711"/>
      <c r="BI32" s="710">
        <f t="shared" si="7"/>
        <v>67</v>
      </c>
      <c r="BJ32" s="710">
        <f t="shared" si="8"/>
        <v>2</v>
      </c>
      <c r="BK32" s="812">
        <f t="shared" si="11"/>
        <v>2.9850746268656716E-2</v>
      </c>
      <c r="BL32" s="711">
        <f t="shared" si="6"/>
        <v>1.4814814814814815E-2</v>
      </c>
      <c r="BM32" s="712">
        <f t="shared" si="2"/>
        <v>2.2727272727272731E-3</v>
      </c>
      <c r="BN32" s="1333"/>
      <c r="BO32" s="1195"/>
      <c r="BP32" s="831"/>
      <c r="BQ32" s="831"/>
    </row>
    <row r="33" spans="2:69" ht="65.25" customHeight="1">
      <c r="B33" s="1189"/>
      <c r="C33" s="1250" t="str">
        <f>+'Matriz PEI 2021-2024'!C15</f>
        <v>2.3. Fortalecer 320 espacios de participación ciudadana en la Personería de Bogotá</v>
      </c>
      <c r="D33" s="1286">
        <f>+'Matriz PEI 2021-2024'!E15</f>
        <v>300</v>
      </c>
      <c r="E33" s="1284">
        <f>+'Matriz PEI 2021-2024'!D15</f>
        <v>0.1</v>
      </c>
      <c r="F33" s="1250" t="s">
        <v>950</v>
      </c>
      <c r="G33" s="1250" t="s">
        <v>951</v>
      </c>
      <c r="H33" s="705" t="str">
        <f>+'1.Informe Seguimiento POA 2022'!D37</f>
        <v>2.3.1 Realizar 60 audiencias públicas y/o mesas de trabajo, las cuales permitan la participación ciudadana, con énfasis en los Derechos e intereses colectivos.</v>
      </c>
      <c r="I33" s="152">
        <f>+'1.Informe Seguimiento POA 2022'!E37</f>
        <v>0.20338983050847459</v>
      </c>
      <c r="J33" s="706">
        <f>+'1.Informe Seguimiento POA 2022'!F37</f>
        <v>60</v>
      </c>
      <c r="K33" s="707" t="str">
        <f>+'1.Informe Seguimiento POA 2022'!I37</f>
        <v>Prevención y Control a la Función Pública</v>
      </c>
      <c r="L33" s="708" t="str">
        <f>+'1.Informe Seguimiento POA 2022'!J37</f>
        <v>Personería Delegada para la Coordinación de Prevención y Control a la Función Pública y sus Personerías Delegadas.</v>
      </c>
      <c r="M33" s="709">
        <f>+'1.Informe Seguimiento POA 2022'!K37</f>
        <v>12</v>
      </c>
      <c r="N33" s="709">
        <f>+'1.Informe Seguimiento POA 2022'!L37</f>
        <v>21</v>
      </c>
      <c r="O33" s="709">
        <f>+'1.Informe Seguimiento POA 2022'!M37</f>
        <v>23</v>
      </c>
      <c r="P33" s="709">
        <f>+'1.Informe Seguimiento POA 2022'!N37</f>
        <v>4</v>
      </c>
      <c r="Q33" s="710">
        <v>1</v>
      </c>
      <c r="R33" s="710">
        <v>2</v>
      </c>
      <c r="S33" s="710">
        <v>3</v>
      </c>
      <c r="T33" s="791">
        <v>3</v>
      </c>
      <c r="U33" s="710">
        <v>3</v>
      </c>
      <c r="V33" s="791">
        <v>3</v>
      </c>
      <c r="W33" s="710">
        <v>5</v>
      </c>
      <c r="X33" s="791">
        <v>4</v>
      </c>
      <c r="Y33" s="710">
        <v>12</v>
      </c>
      <c r="Z33" s="710">
        <v>12</v>
      </c>
      <c r="AA33" s="711">
        <v>1</v>
      </c>
      <c r="AB33" s="710">
        <f>+'1.Informe Seguimiento POA 2022'!O37</f>
        <v>2</v>
      </c>
      <c r="AC33" s="710">
        <f>+'1.Informe Seguimiento POA 2022'!P37</f>
        <v>0</v>
      </c>
      <c r="AD33" s="710">
        <f>+'1.Informe Seguimiento POA 2022'!Q37</f>
        <v>6</v>
      </c>
      <c r="AE33" s="791">
        <f>+'1.Informe Seguimiento POA 2022'!R37</f>
        <v>0</v>
      </c>
      <c r="AF33" s="710">
        <f>+'1.Informe Seguimiento POA 2022'!S37</f>
        <v>6</v>
      </c>
      <c r="AG33" s="791">
        <f>+'1.Informe Seguimiento POA 2022'!T37</f>
        <v>0</v>
      </c>
      <c r="AH33" s="710">
        <f>+'1.Informe Seguimiento POA 2022'!U37</f>
        <v>7</v>
      </c>
      <c r="AI33" s="791">
        <f>+'1.Informe Seguimiento POA 2022'!V37</f>
        <v>0</v>
      </c>
      <c r="AJ33" s="710">
        <f>+'1.Informe Seguimiento POA 2022'!W37</f>
        <v>21</v>
      </c>
      <c r="AK33" s="710">
        <f>+'1.Informe Seguimiento POA 2022'!X37</f>
        <v>0</v>
      </c>
      <c r="AL33" s="711">
        <f>+'1.Informe Seguimiento POA 2022'!Y37</f>
        <v>0</v>
      </c>
      <c r="AM33" s="711"/>
      <c r="AN33" s="711"/>
      <c r="AO33" s="711"/>
      <c r="AP33" s="711"/>
      <c r="AQ33" s="711"/>
      <c r="AR33" s="711"/>
      <c r="AS33" s="711"/>
      <c r="AT33" s="711"/>
      <c r="AU33" s="710">
        <f t="shared" si="9"/>
        <v>23</v>
      </c>
      <c r="AV33" s="710"/>
      <c r="AW33" s="711"/>
      <c r="AX33" s="711"/>
      <c r="AY33" s="711"/>
      <c r="AZ33" s="711"/>
      <c r="BA33" s="711"/>
      <c r="BB33" s="711"/>
      <c r="BC33" s="711"/>
      <c r="BD33" s="711"/>
      <c r="BE33" s="711"/>
      <c r="BF33" s="710">
        <f t="shared" si="10"/>
        <v>4</v>
      </c>
      <c r="BG33" s="710"/>
      <c r="BH33" s="711"/>
      <c r="BI33" s="710">
        <f t="shared" si="7"/>
        <v>21</v>
      </c>
      <c r="BJ33" s="710">
        <f t="shared" si="8"/>
        <v>0</v>
      </c>
      <c r="BK33" s="812">
        <f t="shared" si="11"/>
        <v>0</v>
      </c>
      <c r="BL33" s="711">
        <f t="shared" si="6"/>
        <v>0</v>
      </c>
      <c r="BM33" s="712">
        <f t="shared" si="2"/>
        <v>0</v>
      </c>
      <c r="BN33" s="1195">
        <f>+BM33+BM34+BM35</f>
        <v>0.10508474576271187</v>
      </c>
      <c r="BO33" s="1195"/>
      <c r="BP33" s="831"/>
      <c r="BQ33" s="831"/>
    </row>
    <row r="34" spans="2:69" ht="63.75" customHeight="1">
      <c r="B34" s="1189"/>
      <c r="C34" s="1251"/>
      <c r="D34" s="1288"/>
      <c r="E34" s="1289"/>
      <c r="F34" s="1251"/>
      <c r="G34" s="1251"/>
      <c r="H34" s="705" t="str">
        <f>+'1.Informe Seguimiento POA 2022'!D38</f>
        <v>2.3.2 Realizar 160 acompañamientos a los ciudadanos que intervienen en los diferentes espacios de participación ciudadana.</v>
      </c>
      <c r="I34" s="152">
        <f>+'1.Informe Seguimiento POA 2022'!E38</f>
        <v>0.5423728813559322</v>
      </c>
      <c r="J34" s="706">
        <f>+'1.Informe Seguimiento POA 2022'!F38</f>
        <v>160</v>
      </c>
      <c r="K34" s="707" t="str">
        <f>+'1.Informe Seguimiento POA 2022'!I38</f>
        <v>Prevención y Control a la Función Pública</v>
      </c>
      <c r="L34" s="708" t="str">
        <f>+'1.Informe Seguimiento POA 2022'!J38</f>
        <v xml:space="preserve">Personería Delegada para la Coordinación de Gestión de las Personerías Locales y sus Personerías Locales. </v>
      </c>
      <c r="M34" s="709">
        <f>+'1.Informe Seguimiento POA 2022'!K38</f>
        <v>40</v>
      </c>
      <c r="N34" s="709">
        <f>+'1.Informe Seguimiento POA 2022'!L38</f>
        <v>60</v>
      </c>
      <c r="O34" s="709">
        <f>+'1.Informe Seguimiento POA 2022'!M38</f>
        <v>40</v>
      </c>
      <c r="P34" s="709">
        <f>+'1.Informe Seguimiento POA 2022'!N38</f>
        <v>20</v>
      </c>
      <c r="Q34" s="710">
        <v>8</v>
      </c>
      <c r="R34" s="710">
        <v>23</v>
      </c>
      <c r="S34" s="710">
        <v>12</v>
      </c>
      <c r="T34" s="791">
        <v>21</v>
      </c>
      <c r="U34" s="710">
        <v>12</v>
      </c>
      <c r="V34" s="791">
        <v>26</v>
      </c>
      <c r="W34" s="710">
        <v>8</v>
      </c>
      <c r="X34" s="791">
        <v>19</v>
      </c>
      <c r="Y34" s="710">
        <v>40</v>
      </c>
      <c r="Z34" s="710">
        <v>89</v>
      </c>
      <c r="AA34" s="711">
        <v>2.2250000000000001</v>
      </c>
      <c r="AB34" s="710">
        <f>+'1.Informe Seguimiento POA 2022'!O38</f>
        <v>12</v>
      </c>
      <c r="AC34" s="710">
        <f>+'1.Informe Seguimiento POA 2022'!P38</f>
        <v>18</v>
      </c>
      <c r="AD34" s="710">
        <f>+'1.Informe Seguimiento POA 2022'!Q38</f>
        <v>18</v>
      </c>
      <c r="AE34" s="791">
        <f>+'1.Informe Seguimiento POA 2022'!R38</f>
        <v>0</v>
      </c>
      <c r="AF34" s="710">
        <f>+'1.Informe Seguimiento POA 2022'!S38</f>
        <v>18</v>
      </c>
      <c r="AG34" s="791">
        <f>+'1.Informe Seguimiento POA 2022'!T38</f>
        <v>0</v>
      </c>
      <c r="AH34" s="710">
        <f>+'1.Informe Seguimiento POA 2022'!U38</f>
        <v>12</v>
      </c>
      <c r="AI34" s="791">
        <f>+'1.Informe Seguimiento POA 2022'!V38</f>
        <v>0</v>
      </c>
      <c r="AJ34" s="710">
        <f>+'1.Informe Seguimiento POA 2022'!W38</f>
        <v>60</v>
      </c>
      <c r="AK34" s="710">
        <f>+'1.Informe Seguimiento POA 2022'!X38</f>
        <v>18</v>
      </c>
      <c r="AL34" s="711">
        <f>+'1.Informe Seguimiento POA 2022'!Y38</f>
        <v>0.3</v>
      </c>
      <c r="AM34" s="711"/>
      <c r="AN34" s="711"/>
      <c r="AO34" s="711"/>
      <c r="AP34" s="711"/>
      <c r="AQ34" s="711"/>
      <c r="AR34" s="711"/>
      <c r="AS34" s="711"/>
      <c r="AT34" s="711"/>
      <c r="AU34" s="710">
        <f t="shared" si="9"/>
        <v>40</v>
      </c>
      <c r="AV34" s="710"/>
      <c r="AW34" s="711"/>
      <c r="AX34" s="711"/>
      <c r="AY34" s="711"/>
      <c r="AZ34" s="711"/>
      <c r="BA34" s="711"/>
      <c r="BB34" s="711"/>
      <c r="BC34" s="711"/>
      <c r="BD34" s="711"/>
      <c r="BE34" s="711"/>
      <c r="BF34" s="710">
        <f t="shared" si="10"/>
        <v>20</v>
      </c>
      <c r="BG34" s="710"/>
      <c r="BH34" s="711"/>
      <c r="BI34" s="710">
        <f t="shared" si="7"/>
        <v>60</v>
      </c>
      <c r="BJ34" s="710">
        <f t="shared" si="8"/>
        <v>18</v>
      </c>
      <c r="BK34" s="812">
        <f t="shared" si="11"/>
        <v>0.3</v>
      </c>
      <c r="BL34" s="711">
        <f t="shared" si="6"/>
        <v>0.1125</v>
      </c>
      <c r="BM34" s="712">
        <f t="shared" si="2"/>
        <v>6.1016949152542375E-2</v>
      </c>
      <c r="BN34" s="1195"/>
      <c r="BO34" s="1195"/>
      <c r="BP34" s="831"/>
      <c r="BQ34" s="831"/>
    </row>
    <row r="35" spans="2:69" ht="102" customHeight="1">
      <c r="B35" s="1190"/>
      <c r="C35" s="1252"/>
      <c r="D35" s="1287"/>
      <c r="E35" s="1285"/>
      <c r="F35" s="1252"/>
      <c r="G35" s="1252"/>
      <c r="H35" s="705" t="str">
        <f>+'1.Informe Seguimiento POA 2022'!D39</f>
        <v>2.3.3 Realizar 100 espacios de diálogo con las personas para retroalimentar las actividades de participación ciudadana</v>
      </c>
      <c r="I35" s="152">
        <f>+'1.Informe Seguimiento POA 2022'!E39</f>
        <v>0.33898305084745761</v>
      </c>
      <c r="J35" s="706">
        <f>+'1.Informe Seguimiento POA 2022'!F39</f>
        <v>100</v>
      </c>
      <c r="K35" s="707" t="str">
        <f>+'1.Informe Seguimiento POA 2022'!I39</f>
        <v>Prevención y Control a la Función Pública</v>
      </c>
      <c r="L35" s="708" t="str">
        <f>+'1.Informe Seguimiento POA 2022'!J39</f>
        <v>Personería Delegada para la Coordinación de Gestión de las Personerías Locales y sus Personerías Locales. 
Personería Delegada para la Coordinación de Prevención y Control a la Función Pública y sus Personerías Delegadas.</v>
      </c>
      <c r="M35" s="709">
        <f>+'1.Informe Seguimiento POA 2022'!K39</f>
        <v>20</v>
      </c>
      <c r="N35" s="709">
        <f>+'1.Informe Seguimiento POA 2022'!L39</f>
        <v>30</v>
      </c>
      <c r="O35" s="709">
        <f>+'1.Informe Seguimiento POA 2022'!M39</f>
        <v>30</v>
      </c>
      <c r="P35" s="709">
        <f>+'1.Informe Seguimiento POA 2022'!N39</f>
        <v>20</v>
      </c>
      <c r="Q35" s="710">
        <v>4</v>
      </c>
      <c r="R35" s="710">
        <v>0</v>
      </c>
      <c r="S35" s="710">
        <v>6</v>
      </c>
      <c r="T35" s="791">
        <v>7</v>
      </c>
      <c r="U35" s="710">
        <v>6</v>
      </c>
      <c r="V35" s="791">
        <v>16</v>
      </c>
      <c r="W35" s="710">
        <v>4</v>
      </c>
      <c r="X35" s="791">
        <v>20</v>
      </c>
      <c r="Y35" s="710">
        <v>20</v>
      </c>
      <c r="Z35" s="710">
        <v>43</v>
      </c>
      <c r="AA35" s="711">
        <v>2.15</v>
      </c>
      <c r="AB35" s="710">
        <f>+'1.Informe Seguimiento POA 2022'!O39</f>
        <v>6</v>
      </c>
      <c r="AC35" s="710">
        <f>+'1.Informe Seguimiento POA 2022'!P39</f>
        <v>13</v>
      </c>
      <c r="AD35" s="710">
        <f>+'1.Informe Seguimiento POA 2022'!Q39</f>
        <v>9</v>
      </c>
      <c r="AE35" s="791">
        <f>+'1.Informe Seguimiento POA 2022'!R39</f>
        <v>0</v>
      </c>
      <c r="AF35" s="710">
        <f>+'1.Informe Seguimiento POA 2022'!S39</f>
        <v>9</v>
      </c>
      <c r="AG35" s="791">
        <f>+'1.Informe Seguimiento POA 2022'!T39</f>
        <v>0</v>
      </c>
      <c r="AH35" s="710">
        <f>+'1.Informe Seguimiento POA 2022'!U39</f>
        <v>6</v>
      </c>
      <c r="AI35" s="791">
        <f>+'1.Informe Seguimiento POA 2022'!V39</f>
        <v>0</v>
      </c>
      <c r="AJ35" s="710">
        <f>+'1.Informe Seguimiento POA 2022'!W39</f>
        <v>30</v>
      </c>
      <c r="AK35" s="710">
        <f>+'1.Informe Seguimiento POA 2022'!X39</f>
        <v>13</v>
      </c>
      <c r="AL35" s="711">
        <f>+'1.Informe Seguimiento POA 2022'!Y39</f>
        <v>0.43333333333333335</v>
      </c>
      <c r="AM35" s="711"/>
      <c r="AN35" s="711"/>
      <c r="AO35" s="711"/>
      <c r="AP35" s="711"/>
      <c r="AQ35" s="711"/>
      <c r="AR35" s="711"/>
      <c r="AS35" s="711"/>
      <c r="AT35" s="711"/>
      <c r="AU35" s="710">
        <f t="shared" si="9"/>
        <v>30</v>
      </c>
      <c r="AV35" s="710"/>
      <c r="AW35" s="711"/>
      <c r="AX35" s="711"/>
      <c r="AY35" s="711"/>
      <c r="AZ35" s="711"/>
      <c r="BA35" s="711"/>
      <c r="BB35" s="711"/>
      <c r="BC35" s="711"/>
      <c r="BD35" s="711"/>
      <c r="BE35" s="711"/>
      <c r="BF35" s="710">
        <f t="shared" si="10"/>
        <v>20</v>
      </c>
      <c r="BG35" s="710"/>
      <c r="BH35" s="711"/>
      <c r="BI35" s="710">
        <f t="shared" si="7"/>
        <v>30</v>
      </c>
      <c r="BJ35" s="710">
        <f t="shared" si="8"/>
        <v>13</v>
      </c>
      <c r="BK35" s="812">
        <f t="shared" si="11"/>
        <v>0.43333333333333335</v>
      </c>
      <c r="BL35" s="711">
        <f t="shared" si="6"/>
        <v>0.13</v>
      </c>
      <c r="BM35" s="712">
        <f t="shared" si="2"/>
        <v>4.4067796610169491E-2</v>
      </c>
      <c r="BN35" s="1196"/>
      <c r="BO35" s="1196"/>
      <c r="BP35" s="831"/>
      <c r="BQ35" s="831"/>
    </row>
    <row r="36" spans="2:69" ht="93.75" customHeight="1">
      <c r="B36" s="1165" t="str">
        <f>+'Matriz PEI 2021-2024'!B16</f>
        <v>3. Vigilar la conducta oficial de los(as) servidores(as) públicos(as) del Distrito Capital, mediante acciones preventivas y correctivas, que permitan un adecuado cumplimiento de los principios de la Función Pública</v>
      </c>
      <c r="C36" s="1232" t="str">
        <f>+'Matriz PEI 2021-2024'!C16</f>
        <v>3.1. Descongestionar 6.700 procesos disciplinarios con criterios de calidad, efectividad y garantía del debido proceso.</v>
      </c>
      <c r="D36" s="1281">
        <f>+'Matriz PEI 2021-2024'!E16</f>
        <v>6700</v>
      </c>
      <c r="E36" s="1241">
        <f>+'Matriz PEI 2021-2024'!D16</f>
        <v>0.4</v>
      </c>
      <c r="F36" s="783" t="s">
        <v>952</v>
      </c>
      <c r="G36" s="784" t="s">
        <v>953</v>
      </c>
      <c r="H36" s="51" t="str">
        <f>+'1.Informe Seguimiento POA 2022'!D40</f>
        <v xml:space="preserve">3.1.1 Identificar y decidir de fondo 6,700  procesos, priorizando aquellos que se encuentren con riesgo de prescripción y/o vencidos en su etapa procesal (indagación, investigación y juzgamiento). </v>
      </c>
      <c r="I36" s="786">
        <f>+'1.Informe Seguimiento POA 2022'!E40</f>
        <v>0.8</v>
      </c>
      <c r="J36" s="697">
        <f>+'1.Informe Seguimiento POA 2022'!F40</f>
        <v>6700</v>
      </c>
      <c r="K36" s="787" t="str">
        <f>+'1.Informe Seguimiento POA 2022'!I40</f>
        <v>Potestad Disciplinaria</v>
      </c>
      <c r="L36" s="787" t="str">
        <f>+'1.Informe Seguimiento POA 2022'!J40</f>
        <v>Personería Delegada para la Coordinación de Potestad Disciplinaria</v>
      </c>
      <c r="M36" s="698">
        <f>+'1.Informe Seguimiento POA 2022'!K40</f>
        <v>1600</v>
      </c>
      <c r="N36" s="698">
        <f>+'1.Informe Seguimiento POA 2022'!L40</f>
        <v>1800</v>
      </c>
      <c r="O36" s="698">
        <f>+'1.Informe Seguimiento POA 2022'!M40</f>
        <v>1800</v>
      </c>
      <c r="P36" s="698">
        <f>+'1.Informe Seguimiento POA 2022'!N40</f>
        <v>1500</v>
      </c>
      <c r="Q36" s="699">
        <v>250</v>
      </c>
      <c r="R36" s="699">
        <v>319</v>
      </c>
      <c r="S36" s="699">
        <v>450</v>
      </c>
      <c r="T36" s="699">
        <v>528</v>
      </c>
      <c r="U36" s="699">
        <v>140</v>
      </c>
      <c r="V36" s="699">
        <v>329</v>
      </c>
      <c r="W36" s="699">
        <v>760</v>
      </c>
      <c r="X36" s="699">
        <v>393</v>
      </c>
      <c r="Y36" s="699">
        <v>1600</v>
      </c>
      <c r="Z36" s="699">
        <v>1569</v>
      </c>
      <c r="AA36" s="1097">
        <v>0.98062499999999997</v>
      </c>
      <c r="AB36" s="699">
        <f>+'1.Informe Seguimiento POA 2022'!O40</f>
        <v>300</v>
      </c>
      <c r="AC36" s="699">
        <f>+'1.Informe Seguimiento POA 2022'!P40</f>
        <v>318</v>
      </c>
      <c r="AD36" s="699">
        <f>+'1.Informe Seguimiento POA 2022'!Q40</f>
        <v>490</v>
      </c>
      <c r="AE36" s="699">
        <f>+'1.Informe Seguimiento POA 2022'!R40</f>
        <v>0</v>
      </c>
      <c r="AF36" s="699">
        <f>+'1.Informe Seguimiento POA 2022'!S40</f>
        <v>630</v>
      </c>
      <c r="AG36" s="699">
        <f>+'1.Informe Seguimiento POA 2022'!T40</f>
        <v>0</v>
      </c>
      <c r="AH36" s="699">
        <f>+'1.Informe Seguimiento POA 2022'!U40</f>
        <v>380</v>
      </c>
      <c r="AI36" s="699">
        <f>+'1.Informe Seguimiento POA 2022'!V40</f>
        <v>0</v>
      </c>
      <c r="AJ36" s="699">
        <f>+'1.Informe Seguimiento POA 2022'!W40</f>
        <v>1800</v>
      </c>
      <c r="AK36" s="699">
        <f>+'1.Informe Seguimiento POA 2022'!X40</f>
        <v>318</v>
      </c>
      <c r="AL36" s="790">
        <f>+'1.Informe Seguimiento POA 2022'!Y40</f>
        <v>0.17666666666666667</v>
      </c>
      <c r="AM36" s="700"/>
      <c r="AN36" s="700"/>
      <c r="AO36" s="700"/>
      <c r="AP36" s="700"/>
      <c r="AQ36" s="700"/>
      <c r="AR36" s="700"/>
      <c r="AS36" s="700"/>
      <c r="AT36" s="700"/>
      <c r="AU36" s="699">
        <f t="shared" ref="AU36:AU37" si="12">+O36</f>
        <v>1800</v>
      </c>
      <c r="AV36" s="699"/>
      <c r="AW36" s="700"/>
      <c r="AX36" s="700"/>
      <c r="AY36" s="700"/>
      <c r="AZ36" s="700"/>
      <c r="BA36" s="700"/>
      <c r="BB36" s="700"/>
      <c r="BC36" s="700"/>
      <c r="BD36" s="700"/>
      <c r="BE36" s="700"/>
      <c r="BF36" s="699">
        <f t="shared" ref="BF36:BF37" si="13">+P36</f>
        <v>1500</v>
      </c>
      <c r="BG36" s="699"/>
      <c r="BH36" s="700"/>
      <c r="BI36" s="800">
        <f t="shared" si="7"/>
        <v>1800</v>
      </c>
      <c r="BJ36" s="800">
        <f t="shared" si="8"/>
        <v>318</v>
      </c>
      <c r="BK36" s="700">
        <f t="shared" si="11"/>
        <v>0.17666666666666667</v>
      </c>
      <c r="BL36" s="700">
        <f t="shared" si="6"/>
        <v>4.7462686567164181E-2</v>
      </c>
      <c r="BM36" s="701">
        <f t="shared" si="2"/>
        <v>3.797014925373135E-2</v>
      </c>
      <c r="BN36" s="1339">
        <f>SUM(BM36:BM37)</f>
        <v>4.2911815920398014E-2</v>
      </c>
      <c r="BO36" s="1158">
        <f>(IF(AND(BN36&gt;0,E36&gt;0),BN36*E36))+(IF(AND(BN38&gt;0,E38&gt;0),BN38*E38))+(IF(AND(BN40&gt;0,E40&gt;0),BN40*E40))+(IF(AND(BN41&gt;0,E41&gt;0),BN41*E41))</f>
        <v>2.9764726368159206E-2</v>
      </c>
      <c r="BP36" s="830"/>
      <c r="BQ36" s="830"/>
    </row>
    <row r="37" spans="2:69" ht="67.5" customHeight="1">
      <c r="B37" s="1166"/>
      <c r="C37" s="1234"/>
      <c r="D37" s="1282"/>
      <c r="E37" s="1244"/>
      <c r="F37" s="783" t="s">
        <v>286</v>
      </c>
      <c r="G37" s="784" t="s">
        <v>954</v>
      </c>
      <c r="H37" s="51" t="str">
        <f>+'1.Informe Seguimiento POA 2022'!D41</f>
        <v>3.1.2 Evaluar y dar impulso procesal al 100% las noticias disciplinarias (quejas) puestas en conocimiento de la Entidad.</v>
      </c>
      <c r="I37" s="786">
        <f>+'1.Informe Seguimiento POA 2022'!E41</f>
        <v>0.2</v>
      </c>
      <c r="J37" s="782">
        <f>+'1.Informe Seguimiento POA 2022'!F41</f>
        <v>1</v>
      </c>
      <c r="K37" s="787" t="str">
        <f>+'1.Informe Seguimiento POA 2022'!I41</f>
        <v>Potestad Disciplinaria</v>
      </c>
      <c r="L37" s="787" t="str">
        <f>+'1.Informe Seguimiento POA 2022'!J41</f>
        <v>Personería Delegada para la Coordinación de Potestad Disciplinaria</v>
      </c>
      <c r="M37" s="778">
        <f>+'1.Informe Seguimiento POA 2022'!K41</f>
        <v>1</v>
      </c>
      <c r="N37" s="778">
        <f>+'1.Informe Seguimiento POA 2022'!L41</f>
        <v>1</v>
      </c>
      <c r="O37" s="778">
        <f>+'1.Informe Seguimiento POA 2022'!M41</f>
        <v>1</v>
      </c>
      <c r="P37" s="778">
        <f>+'1.Informe Seguimiento POA 2022'!N41</f>
        <v>1</v>
      </c>
      <c r="Q37" s="1099">
        <v>1</v>
      </c>
      <c r="R37" s="1099">
        <v>0.72299999999999998</v>
      </c>
      <c r="S37" s="1099">
        <v>1</v>
      </c>
      <c r="T37" s="1099">
        <v>0.69200000000000006</v>
      </c>
      <c r="U37" s="1099">
        <v>1</v>
      </c>
      <c r="V37" s="1099">
        <v>1.0813333333333333</v>
      </c>
      <c r="W37" s="1099">
        <v>1</v>
      </c>
      <c r="X37" s="1099">
        <v>1.5069999999999999</v>
      </c>
      <c r="Y37" s="703">
        <v>1</v>
      </c>
      <c r="Z37" s="703">
        <v>1</v>
      </c>
      <c r="AA37" s="703">
        <v>1</v>
      </c>
      <c r="AB37" s="789">
        <f>+'1.Informe Seguimiento POA 2022'!O41</f>
        <v>1</v>
      </c>
      <c r="AC37" s="789">
        <f>+'1.Informe Seguimiento POA 2022'!P41</f>
        <v>0.79066666666666663</v>
      </c>
      <c r="AD37" s="789">
        <f>+'1.Informe Seguimiento POA 2022'!Q41</f>
        <v>1</v>
      </c>
      <c r="AE37" s="789">
        <f>+'1.Informe Seguimiento POA 2022'!R41</f>
        <v>0</v>
      </c>
      <c r="AF37" s="789">
        <f>+'1.Informe Seguimiento POA 2022'!S41</f>
        <v>1</v>
      </c>
      <c r="AG37" s="789">
        <f>+'1.Informe Seguimiento POA 2022'!T41</f>
        <v>0</v>
      </c>
      <c r="AH37" s="789">
        <f>+'1.Informe Seguimiento POA 2022'!U41</f>
        <v>1</v>
      </c>
      <c r="AI37" s="789">
        <f>+'1.Informe Seguimiento POA 2022'!V41</f>
        <v>0</v>
      </c>
      <c r="AJ37" s="703">
        <f>+'1.Informe Seguimiento POA 2022'!W41</f>
        <v>1</v>
      </c>
      <c r="AK37" s="703">
        <f>+'1.Informe Seguimiento POA 2022'!X41</f>
        <v>0.19700000000000001</v>
      </c>
      <c r="AL37" s="703">
        <f>+'1.Informe Seguimiento POA 2022'!Y41</f>
        <v>4.9250000000000002E-2</v>
      </c>
      <c r="AM37" s="797"/>
      <c r="AN37" s="797"/>
      <c r="AO37" s="797"/>
      <c r="AP37" s="797"/>
      <c r="AQ37" s="797"/>
      <c r="AR37" s="797"/>
      <c r="AS37" s="797"/>
      <c r="AT37" s="797"/>
      <c r="AU37" s="782">
        <f t="shared" si="12"/>
        <v>1</v>
      </c>
      <c r="AV37" s="782"/>
      <c r="AW37" s="797"/>
      <c r="AX37" s="797"/>
      <c r="AY37" s="797"/>
      <c r="AZ37" s="797"/>
      <c r="BA37" s="797"/>
      <c r="BB37" s="797"/>
      <c r="BC37" s="797"/>
      <c r="BD37" s="797"/>
      <c r="BE37" s="797"/>
      <c r="BF37" s="782">
        <f t="shared" si="13"/>
        <v>1</v>
      </c>
      <c r="BG37" s="782"/>
      <c r="BH37" s="797"/>
      <c r="BI37" s="700">
        <f>IFERROR(AVERAGE(AB37,AD37,AF37,AH37),0)</f>
        <v>1</v>
      </c>
      <c r="BJ37" s="700">
        <f>IFERROR(AVERAGE(AC37,AE37,AG37,AI37),0)</f>
        <v>0.19766666666666666</v>
      </c>
      <c r="BK37" s="700">
        <f t="shared" si="11"/>
        <v>0.19766666666666666</v>
      </c>
      <c r="BL37" s="700">
        <f>(IF(AND(BJ37&gt;0,$J37&gt;0),BJ37/$J37,0)/4)*0.5</f>
        <v>2.4708333333333332E-2</v>
      </c>
      <c r="BM37" s="701">
        <f t="shared" si="2"/>
        <v>4.9416666666666671E-3</v>
      </c>
      <c r="BN37" s="1340"/>
      <c r="BO37" s="1159"/>
      <c r="BP37" s="830"/>
      <c r="BQ37" s="830"/>
    </row>
    <row r="38" spans="2:69" ht="95.25" customHeight="1">
      <c r="B38" s="1166"/>
      <c r="C38" s="1232" t="str">
        <f>+'Matriz PEI 2021-2024'!C17</f>
        <v xml:space="preserve">3.2. Identificar el 100% de los hechos constitutivos de faltas disciplinarias para ejercer el poder preferente en las Oficinas de Control Interno Disciplinario, en temas de interés e impacto para el Distrito Capital. </v>
      </c>
      <c r="D38" s="1241">
        <f>+'Matriz PEI 2021-2024'!E17</f>
        <v>1</v>
      </c>
      <c r="E38" s="1241">
        <f>+'Matriz PEI 2021-2024'!D17</f>
        <v>0.15</v>
      </c>
      <c r="F38" s="785" t="s">
        <v>303</v>
      </c>
      <c r="G38" s="784" t="s">
        <v>955</v>
      </c>
      <c r="H38" s="51" t="str">
        <f>+'1.Informe Seguimiento POA 2022'!D42</f>
        <v>3.2.1 Realizar una visita de seguimiento a las 51 Oficinas de Control Interno Disciplinario del Distrito e identificar hechos constitutivos de faltas relevantes en temas de interés e impacto en cada anualidad.</v>
      </c>
      <c r="I38" s="786">
        <f>+'1.Informe Seguimiento POA 2022'!E42</f>
        <v>0.5</v>
      </c>
      <c r="J38" s="697">
        <f>+'1.Informe Seguimiento POA 2022'!F42</f>
        <v>204</v>
      </c>
      <c r="K38" s="787" t="str">
        <f>+'1.Informe Seguimiento POA 2022'!I42</f>
        <v>Potestad Disciplinaria</v>
      </c>
      <c r="L38" s="787" t="str">
        <f>+'1.Informe Seguimiento POA 2022'!J42</f>
        <v>Personería Delegada para la Coordinación de Potestad Disciplinaria</v>
      </c>
      <c r="M38" s="698">
        <f>+'1.Informe Seguimiento POA 2022'!K42</f>
        <v>51</v>
      </c>
      <c r="N38" s="698">
        <f>+'1.Informe Seguimiento POA 2022'!L42</f>
        <v>51</v>
      </c>
      <c r="O38" s="698">
        <f>+'1.Informe Seguimiento POA 2022'!M42</f>
        <v>51</v>
      </c>
      <c r="P38" s="698">
        <f>+'1.Informe Seguimiento POA 2022'!N42</f>
        <v>51</v>
      </c>
      <c r="Q38" s="713">
        <v>0</v>
      </c>
      <c r="R38" s="713">
        <v>12</v>
      </c>
      <c r="S38" s="713">
        <v>15</v>
      </c>
      <c r="T38" s="713">
        <v>39</v>
      </c>
      <c r="U38" s="713">
        <v>15</v>
      </c>
      <c r="V38" s="713">
        <v>0</v>
      </c>
      <c r="W38" s="713">
        <v>21</v>
      </c>
      <c r="X38" s="713">
        <v>0</v>
      </c>
      <c r="Y38" s="699">
        <v>51</v>
      </c>
      <c r="Z38" s="699">
        <v>51</v>
      </c>
      <c r="AA38" s="1097">
        <v>1</v>
      </c>
      <c r="AB38" s="713">
        <f>+'1.Informe Seguimiento POA 2022'!O42</f>
        <v>0</v>
      </c>
      <c r="AC38" s="713">
        <f>+'1.Informe Seguimiento POA 2022'!P42</f>
        <v>0</v>
      </c>
      <c r="AD38" s="713">
        <f>+'1.Informe Seguimiento POA 2022'!Q42</f>
        <v>30</v>
      </c>
      <c r="AE38" s="713">
        <f>+'1.Informe Seguimiento POA 2022'!R42</f>
        <v>0</v>
      </c>
      <c r="AF38" s="713">
        <f>+'1.Informe Seguimiento POA 2022'!S42</f>
        <v>21</v>
      </c>
      <c r="AG38" s="713">
        <f>+'1.Informe Seguimiento POA 2022'!T42</f>
        <v>0</v>
      </c>
      <c r="AH38" s="713">
        <f>+'1.Informe Seguimiento POA 2022'!U42</f>
        <v>0</v>
      </c>
      <c r="AI38" s="713">
        <f>+'1.Informe Seguimiento POA 2022'!V42</f>
        <v>0</v>
      </c>
      <c r="AJ38" s="699">
        <f>+'1.Informe Seguimiento POA 2022'!W42</f>
        <v>51</v>
      </c>
      <c r="AK38" s="699">
        <f>+'1.Informe Seguimiento POA 2022'!X42</f>
        <v>0</v>
      </c>
      <c r="AL38" s="790">
        <f>+'1.Informe Seguimiento POA 2022'!Y42</f>
        <v>0</v>
      </c>
      <c r="AM38" s="700"/>
      <c r="AN38" s="700"/>
      <c r="AO38" s="700"/>
      <c r="AP38" s="700"/>
      <c r="AQ38" s="700"/>
      <c r="AR38" s="700"/>
      <c r="AS38" s="700"/>
      <c r="AT38" s="700"/>
      <c r="AU38" s="699">
        <f t="shared" ref="AU38" si="14">+O38</f>
        <v>51</v>
      </c>
      <c r="AV38" s="699"/>
      <c r="AW38" s="700"/>
      <c r="AX38" s="700"/>
      <c r="AY38" s="700"/>
      <c r="AZ38" s="700"/>
      <c r="BA38" s="700"/>
      <c r="BB38" s="700"/>
      <c r="BC38" s="700"/>
      <c r="BD38" s="700"/>
      <c r="BE38" s="700"/>
      <c r="BF38" s="699">
        <f t="shared" ref="BF38" si="15">+P38</f>
        <v>51</v>
      </c>
      <c r="BG38" s="699"/>
      <c r="BH38" s="700"/>
      <c r="BI38" s="800">
        <f>+AB38+AD38+AF38+AH38</f>
        <v>51</v>
      </c>
      <c r="BJ38" s="800">
        <f>+AC38+AE38+AG38+AI38</f>
        <v>0</v>
      </c>
      <c r="BK38" s="700">
        <f t="shared" si="11"/>
        <v>0</v>
      </c>
      <c r="BL38" s="700">
        <f t="shared" si="6"/>
        <v>0</v>
      </c>
      <c r="BM38" s="701">
        <f t="shared" si="2"/>
        <v>0</v>
      </c>
      <c r="BN38" s="1339">
        <f>SUM(BM38:BM39)</f>
        <v>0</v>
      </c>
      <c r="BO38" s="1159"/>
      <c r="BP38" s="830"/>
      <c r="BQ38" s="830"/>
    </row>
    <row r="39" spans="2:69" ht="95.25" customHeight="1">
      <c r="B39" s="1166"/>
      <c r="C39" s="1234"/>
      <c r="D39" s="1244"/>
      <c r="E39" s="1242"/>
      <c r="F39" s="894" t="s">
        <v>287</v>
      </c>
      <c r="G39" s="894" t="s">
        <v>665</v>
      </c>
      <c r="H39" s="51" t="str">
        <f>+'1.Informe Seguimiento POA 2022'!D43</f>
        <v>3.2.2 Asumir por competencia preferente el 100% de los procesos cuyos temas sean considerados de interés e impacto el Distrito Capital.</v>
      </c>
      <c r="I39" s="786">
        <f>+'1.Informe Seguimiento POA 2022'!E43</f>
        <v>0.5</v>
      </c>
      <c r="J39" s="782">
        <f>+'1.Informe Seguimiento POA 2022'!F43</f>
        <v>1</v>
      </c>
      <c r="K39" s="787" t="str">
        <f>+'1.Informe Seguimiento POA 2022'!I43</f>
        <v>Potestad Disciplinaria</v>
      </c>
      <c r="L39" s="787" t="str">
        <f>+'1.Informe Seguimiento POA 2022'!J43</f>
        <v>Personería Delegada para la Coordinación de Potestad Disciplinaria</v>
      </c>
      <c r="M39" s="778">
        <f>+'1.Informe Seguimiento POA 2022'!K43</f>
        <v>1</v>
      </c>
      <c r="N39" s="778">
        <f>+'1.Informe Seguimiento POA 2022'!L43</f>
        <v>1</v>
      </c>
      <c r="O39" s="778">
        <f>+'1.Informe Seguimiento POA 2022'!M43</f>
        <v>1</v>
      </c>
      <c r="P39" s="778">
        <f>+'1.Informe Seguimiento POA 2022'!N43</f>
        <v>1</v>
      </c>
      <c r="Q39" s="1099">
        <v>0</v>
      </c>
      <c r="R39" s="1099">
        <v>1</v>
      </c>
      <c r="S39" s="1099">
        <v>1</v>
      </c>
      <c r="T39" s="1099">
        <v>1</v>
      </c>
      <c r="U39" s="1099">
        <v>1</v>
      </c>
      <c r="V39" s="1099">
        <v>1</v>
      </c>
      <c r="W39" s="1099">
        <v>1</v>
      </c>
      <c r="X39" s="1099">
        <v>1</v>
      </c>
      <c r="Y39" s="703">
        <v>1</v>
      </c>
      <c r="Z39" s="703">
        <v>1</v>
      </c>
      <c r="AA39" s="703">
        <v>1</v>
      </c>
      <c r="AB39" s="789">
        <f>+'1.Informe Seguimiento POA 2022'!O43</f>
        <v>1</v>
      </c>
      <c r="AC39" s="789">
        <f>+'1.Informe Seguimiento POA 2022'!P43</f>
        <v>1</v>
      </c>
      <c r="AD39" s="789">
        <f>+'1.Informe Seguimiento POA 2022'!Q43</f>
        <v>1</v>
      </c>
      <c r="AE39" s="789">
        <f>+'1.Informe Seguimiento POA 2022'!R43</f>
        <v>0</v>
      </c>
      <c r="AF39" s="789">
        <f>+'1.Informe Seguimiento POA 2022'!S43</f>
        <v>1</v>
      </c>
      <c r="AG39" s="789">
        <f>+'1.Informe Seguimiento POA 2022'!T43</f>
        <v>0</v>
      </c>
      <c r="AH39" s="789">
        <f>+'1.Informe Seguimiento POA 2022'!U43</f>
        <v>1</v>
      </c>
      <c r="AI39" s="789">
        <f>+'1.Informe Seguimiento POA 2022'!V43</f>
        <v>0</v>
      </c>
      <c r="AJ39" s="703">
        <f>+'1.Informe Seguimiento POA 2022'!W43</f>
        <v>1</v>
      </c>
      <c r="AK39" s="703">
        <f>+'1.Informe Seguimiento POA 2022'!X43</f>
        <v>0.25</v>
      </c>
      <c r="AL39" s="703">
        <f>+'1.Informe Seguimiento POA 2022'!Y43</f>
        <v>6.25E-2</v>
      </c>
      <c r="AM39" s="797"/>
      <c r="AN39" s="797"/>
      <c r="AO39" s="797"/>
      <c r="AP39" s="797"/>
      <c r="AQ39" s="797"/>
      <c r="AR39" s="797"/>
      <c r="AS39" s="797"/>
      <c r="AT39" s="797"/>
      <c r="AU39" s="782">
        <f t="shared" ref="AU39:AU41" si="16">+O39</f>
        <v>1</v>
      </c>
      <c r="AV39" s="782"/>
      <c r="AW39" s="797"/>
      <c r="AX39" s="797"/>
      <c r="AY39" s="797"/>
      <c r="AZ39" s="797"/>
      <c r="BA39" s="797"/>
      <c r="BB39" s="797"/>
      <c r="BC39" s="797"/>
      <c r="BD39" s="797"/>
      <c r="BE39" s="797"/>
      <c r="BF39" s="782">
        <f t="shared" ref="BF39:BF41" si="17">+P39</f>
        <v>1</v>
      </c>
      <c r="BG39" s="782"/>
      <c r="BH39" s="797"/>
      <c r="BI39" s="702">
        <f>IFERROR(AVERAGE(AD39,AF39,AH39),0)</f>
        <v>1</v>
      </c>
      <c r="BJ39" s="702">
        <f>IFERROR(AVERAGE(AE39,AG39,AI39),0)</f>
        <v>0</v>
      </c>
      <c r="BK39" s="700">
        <f t="shared" si="11"/>
        <v>0</v>
      </c>
      <c r="BL39" s="700">
        <f>(IF(AND(BJ39&gt;0,$J39&gt;0),BJ39/$J39,0)/4)*0.5</f>
        <v>0</v>
      </c>
      <c r="BM39" s="701">
        <f>IF(AND(BL39&gt;0,I39&gt;0),BL39*I39,0)*0.25</f>
        <v>0</v>
      </c>
      <c r="BN39" s="1341"/>
      <c r="BO39" s="1159"/>
      <c r="BP39" s="830"/>
      <c r="BQ39" s="830"/>
    </row>
    <row r="40" spans="2:69" ht="126.75" customHeight="1">
      <c r="B40" s="1166"/>
      <c r="C40" s="715" t="str">
        <f>+'Matriz PEI 2021-2024'!C18</f>
        <v>3.3. Generar 8 escenarios que fortalezcan el conocimiento y las competencias del operador disciplinario, que apoya el cumplimiento de la labor misional, extendiendo el alcance a los jueces naturales en el Distrito Capital.</v>
      </c>
      <c r="D40" s="716">
        <f>+'Matriz PEI 2021-2024'!E18</f>
        <v>8</v>
      </c>
      <c r="E40" s="717">
        <f>+'Matriz PEI 2021-2024'!D18</f>
        <v>0.1</v>
      </c>
      <c r="F40" s="895" t="s">
        <v>956</v>
      </c>
      <c r="G40" s="895" t="s">
        <v>957</v>
      </c>
      <c r="H40" s="51" t="str">
        <f>+'1.Informe Seguimiento POA 2022'!D44</f>
        <v>3.3.1 Generar 8 escenarios de intercambio de conocimiento con los(as) servidores(as) públicos(as) para fortalecer el conocimiento en la sustanciación de procesos disciplinarios en el Distrito Capital.</v>
      </c>
      <c r="I40" s="786">
        <f>+'1.Informe Seguimiento POA 2022'!E44</f>
        <v>1</v>
      </c>
      <c r="J40" s="697">
        <f>+'1.Informe Seguimiento POA 2022'!F44</f>
        <v>8</v>
      </c>
      <c r="K40" s="787" t="str">
        <f>+'1.Informe Seguimiento POA 2022'!I44</f>
        <v>Potestad Disciplinaria</v>
      </c>
      <c r="L40" s="787" t="str">
        <f>+'1.Informe Seguimiento POA 2022'!J44</f>
        <v>Personería Delegada para la Coordinación de Potestad Disciplinaria</v>
      </c>
      <c r="M40" s="698">
        <f>+'1.Informe Seguimiento POA 2022'!K44</f>
        <v>2</v>
      </c>
      <c r="N40" s="698">
        <f>+'1.Informe Seguimiento POA 2022'!L44</f>
        <v>2</v>
      </c>
      <c r="O40" s="698">
        <f>+'1.Informe Seguimiento POA 2022'!M44</f>
        <v>2</v>
      </c>
      <c r="P40" s="698">
        <f>+'1.Informe Seguimiento POA 2022'!N44</f>
        <v>2</v>
      </c>
      <c r="Q40" s="699">
        <v>0</v>
      </c>
      <c r="R40" s="699">
        <v>0</v>
      </c>
      <c r="S40" s="699">
        <v>0</v>
      </c>
      <c r="T40" s="699">
        <v>1</v>
      </c>
      <c r="U40" s="699">
        <v>1</v>
      </c>
      <c r="V40" s="699">
        <v>0</v>
      </c>
      <c r="W40" s="699">
        <v>1</v>
      </c>
      <c r="X40" s="699">
        <v>1</v>
      </c>
      <c r="Y40" s="699">
        <v>2</v>
      </c>
      <c r="Z40" s="699">
        <v>2</v>
      </c>
      <c r="AA40" s="1097">
        <v>1</v>
      </c>
      <c r="AB40" s="699">
        <f>+'1.Informe Seguimiento POA 2022'!O44</f>
        <v>0</v>
      </c>
      <c r="AC40" s="699">
        <f>+'1.Informe Seguimiento POA 2022'!P44</f>
        <v>0</v>
      </c>
      <c r="AD40" s="699">
        <f>+'1.Informe Seguimiento POA 2022'!Q44</f>
        <v>0</v>
      </c>
      <c r="AE40" s="699">
        <f>+'1.Informe Seguimiento POA 2022'!R44</f>
        <v>0</v>
      </c>
      <c r="AF40" s="699">
        <f>+'1.Informe Seguimiento POA 2022'!S44</f>
        <v>1</v>
      </c>
      <c r="AG40" s="699">
        <f>+'1.Informe Seguimiento POA 2022'!T44</f>
        <v>0</v>
      </c>
      <c r="AH40" s="699">
        <f>+'1.Informe Seguimiento POA 2022'!U44</f>
        <v>1</v>
      </c>
      <c r="AI40" s="699">
        <f>+'1.Informe Seguimiento POA 2022'!V44</f>
        <v>0</v>
      </c>
      <c r="AJ40" s="699">
        <f>+'1.Informe Seguimiento POA 2022'!W44</f>
        <v>2</v>
      </c>
      <c r="AK40" s="699">
        <f>+'1.Informe Seguimiento POA 2022'!X44</f>
        <v>0</v>
      </c>
      <c r="AL40" s="790">
        <f>+'1.Informe Seguimiento POA 2022'!Y44</f>
        <v>0</v>
      </c>
      <c r="AM40" s="700"/>
      <c r="AN40" s="700"/>
      <c r="AO40" s="700"/>
      <c r="AP40" s="700"/>
      <c r="AQ40" s="700"/>
      <c r="AR40" s="700"/>
      <c r="AS40" s="700"/>
      <c r="AT40" s="700"/>
      <c r="AU40" s="699">
        <f t="shared" si="16"/>
        <v>2</v>
      </c>
      <c r="AV40" s="699"/>
      <c r="AW40" s="700"/>
      <c r="AX40" s="700"/>
      <c r="AY40" s="700"/>
      <c r="AZ40" s="700"/>
      <c r="BA40" s="700"/>
      <c r="BB40" s="700"/>
      <c r="BC40" s="700"/>
      <c r="BD40" s="700"/>
      <c r="BE40" s="700"/>
      <c r="BF40" s="699">
        <f t="shared" si="17"/>
        <v>2</v>
      </c>
      <c r="BG40" s="699"/>
      <c r="BH40" s="700"/>
      <c r="BI40" s="815">
        <f t="shared" ref="BI40:BI54" si="18">+AB40+AD40+AF40+AH40</f>
        <v>2</v>
      </c>
      <c r="BJ40" s="815">
        <f t="shared" ref="BJ40:BJ54" si="19">+AC40+AE40+AG40+AI40</f>
        <v>0</v>
      </c>
      <c r="BK40" s="700">
        <f t="shared" si="11"/>
        <v>0</v>
      </c>
      <c r="BL40" s="700">
        <f t="shared" si="6"/>
        <v>0</v>
      </c>
      <c r="BM40" s="701">
        <f t="shared" ref="BM40:BM77" si="20">IF(AND(BL40&gt;0,I40&gt;0),BL40*I40,0)</f>
        <v>0</v>
      </c>
      <c r="BN40" s="816">
        <f>SUM(BM40)</f>
        <v>0</v>
      </c>
      <c r="BO40" s="1159"/>
      <c r="BP40" s="830"/>
      <c r="BQ40" s="830"/>
    </row>
    <row r="41" spans="2:69" ht="61.5" customHeight="1">
      <c r="B41" s="1166"/>
      <c r="C41" s="1232" t="str">
        <f>+'Matriz PEI 2021-2024'!C19</f>
        <v>3.4. Implementar al 100% tres soluciones informáticas propias para la ejecución y gestión de la Potestad Disciplinaria.</v>
      </c>
      <c r="D41" s="1241">
        <f>+'Matriz PEI 2021-2024'!E19</f>
        <v>1</v>
      </c>
      <c r="E41" s="1241">
        <f>+'Matriz PEI 2021-2024'!D19</f>
        <v>0.35</v>
      </c>
      <c r="F41" s="1232" t="s">
        <v>1043</v>
      </c>
      <c r="G41" s="892" t="s">
        <v>958</v>
      </c>
      <c r="H41" s="51" t="str">
        <f>+'1.Informe Seguimiento POA 2022'!D45</f>
        <v>3.4.1 Implementar un sistema de comunicación efectiva y eficiente con las Oficinas de Control Interno del Distrito Capital.</v>
      </c>
      <c r="I41" s="786">
        <f>+'1.Informe Seguimiento POA 2022'!E45</f>
        <v>0.2</v>
      </c>
      <c r="J41" s="697">
        <f>+'1.Informe Seguimiento POA 2022'!F45</f>
        <v>1</v>
      </c>
      <c r="K41" s="787" t="str">
        <f>+'1.Informe Seguimiento POA 2022'!I45</f>
        <v>Potestad Disciplinaria</v>
      </c>
      <c r="L41" s="787" t="str">
        <f>+'1.Informe Seguimiento POA 2022'!J45</f>
        <v>Personería Delegada para la Coordinación de Potestad Disciplinaria</v>
      </c>
      <c r="M41" s="779">
        <f>+'1.Informe Seguimiento POA 2022'!K45</f>
        <v>0.5</v>
      </c>
      <c r="N41" s="779">
        <f>+'1.Informe Seguimiento POA 2022'!L45</f>
        <v>0.5</v>
      </c>
      <c r="O41" s="779">
        <f>+'1.Informe Seguimiento POA 2022'!M45</f>
        <v>0</v>
      </c>
      <c r="P41" s="779">
        <f>+'1.Informe Seguimiento POA 2022'!N45</f>
        <v>0</v>
      </c>
      <c r="Q41" s="718">
        <v>0.05</v>
      </c>
      <c r="R41" s="718">
        <v>0.05</v>
      </c>
      <c r="S41" s="718">
        <v>0.2</v>
      </c>
      <c r="T41" s="718">
        <v>0</v>
      </c>
      <c r="U41" s="718">
        <v>0.15000000000000002</v>
      </c>
      <c r="V41" s="718">
        <v>0.35</v>
      </c>
      <c r="W41" s="718">
        <v>0.1</v>
      </c>
      <c r="X41" s="718">
        <v>0.1</v>
      </c>
      <c r="Y41" s="718">
        <v>0.5</v>
      </c>
      <c r="Z41" s="718">
        <v>0.5</v>
      </c>
      <c r="AA41" s="1098">
        <v>1</v>
      </c>
      <c r="AB41" s="718">
        <f>+'1.Informe Seguimiento POA 2022'!O45</f>
        <v>0.15000000000000002</v>
      </c>
      <c r="AC41" s="718">
        <f>+'1.Informe Seguimiento POA 2022'!P45</f>
        <v>0.15000000000000002</v>
      </c>
      <c r="AD41" s="718">
        <f>+'1.Informe Seguimiento POA 2022'!Q45</f>
        <v>0.15000000000000002</v>
      </c>
      <c r="AE41" s="718">
        <f>+'1.Informe Seguimiento POA 2022'!R45</f>
        <v>0</v>
      </c>
      <c r="AF41" s="718">
        <f>+'1.Informe Seguimiento POA 2022'!S45</f>
        <v>0.15000000000000002</v>
      </c>
      <c r="AG41" s="718">
        <f>+'1.Informe Seguimiento POA 2022'!T45</f>
        <v>0</v>
      </c>
      <c r="AH41" s="718">
        <f>+'1.Informe Seguimiento POA 2022'!U45</f>
        <v>0.05</v>
      </c>
      <c r="AI41" s="718">
        <f>+'1.Informe Seguimiento POA 2022'!V45</f>
        <v>0</v>
      </c>
      <c r="AJ41" s="718">
        <f>+'1.Informe Seguimiento POA 2022'!W45</f>
        <v>0.50000000000000011</v>
      </c>
      <c r="AK41" s="718">
        <f>+'1.Informe Seguimiento POA 2022'!X45</f>
        <v>0.15000000000000002</v>
      </c>
      <c r="AL41" s="782">
        <f>+'1.Informe Seguimiento POA 2022'!Y45</f>
        <v>0.3</v>
      </c>
      <c r="AM41" s="798"/>
      <c r="AN41" s="798"/>
      <c r="AO41" s="798"/>
      <c r="AP41" s="798"/>
      <c r="AQ41" s="798"/>
      <c r="AR41" s="798"/>
      <c r="AS41" s="798"/>
      <c r="AT41" s="798"/>
      <c r="AU41" s="718">
        <f t="shared" si="16"/>
        <v>0</v>
      </c>
      <c r="AV41" s="718"/>
      <c r="AW41" s="798"/>
      <c r="AX41" s="798"/>
      <c r="AY41" s="798"/>
      <c r="AZ41" s="798"/>
      <c r="BA41" s="798"/>
      <c r="BB41" s="798"/>
      <c r="BC41" s="798"/>
      <c r="BD41" s="798"/>
      <c r="BE41" s="798"/>
      <c r="BF41" s="718">
        <f t="shared" si="17"/>
        <v>0</v>
      </c>
      <c r="BG41" s="718"/>
      <c r="BH41" s="798"/>
      <c r="BI41" s="815">
        <f t="shared" si="18"/>
        <v>0.50000000000000011</v>
      </c>
      <c r="BJ41" s="815">
        <f t="shared" si="19"/>
        <v>0.15000000000000002</v>
      </c>
      <c r="BK41" s="700">
        <f t="shared" si="11"/>
        <v>0.3</v>
      </c>
      <c r="BL41" s="700">
        <f t="shared" si="6"/>
        <v>0.15000000000000002</v>
      </c>
      <c r="BM41" s="701">
        <f t="shared" si="20"/>
        <v>3.0000000000000006E-2</v>
      </c>
      <c r="BN41" s="1342">
        <f>SUM(BM41:BM43)</f>
        <v>3.6000000000000004E-2</v>
      </c>
      <c r="BO41" s="1159"/>
      <c r="BP41" s="830"/>
      <c r="BQ41" s="830"/>
    </row>
    <row r="42" spans="2:69" ht="61.5" customHeight="1">
      <c r="B42" s="1166"/>
      <c r="C42" s="1233"/>
      <c r="D42" s="1243"/>
      <c r="E42" s="1245"/>
      <c r="F42" s="1233"/>
      <c r="G42" s="893"/>
      <c r="H42" s="51" t="str">
        <f>+'1.Informe Seguimiento POA 2022'!D46</f>
        <v xml:space="preserve">3.4.2 Diseñar e implementar un sistema de información misional que generé el expediente electrónico  </v>
      </c>
      <c r="I42" s="786">
        <f>+'1.Informe Seguimiento POA 2022'!E46</f>
        <v>0.7</v>
      </c>
      <c r="J42" s="697">
        <f>+'1.Informe Seguimiento POA 2022'!F46</f>
        <v>1</v>
      </c>
      <c r="K42" s="787" t="str">
        <f>+'1.Informe Seguimiento POA 2022'!I46</f>
        <v>Potestad Disciplinaria</v>
      </c>
      <c r="L42" s="787" t="str">
        <f>+'1.Informe Seguimiento POA 2022'!J46</f>
        <v>Personería Delegada para la Coordinación de Potestad Disciplinaria</v>
      </c>
      <c r="M42" s="779">
        <f>+'1.Informe Seguimiento POA 2022'!K46</f>
        <v>0.2</v>
      </c>
      <c r="N42" s="779">
        <f>+'1.Informe Seguimiento POA 2022'!L46</f>
        <v>0.4</v>
      </c>
      <c r="O42" s="779">
        <f>+'1.Informe Seguimiento POA 2022'!M46</f>
        <v>0.3</v>
      </c>
      <c r="P42" s="779">
        <f>+'1.Informe Seguimiento POA 2022'!N46</f>
        <v>0.1</v>
      </c>
      <c r="Q42" s="718">
        <v>0.02</v>
      </c>
      <c r="R42" s="718">
        <v>0.02</v>
      </c>
      <c r="S42" s="718">
        <v>0.06</v>
      </c>
      <c r="T42" s="718">
        <v>0.06</v>
      </c>
      <c r="U42" s="718">
        <v>0.06</v>
      </c>
      <c r="V42" s="718">
        <v>0.06</v>
      </c>
      <c r="W42" s="718">
        <v>0.06</v>
      </c>
      <c r="X42" s="718">
        <v>0.06</v>
      </c>
      <c r="Y42" s="718">
        <v>0.2</v>
      </c>
      <c r="Z42" s="718">
        <v>0.2</v>
      </c>
      <c r="AA42" s="1098">
        <v>1</v>
      </c>
      <c r="AB42" s="718">
        <f>+'1.Informe Seguimiento POA 2022'!O46</f>
        <v>0.05</v>
      </c>
      <c r="AC42" s="718">
        <f>+'1.Informe Seguimiento POA 2022'!P46</f>
        <v>0</v>
      </c>
      <c r="AD42" s="718">
        <f>+'1.Informe Seguimiento POA 2022'!Q46</f>
        <v>0.11</v>
      </c>
      <c r="AE42" s="718">
        <f>+'1.Informe Seguimiento POA 2022'!R46</f>
        <v>0</v>
      </c>
      <c r="AF42" s="718">
        <f>+'1.Informe Seguimiento POA 2022'!S46</f>
        <v>0.15000000000000002</v>
      </c>
      <c r="AG42" s="718">
        <f>+'1.Informe Seguimiento POA 2022'!T46</f>
        <v>0</v>
      </c>
      <c r="AH42" s="718">
        <f>+'1.Informe Seguimiento POA 2022'!U46</f>
        <v>0.09</v>
      </c>
      <c r="AI42" s="718">
        <f>+'1.Informe Seguimiento POA 2022'!V46</f>
        <v>0</v>
      </c>
      <c r="AJ42" s="718">
        <f>+'1.Informe Seguimiento POA 2022'!W46</f>
        <v>0.4</v>
      </c>
      <c r="AK42" s="718">
        <f>+'1.Informe Seguimiento POA 2022'!X46</f>
        <v>0</v>
      </c>
      <c r="AL42" s="782">
        <f>+'1.Informe Seguimiento POA 2022'!Y46</f>
        <v>0</v>
      </c>
      <c r="AM42" s="798"/>
      <c r="AN42" s="798"/>
      <c r="AO42" s="798"/>
      <c r="AP42" s="798"/>
      <c r="AQ42" s="798"/>
      <c r="AR42" s="798"/>
      <c r="AS42" s="798"/>
      <c r="AT42" s="798"/>
      <c r="AU42" s="718">
        <f t="shared" ref="AU42:AU44" si="21">+O42</f>
        <v>0.3</v>
      </c>
      <c r="AV42" s="718"/>
      <c r="AW42" s="798"/>
      <c r="AX42" s="798"/>
      <c r="AY42" s="798"/>
      <c r="AZ42" s="798"/>
      <c r="BA42" s="798"/>
      <c r="BB42" s="798"/>
      <c r="BC42" s="798"/>
      <c r="BD42" s="798"/>
      <c r="BE42" s="798"/>
      <c r="BF42" s="718">
        <f t="shared" ref="BF42:BF44" si="22">+P42</f>
        <v>0.1</v>
      </c>
      <c r="BG42" s="718"/>
      <c r="BH42" s="798"/>
      <c r="BI42" s="815">
        <f t="shared" si="18"/>
        <v>0.4</v>
      </c>
      <c r="BJ42" s="815">
        <f t="shared" si="19"/>
        <v>0</v>
      </c>
      <c r="BK42" s="700">
        <f t="shared" si="11"/>
        <v>0</v>
      </c>
      <c r="BL42" s="700">
        <f t="shared" si="6"/>
        <v>0</v>
      </c>
      <c r="BM42" s="701">
        <f t="shared" si="20"/>
        <v>0</v>
      </c>
      <c r="BN42" s="1342"/>
      <c r="BO42" s="1159"/>
      <c r="BP42" s="830"/>
      <c r="BQ42" s="830"/>
    </row>
    <row r="43" spans="2:69" ht="61.5" customHeight="1">
      <c r="B43" s="1171"/>
      <c r="C43" s="1234"/>
      <c r="D43" s="1244"/>
      <c r="E43" s="1242"/>
      <c r="F43" s="1234"/>
      <c r="G43" s="894"/>
      <c r="H43" s="51" t="str">
        <f>+'1.Informe Seguimiento POA 2022'!D47</f>
        <v xml:space="preserve">3.4.3 Diseñar e implementar una relatoría de las decisiones de fondo adoptadas en ejercicio de la potestad disciplinaria  </v>
      </c>
      <c r="I43" s="786">
        <f>+'1.Informe Seguimiento POA 2022'!E47</f>
        <v>0.1</v>
      </c>
      <c r="J43" s="697">
        <f>+'1.Informe Seguimiento POA 2022'!F47</f>
        <v>1</v>
      </c>
      <c r="K43" s="787" t="str">
        <f>+'1.Informe Seguimiento POA 2022'!I47</f>
        <v>Potestad Disciplinaria</v>
      </c>
      <c r="L43" s="787" t="str">
        <f>+'1.Informe Seguimiento POA 2022'!J47</f>
        <v>Personería Delegada para la Coordinación de Potestad Disciplinaria</v>
      </c>
      <c r="M43" s="779">
        <f>+'1.Informe Seguimiento POA 2022'!K47</f>
        <v>0.1</v>
      </c>
      <c r="N43" s="779">
        <f>+'1.Informe Seguimiento POA 2022'!L47</f>
        <v>0.3</v>
      </c>
      <c r="O43" s="779">
        <f>+'1.Informe Seguimiento POA 2022'!M47</f>
        <v>0.4</v>
      </c>
      <c r="P43" s="779">
        <f>+'1.Informe Seguimiento POA 2022'!N47</f>
        <v>0.2</v>
      </c>
      <c r="Q43" s="718">
        <v>0</v>
      </c>
      <c r="R43" s="718">
        <v>0</v>
      </c>
      <c r="S43" s="718">
        <v>0.02</v>
      </c>
      <c r="T43" s="718">
        <v>0.02</v>
      </c>
      <c r="U43" s="718">
        <v>0.05</v>
      </c>
      <c r="V43" s="718">
        <v>0.05</v>
      </c>
      <c r="W43" s="718">
        <v>0.03</v>
      </c>
      <c r="X43" s="718">
        <v>0.03</v>
      </c>
      <c r="Y43" s="718">
        <v>0.1</v>
      </c>
      <c r="Z43" s="718">
        <v>0.1</v>
      </c>
      <c r="AA43" s="1098">
        <v>1</v>
      </c>
      <c r="AB43" s="718">
        <f>+'1.Informe Seguimiento POA 2022'!O47</f>
        <v>0.06</v>
      </c>
      <c r="AC43" s="718">
        <f>+'1.Informe Seguimiento POA 2022'!P47</f>
        <v>0.06</v>
      </c>
      <c r="AD43" s="718">
        <f>+'1.Informe Seguimiento POA 2022'!Q47</f>
        <v>0.09</v>
      </c>
      <c r="AE43" s="718">
        <f>+'1.Informe Seguimiento POA 2022'!R47</f>
        <v>0</v>
      </c>
      <c r="AF43" s="718">
        <f>+'1.Informe Seguimiento POA 2022'!S47</f>
        <v>0.09</v>
      </c>
      <c r="AG43" s="718">
        <f>+'1.Informe Seguimiento POA 2022'!T47</f>
        <v>0</v>
      </c>
      <c r="AH43" s="718">
        <f>+'1.Informe Seguimiento POA 2022'!U47</f>
        <v>0.06</v>
      </c>
      <c r="AI43" s="718">
        <f>+'1.Informe Seguimiento POA 2022'!V47</f>
        <v>0</v>
      </c>
      <c r="AJ43" s="718">
        <f>+'1.Informe Seguimiento POA 2022'!W47</f>
        <v>0.3</v>
      </c>
      <c r="AK43" s="718">
        <f>+'1.Informe Seguimiento POA 2022'!X47</f>
        <v>0.06</v>
      </c>
      <c r="AL43" s="782">
        <f>+'1.Informe Seguimiento POA 2022'!Y47</f>
        <v>0.2</v>
      </c>
      <c r="AM43" s="798"/>
      <c r="AN43" s="798"/>
      <c r="AO43" s="798"/>
      <c r="AP43" s="798"/>
      <c r="AQ43" s="798"/>
      <c r="AR43" s="798"/>
      <c r="AS43" s="798"/>
      <c r="AT43" s="798"/>
      <c r="AU43" s="718">
        <f t="shared" si="21"/>
        <v>0.4</v>
      </c>
      <c r="AV43" s="718"/>
      <c r="AW43" s="798"/>
      <c r="AX43" s="798"/>
      <c r="AY43" s="798"/>
      <c r="AZ43" s="798"/>
      <c r="BA43" s="798"/>
      <c r="BB43" s="798"/>
      <c r="BC43" s="798"/>
      <c r="BD43" s="798"/>
      <c r="BE43" s="798"/>
      <c r="BF43" s="718">
        <f t="shared" si="22"/>
        <v>0.2</v>
      </c>
      <c r="BG43" s="718"/>
      <c r="BH43" s="798"/>
      <c r="BI43" s="815">
        <f t="shared" si="18"/>
        <v>0.3</v>
      </c>
      <c r="BJ43" s="815">
        <f t="shared" si="19"/>
        <v>0.06</v>
      </c>
      <c r="BK43" s="700">
        <f t="shared" si="11"/>
        <v>0.2</v>
      </c>
      <c r="BL43" s="700">
        <f t="shared" si="6"/>
        <v>0.06</v>
      </c>
      <c r="BM43" s="701">
        <f t="shared" si="20"/>
        <v>6.0000000000000001E-3</v>
      </c>
      <c r="BN43" s="1342"/>
      <c r="BO43" s="1160"/>
      <c r="BP43" s="830"/>
      <c r="BQ43" s="830"/>
    </row>
    <row r="44" spans="2:69" ht="75" customHeight="1">
      <c r="B44" s="1189" t="str">
        <f>+'Matriz PEI 2021-2024'!B20</f>
        <v xml:space="preserve">4. Fortalecer la gestión institucional a través del uso y apropiación de tecnologías de la información y las comunicaciones, la aplicación de buenas prácticas, un Talento Humano y una infraestructura adecuados para la prestación del servicio. </v>
      </c>
      <c r="C44" s="1250" t="str">
        <f>+'Matriz PEI 2021-2024'!C20</f>
        <v>4.1. Implementar el 100% de las acciones que impulsen el crecimiento del Modelo de Madurez de Transformación Digital de la Entidad, aplicando los principios , lineamientos y normas que lo enmarcan.</v>
      </c>
      <c r="D44" s="1261">
        <f>+'Matriz PEI 2021-2024'!E20</f>
        <v>1</v>
      </c>
      <c r="E44" s="1261">
        <f>+'Matriz PEI 2021-2024'!D20</f>
        <v>0.15</v>
      </c>
      <c r="F44" s="1250" t="s">
        <v>959</v>
      </c>
      <c r="G44" s="1250" t="s">
        <v>960</v>
      </c>
      <c r="H44" s="705" t="str">
        <f>+'1.Informe Seguimiento POA 2022'!D48</f>
        <v>4.1.1 Implementar el 100 % de los proyectos de hoja de ruta del Plan Estratégico de Tecnología de la Información de tal forma que se optimicen los procesos de la Entidad</v>
      </c>
      <c r="I44" s="152">
        <f>+'1.Informe Seguimiento POA 2022'!E48</f>
        <v>0.14000000000000001</v>
      </c>
      <c r="J44" s="788">
        <f>+'1.Informe Seguimiento POA 2022'!F48</f>
        <v>1</v>
      </c>
      <c r="K44" s="707" t="str">
        <f>+'1.Informe Seguimiento POA 2022'!I48</f>
        <v>Direccionamiento TIC</v>
      </c>
      <c r="L44" s="708" t="str">
        <f>+'1.Informe Seguimiento POA 2022'!J48</f>
        <v>Dirección de Tecnologías de la  Información y las Comunicaciones</v>
      </c>
      <c r="M44" s="168">
        <f>+'1.Informe Seguimiento POA 2022'!K48</f>
        <v>0.3</v>
      </c>
      <c r="N44" s="168">
        <f>+'1.Informe Seguimiento POA 2022'!L48</f>
        <v>0.4</v>
      </c>
      <c r="O44" s="168">
        <f>+'1.Informe Seguimiento POA 2022'!M48</f>
        <v>0.25</v>
      </c>
      <c r="P44" s="168">
        <f>+'1.Informe Seguimiento POA 2022'!N48</f>
        <v>0.05</v>
      </c>
      <c r="Q44" s="719">
        <v>0.06</v>
      </c>
      <c r="R44" s="719">
        <v>0.06</v>
      </c>
      <c r="S44" s="719">
        <v>0.09</v>
      </c>
      <c r="T44" s="719">
        <v>0.09</v>
      </c>
      <c r="U44" s="719">
        <v>0.09</v>
      </c>
      <c r="V44" s="792">
        <v>0.09</v>
      </c>
      <c r="W44" s="719">
        <v>6.0000000000000005E-2</v>
      </c>
      <c r="X44" s="792">
        <v>6.0000000000000005E-2</v>
      </c>
      <c r="Y44" s="719">
        <v>0.3</v>
      </c>
      <c r="Z44" s="720">
        <v>0.3</v>
      </c>
      <c r="AA44" s="719">
        <v>1</v>
      </c>
      <c r="AB44" s="719">
        <f>+'1.Informe Seguimiento POA 2022'!O48</f>
        <v>7.0000000000000007E-2</v>
      </c>
      <c r="AC44" s="719">
        <f>+'1.Informe Seguimiento POA 2022'!P48</f>
        <v>7.0000000000000007E-2</v>
      </c>
      <c r="AD44" s="719">
        <f>+'1.Informe Seguimiento POA 2022'!Q48</f>
        <v>0.13</v>
      </c>
      <c r="AE44" s="719">
        <f>+'1.Informe Seguimiento POA 2022'!R48</f>
        <v>0</v>
      </c>
      <c r="AF44" s="719">
        <f>+'1.Informe Seguimiento POA 2022'!S48</f>
        <v>0.13</v>
      </c>
      <c r="AG44" s="792">
        <f>+'1.Informe Seguimiento POA 2022'!T48</f>
        <v>0</v>
      </c>
      <c r="AH44" s="719">
        <f>+'1.Informe Seguimiento POA 2022'!U48</f>
        <v>7.0000000000000007E-2</v>
      </c>
      <c r="AI44" s="792">
        <f>+'1.Informe Seguimiento POA 2022'!V48</f>
        <v>0</v>
      </c>
      <c r="AJ44" s="719">
        <f>+'1.Informe Seguimiento POA 2022'!W48</f>
        <v>0.4</v>
      </c>
      <c r="AK44" s="720">
        <f>+'1.Informe Seguimiento POA 2022'!X48</f>
        <v>7.0000000000000007E-2</v>
      </c>
      <c r="AL44" s="719">
        <f>+'1.Informe Seguimiento POA 2022'!Y48</f>
        <v>0.17500000000000002</v>
      </c>
      <c r="AM44" s="719"/>
      <c r="AN44" s="719"/>
      <c r="AO44" s="719"/>
      <c r="AP44" s="719"/>
      <c r="AQ44" s="719"/>
      <c r="AR44" s="719"/>
      <c r="AS44" s="719"/>
      <c r="AT44" s="719"/>
      <c r="AU44" s="719">
        <f t="shared" si="21"/>
        <v>0.25</v>
      </c>
      <c r="AV44" s="719"/>
      <c r="AW44" s="719"/>
      <c r="AX44" s="719"/>
      <c r="AY44" s="719"/>
      <c r="AZ44" s="719"/>
      <c r="BA44" s="719"/>
      <c r="BB44" s="719"/>
      <c r="BC44" s="719"/>
      <c r="BD44" s="719"/>
      <c r="BE44" s="719"/>
      <c r="BF44" s="719">
        <f t="shared" si="22"/>
        <v>0.05</v>
      </c>
      <c r="BG44" s="719"/>
      <c r="BH44" s="719"/>
      <c r="BI44" s="788">
        <f t="shared" si="18"/>
        <v>0.4</v>
      </c>
      <c r="BJ44" s="788">
        <f t="shared" si="19"/>
        <v>7.0000000000000007E-2</v>
      </c>
      <c r="BK44" s="813">
        <f t="shared" si="11"/>
        <v>0.17500000000000002</v>
      </c>
      <c r="BL44" s="711">
        <f t="shared" si="6"/>
        <v>7.0000000000000007E-2</v>
      </c>
      <c r="BM44" s="719">
        <f t="shared" si="20"/>
        <v>9.8000000000000014E-3</v>
      </c>
      <c r="BN44" s="1326">
        <f>SUM(BM44:BM50)</f>
        <v>7.0000000000000007E-2</v>
      </c>
      <c r="BO44" s="1186">
        <f>((IF(AND(BN44&gt;0,E44&gt;0),BN44*E44))+(IF(AND(BN51&gt;0,E51&gt;0),BN51*E51))+(IF(AND(BN57&gt;0,E57&gt;0),BN57*E57))+(IF(AND(BN65&gt;0,E65&gt;0),BN65*E65))+(IF(AND(BN83&gt;0,E83&gt;0),BN83*E83))+(IF(AND(BN89&gt;0,E89&gt;0),BN89*E89))+(IF(AND(BN91&gt;0,E91&gt;0),BN91*E91)))</f>
        <v>5.2148649278821679E-2</v>
      </c>
      <c r="BP44" s="832"/>
      <c r="BQ44" s="832"/>
    </row>
    <row r="45" spans="2:69" ht="80.25" customHeight="1">
      <c r="B45" s="1189"/>
      <c r="C45" s="1251"/>
      <c r="D45" s="1262"/>
      <c r="E45" s="1273"/>
      <c r="F45" s="1251"/>
      <c r="G45" s="1251"/>
      <c r="H45" s="705" t="str">
        <f>+'1.Informe Seguimiento POA 2022'!D49</f>
        <v>4.1.2 Ejecutar en un 100 % las actividades programadas en el plan de Seguridad de la Información, garantizando la disponibilidad, confiabilidad e integridad de los activos de información</v>
      </c>
      <c r="I45" s="152">
        <f>+'1.Informe Seguimiento POA 2022'!E49</f>
        <v>0.14000000000000001</v>
      </c>
      <c r="J45" s="788">
        <f>+'1.Informe Seguimiento POA 2022'!F49</f>
        <v>1</v>
      </c>
      <c r="K45" s="707" t="str">
        <f>+'1.Informe Seguimiento POA 2022'!I49</f>
        <v>Direccionamiento TIC</v>
      </c>
      <c r="L45" s="708" t="str">
        <f>+'1.Informe Seguimiento POA 2022'!J49</f>
        <v>Dirección de Tecnologías de la  Información y las Comunicaciones</v>
      </c>
      <c r="M45" s="168">
        <f>+'1.Informe Seguimiento POA 2022'!K49</f>
        <v>0.3</v>
      </c>
      <c r="N45" s="168">
        <f>+'1.Informe Seguimiento POA 2022'!L49</f>
        <v>0.4</v>
      </c>
      <c r="O45" s="168">
        <f>+'1.Informe Seguimiento POA 2022'!M49</f>
        <v>0.25</v>
      </c>
      <c r="P45" s="168">
        <f>+'1.Informe Seguimiento POA 2022'!N49</f>
        <v>0.05</v>
      </c>
      <c r="Q45" s="719">
        <v>0.06</v>
      </c>
      <c r="R45" s="719">
        <v>0.06</v>
      </c>
      <c r="S45" s="719">
        <v>0.09</v>
      </c>
      <c r="T45" s="719">
        <v>0.09</v>
      </c>
      <c r="U45" s="719">
        <v>0.09</v>
      </c>
      <c r="V45" s="792">
        <v>0.09</v>
      </c>
      <c r="W45" s="719">
        <v>0.06</v>
      </c>
      <c r="X45" s="792">
        <v>0.06</v>
      </c>
      <c r="Y45" s="719">
        <v>0.3</v>
      </c>
      <c r="Z45" s="720">
        <v>0.3</v>
      </c>
      <c r="AA45" s="719">
        <v>1</v>
      </c>
      <c r="AB45" s="719">
        <f>+'1.Informe Seguimiento POA 2022'!O49</f>
        <v>7.0000000000000007E-2</v>
      </c>
      <c r="AC45" s="719">
        <f>+'1.Informe Seguimiento POA 2022'!P49</f>
        <v>7.0000000000000007E-2</v>
      </c>
      <c r="AD45" s="719">
        <f>+'1.Informe Seguimiento POA 2022'!Q49</f>
        <v>0.13</v>
      </c>
      <c r="AE45" s="719">
        <f>+'1.Informe Seguimiento POA 2022'!R49</f>
        <v>0</v>
      </c>
      <c r="AF45" s="719">
        <f>+'1.Informe Seguimiento POA 2022'!S49</f>
        <v>0.13</v>
      </c>
      <c r="AG45" s="792">
        <f>+'1.Informe Seguimiento POA 2022'!T49</f>
        <v>0</v>
      </c>
      <c r="AH45" s="719">
        <f>+'1.Informe Seguimiento POA 2022'!U49</f>
        <v>7.0000000000000007E-2</v>
      </c>
      <c r="AI45" s="792">
        <f>+'1.Informe Seguimiento POA 2022'!V49</f>
        <v>0</v>
      </c>
      <c r="AJ45" s="719">
        <f>+'1.Informe Seguimiento POA 2022'!W49</f>
        <v>0.4</v>
      </c>
      <c r="AK45" s="720">
        <f>+'1.Informe Seguimiento POA 2022'!X49</f>
        <v>7.0000000000000007E-2</v>
      </c>
      <c r="AL45" s="719">
        <f>+'1.Informe Seguimiento POA 2022'!Y49</f>
        <v>0.17500000000000002</v>
      </c>
      <c r="AM45" s="719"/>
      <c r="AN45" s="719"/>
      <c r="AO45" s="719"/>
      <c r="AP45" s="719"/>
      <c r="AQ45" s="719"/>
      <c r="AR45" s="719"/>
      <c r="AS45" s="719"/>
      <c r="AT45" s="719"/>
      <c r="AU45" s="719">
        <f t="shared" ref="AU45:AU54" si="23">+O45</f>
        <v>0.25</v>
      </c>
      <c r="AV45" s="719"/>
      <c r="AW45" s="719"/>
      <c r="AX45" s="719"/>
      <c r="AY45" s="719"/>
      <c r="AZ45" s="719"/>
      <c r="BA45" s="719"/>
      <c r="BB45" s="719"/>
      <c r="BC45" s="719"/>
      <c r="BD45" s="719"/>
      <c r="BE45" s="719"/>
      <c r="BF45" s="719">
        <f t="shared" ref="BF45:BF54" si="24">+P45</f>
        <v>0.05</v>
      </c>
      <c r="BG45" s="719"/>
      <c r="BH45" s="719"/>
      <c r="BI45" s="788">
        <f t="shared" si="18"/>
        <v>0.4</v>
      </c>
      <c r="BJ45" s="788">
        <f t="shared" si="19"/>
        <v>7.0000000000000007E-2</v>
      </c>
      <c r="BK45" s="813">
        <f t="shared" si="11"/>
        <v>0.17500000000000002</v>
      </c>
      <c r="BL45" s="711">
        <f t="shared" si="6"/>
        <v>7.0000000000000007E-2</v>
      </c>
      <c r="BM45" s="719">
        <f t="shared" si="20"/>
        <v>9.8000000000000014E-3</v>
      </c>
      <c r="BN45" s="1327"/>
      <c r="BO45" s="1187"/>
      <c r="BP45" s="832"/>
      <c r="BQ45" s="832"/>
    </row>
    <row r="46" spans="2:69" ht="111" customHeight="1">
      <c r="B46" s="1189"/>
      <c r="C46" s="1251"/>
      <c r="D46" s="1262"/>
      <c r="E46" s="1273"/>
      <c r="F46" s="1251"/>
      <c r="G46" s="1251"/>
      <c r="H46" s="705" t="str">
        <f>+'1.Informe Seguimiento POA 2022'!D50</f>
        <v>4.1.3 Realizar el 100% de las actividades definidas en la estrategia de servicios ciudadanos digitales, que permitan acceder a los tramites y servicios de la Entidad a través de canales digitales rápidos, fiables y seguros</v>
      </c>
      <c r="I46" s="152">
        <f>+'1.Informe Seguimiento POA 2022'!E50</f>
        <v>0.14000000000000001</v>
      </c>
      <c r="J46" s="788">
        <f>+'1.Informe Seguimiento POA 2022'!F50</f>
        <v>1</v>
      </c>
      <c r="K46" s="707" t="str">
        <f>+'1.Informe Seguimiento POA 2022'!I50</f>
        <v>Direccionamiento TIC</v>
      </c>
      <c r="L46" s="708" t="str">
        <f>+'1.Informe Seguimiento POA 2022'!J50</f>
        <v>Dirección de Tecnologías de la  Información y las Comunicaciones</v>
      </c>
      <c r="M46" s="168">
        <f>+'1.Informe Seguimiento POA 2022'!K50</f>
        <v>0.3</v>
      </c>
      <c r="N46" s="168">
        <f>+'1.Informe Seguimiento POA 2022'!L50</f>
        <v>0.4</v>
      </c>
      <c r="O46" s="168">
        <f>+'1.Informe Seguimiento POA 2022'!M50</f>
        <v>0.25</v>
      </c>
      <c r="P46" s="168">
        <f>+'1.Informe Seguimiento POA 2022'!N50</f>
        <v>0.05</v>
      </c>
      <c r="Q46" s="719">
        <v>0.05</v>
      </c>
      <c r="R46" s="719">
        <v>0.05</v>
      </c>
      <c r="S46" s="719">
        <v>0.09</v>
      </c>
      <c r="T46" s="719">
        <v>0.09</v>
      </c>
      <c r="U46" s="719">
        <v>0.09</v>
      </c>
      <c r="V46" s="792">
        <v>0.09</v>
      </c>
      <c r="W46" s="719">
        <v>7.0000000000000007E-2</v>
      </c>
      <c r="X46" s="792">
        <v>7.0000000000000007E-2</v>
      </c>
      <c r="Y46" s="719">
        <v>0.30000000000000004</v>
      </c>
      <c r="Z46" s="720">
        <v>0.30000000000000004</v>
      </c>
      <c r="AA46" s="719">
        <v>1</v>
      </c>
      <c r="AB46" s="719">
        <f>+'1.Informe Seguimiento POA 2022'!O50</f>
        <v>7.0000000000000007E-2</v>
      </c>
      <c r="AC46" s="719">
        <f>+'1.Informe Seguimiento POA 2022'!P50</f>
        <v>7.0000000000000007E-2</v>
      </c>
      <c r="AD46" s="719">
        <f>+'1.Informe Seguimiento POA 2022'!Q50</f>
        <v>0.13</v>
      </c>
      <c r="AE46" s="719">
        <f>+'1.Informe Seguimiento POA 2022'!R50</f>
        <v>0</v>
      </c>
      <c r="AF46" s="719">
        <f>+'1.Informe Seguimiento POA 2022'!S50</f>
        <v>0.13</v>
      </c>
      <c r="AG46" s="792">
        <f>+'1.Informe Seguimiento POA 2022'!T50</f>
        <v>0</v>
      </c>
      <c r="AH46" s="719">
        <f>+'1.Informe Seguimiento POA 2022'!U50</f>
        <v>7.0000000000000007E-2</v>
      </c>
      <c r="AI46" s="792">
        <f>+'1.Informe Seguimiento POA 2022'!V50</f>
        <v>0</v>
      </c>
      <c r="AJ46" s="719">
        <f>+'1.Informe Seguimiento POA 2022'!W50</f>
        <v>0.4</v>
      </c>
      <c r="AK46" s="720">
        <f>+'1.Informe Seguimiento POA 2022'!X50</f>
        <v>7.0000000000000007E-2</v>
      </c>
      <c r="AL46" s="719">
        <f>+'1.Informe Seguimiento POA 2022'!Y50</f>
        <v>0.17500000000000002</v>
      </c>
      <c r="AM46" s="719"/>
      <c r="AN46" s="719"/>
      <c r="AO46" s="719"/>
      <c r="AP46" s="719"/>
      <c r="AQ46" s="719"/>
      <c r="AR46" s="719"/>
      <c r="AS46" s="719"/>
      <c r="AT46" s="719"/>
      <c r="AU46" s="719">
        <f t="shared" si="23"/>
        <v>0.25</v>
      </c>
      <c r="AV46" s="719"/>
      <c r="AW46" s="719"/>
      <c r="AX46" s="719"/>
      <c r="AY46" s="719"/>
      <c r="AZ46" s="719"/>
      <c r="BA46" s="719"/>
      <c r="BB46" s="719"/>
      <c r="BC46" s="719"/>
      <c r="BD46" s="719"/>
      <c r="BE46" s="719"/>
      <c r="BF46" s="719">
        <f t="shared" si="24"/>
        <v>0.05</v>
      </c>
      <c r="BG46" s="719"/>
      <c r="BH46" s="719"/>
      <c r="BI46" s="788">
        <f t="shared" si="18"/>
        <v>0.4</v>
      </c>
      <c r="BJ46" s="788">
        <f t="shared" si="19"/>
        <v>7.0000000000000007E-2</v>
      </c>
      <c r="BK46" s="813">
        <f t="shared" si="11"/>
        <v>0.17500000000000002</v>
      </c>
      <c r="BL46" s="711">
        <f t="shared" si="6"/>
        <v>7.0000000000000007E-2</v>
      </c>
      <c r="BM46" s="719">
        <f t="shared" si="20"/>
        <v>9.8000000000000014E-3</v>
      </c>
      <c r="BN46" s="1327"/>
      <c r="BO46" s="1187"/>
      <c r="BP46" s="832"/>
      <c r="BQ46" s="832"/>
    </row>
    <row r="47" spans="2:69" ht="82.5" customHeight="1">
      <c r="B47" s="1189"/>
      <c r="C47" s="1251"/>
      <c r="D47" s="1262"/>
      <c r="E47" s="1273"/>
      <c r="F47" s="1251"/>
      <c r="G47" s="1251"/>
      <c r="H47" s="705" t="str">
        <f>+'1.Informe Seguimiento POA 2022'!D51</f>
        <v>4.1.4 Implementar en un 100% los lineamientos que adopte la Entidad para mejorar la gestión de datos que facilite la toma de decisiones</v>
      </c>
      <c r="I47" s="152">
        <f>+'1.Informe Seguimiento POA 2022'!E51</f>
        <v>0.14000000000000001</v>
      </c>
      <c r="J47" s="788">
        <f>+'1.Informe Seguimiento POA 2022'!F51</f>
        <v>1</v>
      </c>
      <c r="K47" s="707" t="str">
        <f>+'1.Informe Seguimiento POA 2022'!I51</f>
        <v>Direccionamiento TIC</v>
      </c>
      <c r="L47" s="708" t="str">
        <f>+'1.Informe Seguimiento POA 2022'!J51</f>
        <v>Dirección de Tecnologías de la  Información y las Comunicaciones</v>
      </c>
      <c r="M47" s="168">
        <f>+'1.Informe Seguimiento POA 2022'!K51</f>
        <v>0.3</v>
      </c>
      <c r="N47" s="168">
        <f>+'1.Informe Seguimiento POA 2022'!L51</f>
        <v>0.4</v>
      </c>
      <c r="O47" s="168">
        <f>+'1.Informe Seguimiento POA 2022'!M51</f>
        <v>0.25</v>
      </c>
      <c r="P47" s="168">
        <f>+'1.Informe Seguimiento POA 2022'!N51</f>
        <v>0.05</v>
      </c>
      <c r="Q47" s="719">
        <v>0.05</v>
      </c>
      <c r="R47" s="719">
        <v>0.05</v>
      </c>
      <c r="S47" s="719">
        <v>0.09</v>
      </c>
      <c r="T47" s="719">
        <v>0.09</v>
      </c>
      <c r="U47" s="719">
        <v>0.09</v>
      </c>
      <c r="V47" s="792">
        <v>0.09</v>
      </c>
      <c r="W47" s="719">
        <v>7.0000000000000007E-2</v>
      </c>
      <c r="X47" s="792">
        <v>7.0000000000000007E-2</v>
      </c>
      <c r="Y47" s="719">
        <v>0.30000000000000004</v>
      </c>
      <c r="Z47" s="720">
        <v>0.30000000000000004</v>
      </c>
      <c r="AA47" s="719">
        <v>1</v>
      </c>
      <c r="AB47" s="719">
        <f>+'1.Informe Seguimiento POA 2022'!O51</f>
        <v>7.0000000000000007E-2</v>
      </c>
      <c r="AC47" s="719">
        <f>+'1.Informe Seguimiento POA 2022'!P51</f>
        <v>7.0000000000000007E-2</v>
      </c>
      <c r="AD47" s="719">
        <f>+'1.Informe Seguimiento POA 2022'!Q51</f>
        <v>0.13</v>
      </c>
      <c r="AE47" s="719">
        <f>+'1.Informe Seguimiento POA 2022'!R51</f>
        <v>0</v>
      </c>
      <c r="AF47" s="719">
        <f>+'1.Informe Seguimiento POA 2022'!S51</f>
        <v>0.13</v>
      </c>
      <c r="AG47" s="792">
        <f>+'1.Informe Seguimiento POA 2022'!T51</f>
        <v>0</v>
      </c>
      <c r="AH47" s="719">
        <f>+'1.Informe Seguimiento POA 2022'!U51</f>
        <v>7.0000000000000007E-2</v>
      </c>
      <c r="AI47" s="792">
        <f>+'1.Informe Seguimiento POA 2022'!V51</f>
        <v>0</v>
      </c>
      <c r="AJ47" s="719">
        <f>+'1.Informe Seguimiento POA 2022'!W51</f>
        <v>0.4</v>
      </c>
      <c r="AK47" s="720">
        <f>+'1.Informe Seguimiento POA 2022'!X51</f>
        <v>7.0000000000000007E-2</v>
      </c>
      <c r="AL47" s="719">
        <f>+'1.Informe Seguimiento POA 2022'!Y51</f>
        <v>0.17500000000000002</v>
      </c>
      <c r="AM47" s="719"/>
      <c r="AN47" s="719"/>
      <c r="AO47" s="719"/>
      <c r="AP47" s="719"/>
      <c r="AQ47" s="719"/>
      <c r="AR47" s="719"/>
      <c r="AS47" s="719"/>
      <c r="AT47" s="719"/>
      <c r="AU47" s="719">
        <f t="shared" si="23"/>
        <v>0.25</v>
      </c>
      <c r="AV47" s="719"/>
      <c r="AW47" s="719"/>
      <c r="AX47" s="719"/>
      <c r="AY47" s="719"/>
      <c r="AZ47" s="719"/>
      <c r="BA47" s="719"/>
      <c r="BB47" s="719"/>
      <c r="BC47" s="719"/>
      <c r="BD47" s="719"/>
      <c r="BE47" s="719"/>
      <c r="BF47" s="719">
        <f t="shared" si="24"/>
        <v>0.05</v>
      </c>
      <c r="BG47" s="719"/>
      <c r="BH47" s="719"/>
      <c r="BI47" s="788">
        <f t="shared" si="18"/>
        <v>0.4</v>
      </c>
      <c r="BJ47" s="788">
        <f t="shared" si="19"/>
        <v>7.0000000000000007E-2</v>
      </c>
      <c r="BK47" s="813">
        <f t="shared" si="11"/>
        <v>0.17500000000000002</v>
      </c>
      <c r="BL47" s="711">
        <f t="shared" si="6"/>
        <v>7.0000000000000007E-2</v>
      </c>
      <c r="BM47" s="719">
        <f t="shared" si="20"/>
        <v>9.8000000000000014E-3</v>
      </c>
      <c r="BN47" s="1327"/>
      <c r="BO47" s="1187"/>
      <c r="BP47" s="832"/>
      <c r="BQ47" s="832"/>
    </row>
    <row r="48" spans="2:69" ht="94.5" customHeight="1">
      <c r="B48" s="1189"/>
      <c r="C48" s="1251"/>
      <c r="D48" s="1262"/>
      <c r="E48" s="1273"/>
      <c r="F48" s="1251"/>
      <c r="G48" s="1251"/>
      <c r="H48" s="705" t="str">
        <f>+'1.Informe Seguimiento POA 2022'!D52</f>
        <v>4.1.5 Desarrollar el 100% de los requerimientos prioritarios a Sistemas de Información y de apoyo que garanticen el óptimo desempeño de la gestión de los procesos en la Entidad</v>
      </c>
      <c r="I48" s="152">
        <f>+'1.Informe Seguimiento POA 2022'!E52</f>
        <v>0.14000000000000001</v>
      </c>
      <c r="J48" s="788">
        <f>+'1.Informe Seguimiento POA 2022'!F52</f>
        <v>1</v>
      </c>
      <c r="K48" s="707" t="str">
        <f>+'1.Informe Seguimiento POA 2022'!I52</f>
        <v>Direccionamiento TIC</v>
      </c>
      <c r="L48" s="708" t="str">
        <f>+'1.Informe Seguimiento POA 2022'!J52</f>
        <v>Dirección de Tecnologías de la  Información y las Comunicaciones</v>
      </c>
      <c r="M48" s="168">
        <f>+'1.Informe Seguimiento POA 2022'!K52</f>
        <v>0.3</v>
      </c>
      <c r="N48" s="168">
        <f>+'1.Informe Seguimiento POA 2022'!L52</f>
        <v>0.4</v>
      </c>
      <c r="O48" s="168">
        <f>+'1.Informe Seguimiento POA 2022'!M52</f>
        <v>0.25</v>
      </c>
      <c r="P48" s="168">
        <f>+'1.Informe Seguimiento POA 2022'!N52</f>
        <v>0.05</v>
      </c>
      <c r="Q48" s="719">
        <v>0.05</v>
      </c>
      <c r="R48" s="719">
        <v>0.05</v>
      </c>
      <c r="S48" s="719">
        <v>0.09</v>
      </c>
      <c r="T48" s="719">
        <v>0.09</v>
      </c>
      <c r="U48" s="719">
        <v>0.09</v>
      </c>
      <c r="V48" s="792">
        <v>0.09</v>
      </c>
      <c r="W48" s="719">
        <v>6.9999999999999993E-2</v>
      </c>
      <c r="X48" s="792">
        <v>6.9999999999999993E-2</v>
      </c>
      <c r="Y48" s="719">
        <v>0.3</v>
      </c>
      <c r="Z48" s="720">
        <v>0.3</v>
      </c>
      <c r="AA48" s="719">
        <v>1</v>
      </c>
      <c r="AB48" s="719">
        <f>+'1.Informe Seguimiento POA 2022'!O52</f>
        <v>7.0000000000000007E-2</v>
      </c>
      <c r="AC48" s="719">
        <f>+'1.Informe Seguimiento POA 2022'!P52</f>
        <v>7.0000000000000007E-2</v>
      </c>
      <c r="AD48" s="719">
        <f>+'1.Informe Seguimiento POA 2022'!Q52</f>
        <v>0.13</v>
      </c>
      <c r="AE48" s="719">
        <f>+'1.Informe Seguimiento POA 2022'!R52</f>
        <v>0</v>
      </c>
      <c r="AF48" s="719">
        <f>+'1.Informe Seguimiento POA 2022'!S52</f>
        <v>0.13</v>
      </c>
      <c r="AG48" s="792">
        <f>+'1.Informe Seguimiento POA 2022'!T52</f>
        <v>0</v>
      </c>
      <c r="AH48" s="719">
        <f>+'1.Informe Seguimiento POA 2022'!U52</f>
        <v>7.0000000000000007E-2</v>
      </c>
      <c r="AI48" s="792">
        <f>+'1.Informe Seguimiento POA 2022'!V52</f>
        <v>0</v>
      </c>
      <c r="AJ48" s="719">
        <f>+'1.Informe Seguimiento POA 2022'!W52</f>
        <v>0.4</v>
      </c>
      <c r="AK48" s="720">
        <f>+'1.Informe Seguimiento POA 2022'!X52</f>
        <v>7.0000000000000007E-2</v>
      </c>
      <c r="AL48" s="719">
        <f>+'1.Informe Seguimiento POA 2022'!Y52</f>
        <v>0.17500000000000002</v>
      </c>
      <c r="AM48" s="719"/>
      <c r="AN48" s="719"/>
      <c r="AO48" s="719"/>
      <c r="AP48" s="719"/>
      <c r="AQ48" s="719"/>
      <c r="AR48" s="719"/>
      <c r="AS48" s="719"/>
      <c r="AT48" s="719"/>
      <c r="AU48" s="719">
        <f t="shared" si="23"/>
        <v>0.25</v>
      </c>
      <c r="AV48" s="719"/>
      <c r="AW48" s="719"/>
      <c r="AX48" s="719"/>
      <c r="AY48" s="719"/>
      <c r="AZ48" s="719"/>
      <c r="BA48" s="719"/>
      <c r="BB48" s="719"/>
      <c r="BC48" s="719"/>
      <c r="BD48" s="719"/>
      <c r="BE48" s="719"/>
      <c r="BF48" s="719">
        <f t="shared" si="24"/>
        <v>0.05</v>
      </c>
      <c r="BG48" s="719"/>
      <c r="BH48" s="719"/>
      <c r="BI48" s="788">
        <f t="shared" si="18"/>
        <v>0.4</v>
      </c>
      <c r="BJ48" s="788">
        <f t="shared" si="19"/>
        <v>7.0000000000000007E-2</v>
      </c>
      <c r="BK48" s="813">
        <f t="shared" si="11"/>
        <v>0.17500000000000002</v>
      </c>
      <c r="BL48" s="711">
        <f t="shared" si="6"/>
        <v>7.0000000000000007E-2</v>
      </c>
      <c r="BM48" s="719">
        <f t="shared" si="20"/>
        <v>9.8000000000000014E-3</v>
      </c>
      <c r="BN48" s="1327"/>
      <c r="BO48" s="1187"/>
      <c r="BP48" s="832"/>
      <c r="BQ48" s="832"/>
    </row>
    <row r="49" spans="2:69" ht="71.25" customHeight="1">
      <c r="B49" s="1189"/>
      <c r="C49" s="1251"/>
      <c r="D49" s="1262"/>
      <c r="E49" s="1273"/>
      <c r="F49" s="1251"/>
      <c r="G49" s="1251"/>
      <c r="H49" s="705" t="str">
        <f>+'1.Informe Seguimiento POA 2022'!D53</f>
        <v>4.1.6 Implementar en un 100% las actividades programadas en el plan de uso y apropiación de las TIC, para una óptima gestión institucional</v>
      </c>
      <c r="I49" s="152">
        <f>+'1.Informe Seguimiento POA 2022'!E53</f>
        <v>0.15</v>
      </c>
      <c r="J49" s="788">
        <f>+'1.Informe Seguimiento POA 2022'!F53</f>
        <v>1</v>
      </c>
      <c r="K49" s="707" t="str">
        <f>+'1.Informe Seguimiento POA 2022'!I53</f>
        <v>Direccionamiento TIC</v>
      </c>
      <c r="L49" s="708" t="str">
        <f>+'1.Informe Seguimiento POA 2022'!J53</f>
        <v>Dirección de Tecnologías de la  Información y las Comunicaciones</v>
      </c>
      <c r="M49" s="168">
        <f>+'1.Informe Seguimiento POA 2022'!K53</f>
        <v>0.3</v>
      </c>
      <c r="N49" s="168">
        <f>+'1.Informe Seguimiento POA 2022'!L53</f>
        <v>0.4</v>
      </c>
      <c r="O49" s="168">
        <f>+'1.Informe Seguimiento POA 2022'!M53</f>
        <v>0.25</v>
      </c>
      <c r="P49" s="168">
        <f>+'1.Informe Seguimiento POA 2022'!N53</f>
        <v>0.05</v>
      </c>
      <c r="Q49" s="719">
        <v>0.05</v>
      </c>
      <c r="R49" s="719">
        <v>0.05</v>
      </c>
      <c r="S49" s="719">
        <v>0.09</v>
      </c>
      <c r="T49" s="719">
        <v>0.09</v>
      </c>
      <c r="U49" s="719">
        <v>0.09</v>
      </c>
      <c r="V49" s="792">
        <v>0.09</v>
      </c>
      <c r="W49" s="719">
        <v>7.0000000000000007E-2</v>
      </c>
      <c r="X49" s="792">
        <v>7.0000000000000007E-2</v>
      </c>
      <c r="Y49" s="719">
        <v>0.30000000000000004</v>
      </c>
      <c r="Z49" s="720">
        <v>0.30000000000000004</v>
      </c>
      <c r="AA49" s="719">
        <v>1</v>
      </c>
      <c r="AB49" s="719">
        <f>+'1.Informe Seguimiento POA 2022'!O53</f>
        <v>7.0000000000000007E-2</v>
      </c>
      <c r="AC49" s="719">
        <f>+'1.Informe Seguimiento POA 2022'!P53</f>
        <v>7.0000000000000007E-2</v>
      </c>
      <c r="AD49" s="719">
        <f>+'1.Informe Seguimiento POA 2022'!Q53</f>
        <v>0.13</v>
      </c>
      <c r="AE49" s="719">
        <f>+'1.Informe Seguimiento POA 2022'!R53</f>
        <v>0</v>
      </c>
      <c r="AF49" s="719">
        <f>+'1.Informe Seguimiento POA 2022'!S53</f>
        <v>0.13</v>
      </c>
      <c r="AG49" s="792">
        <f>+'1.Informe Seguimiento POA 2022'!T53</f>
        <v>0</v>
      </c>
      <c r="AH49" s="719">
        <f>+'1.Informe Seguimiento POA 2022'!U53</f>
        <v>7.0000000000000007E-2</v>
      </c>
      <c r="AI49" s="792">
        <f>+'1.Informe Seguimiento POA 2022'!V53</f>
        <v>0</v>
      </c>
      <c r="AJ49" s="719">
        <f>+'1.Informe Seguimiento POA 2022'!W53</f>
        <v>0.4</v>
      </c>
      <c r="AK49" s="720">
        <f>+'1.Informe Seguimiento POA 2022'!X53</f>
        <v>7.0000000000000007E-2</v>
      </c>
      <c r="AL49" s="719">
        <f>+'1.Informe Seguimiento POA 2022'!Y53</f>
        <v>0.17500000000000002</v>
      </c>
      <c r="AM49" s="719"/>
      <c r="AN49" s="719"/>
      <c r="AO49" s="719"/>
      <c r="AP49" s="719"/>
      <c r="AQ49" s="719"/>
      <c r="AR49" s="719"/>
      <c r="AS49" s="719"/>
      <c r="AT49" s="719"/>
      <c r="AU49" s="719">
        <f t="shared" si="23"/>
        <v>0.25</v>
      </c>
      <c r="AV49" s="719"/>
      <c r="AW49" s="719"/>
      <c r="AX49" s="719"/>
      <c r="AY49" s="719"/>
      <c r="AZ49" s="719"/>
      <c r="BA49" s="719"/>
      <c r="BB49" s="719"/>
      <c r="BC49" s="719"/>
      <c r="BD49" s="719"/>
      <c r="BE49" s="719"/>
      <c r="BF49" s="719">
        <f t="shared" si="24"/>
        <v>0.05</v>
      </c>
      <c r="BG49" s="719"/>
      <c r="BH49" s="719"/>
      <c r="BI49" s="788">
        <f t="shared" si="18"/>
        <v>0.4</v>
      </c>
      <c r="BJ49" s="788">
        <f t="shared" si="19"/>
        <v>7.0000000000000007E-2</v>
      </c>
      <c r="BK49" s="813">
        <f t="shared" si="11"/>
        <v>0.17500000000000002</v>
      </c>
      <c r="BL49" s="711">
        <f t="shared" si="6"/>
        <v>7.0000000000000007E-2</v>
      </c>
      <c r="BM49" s="719">
        <f t="shared" si="20"/>
        <v>1.0500000000000001E-2</v>
      </c>
      <c r="BN49" s="1327"/>
      <c r="BO49" s="1187"/>
      <c r="BP49" s="832"/>
      <c r="BQ49" s="832"/>
    </row>
    <row r="50" spans="2:69" ht="87.75" customHeight="1">
      <c r="B50" s="1189"/>
      <c r="C50" s="1252"/>
      <c r="D50" s="1263"/>
      <c r="E50" s="1274"/>
      <c r="F50" s="1252"/>
      <c r="G50" s="1252"/>
      <c r="H50" s="705" t="str">
        <f>+'1.Informe Seguimiento POA 2022'!D54</f>
        <v>4.1.7 Optimizar la infraestructura tecnológica cumpliendo el 100% de las actividades de la hoja de ruta proyectada para garantizar la prestación continua de los servicios en la Entidad</v>
      </c>
      <c r="I50" s="152">
        <f>+'1.Informe Seguimiento POA 2022'!E54</f>
        <v>0.15</v>
      </c>
      <c r="J50" s="788">
        <f>+'1.Informe Seguimiento POA 2022'!F54</f>
        <v>1</v>
      </c>
      <c r="K50" s="707" t="str">
        <f>+'1.Informe Seguimiento POA 2022'!I54</f>
        <v>Direccionamiento TIC</v>
      </c>
      <c r="L50" s="708" t="str">
        <f>+'1.Informe Seguimiento POA 2022'!J54</f>
        <v>Dirección de Tecnologías de la  Información y las Comunicaciones</v>
      </c>
      <c r="M50" s="168">
        <f>+'1.Informe Seguimiento POA 2022'!K54</f>
        <v>0.3</v>
      </c>
      <c r="N50" s="168">
        <f>+'1.Informe Seguimiento POA 2022'!L54</f>
        <v>0.4</v>
      </c>
      <c r="O50" s="168">
        <f>+'1.Informe Seguimiento POA 2022'!M54</f>
        <v>0.25</v>
      </c>
      <c r="P50" s="168">
        <f>+'1.Informe Seguimiento POA 2022'!N54</f>
        <v>0.05</v>
      </c>
      <c r="Q50" s="719">
        <v>0.06</v>
      </c>
      <c r="R50" s="719">
        <v>0.06</v>
      </c>
      <c r="S50" s="719">
        <v>0.09</v>
      </c>
      <c r="T50" s="719">
        <v>0.09</v>
      </c>
      <c r="U50" s="719">
        <v>0.09</v>
      </c>
      <c r="V50" s="792">
        <v>0.09</v>
      </c>
      <c r="W50" s="719">
        <v>0.06</v>
      </c>
      <c r="X50" s="792">
        <v>0.06</v>
      </c>
      <c r="Y50" s="719">
        <v>0.3</v>
      </c>
      <c r="Z50" s="720">
        <v>0.3</v>
      </c>
      <c r="AA50" s="719">
        <v>1</v>
      </c>
      <c r="AB50" s="719">
        <f>+'1.Informe Seguimiento POA 2022'!O54</f>
        <v>7.0000000000000007E-2</v>
      </c>
      <c r="AC50" s="719">
        <f>+'1.Informe Seguimiento POA 2022'!P54</f>
        <v>7.0000000000000007E-2</v>
      </c>
      <c r="AD50" s="719">
        <f>+'1.Informe Seguimiento POA 2022'!Q54</f>
        <v>0.13</v>
      </c>
      <c r="AE50" s="719">
        <f>+'1.Informe Seguimiento POA 2022'!R54</f>
        <v>0</v>
      </c>
      <c r="AF50" s="719">
        <f>+'1.Informe Seguimiento POA 2022'!S54</f>
        <v>0.13</v>
      </c>
      <c r="AG50" s="792">
        <f>+'1.Informe Seguimiento POA 2022'!T54</f>
        <v>0</v>
      </c>
      <c r="AH50" s="719">
        <f>+'1.Informe Seguimiento POA 2022'!U54</f>
        <v>7.0000000000000007E-2</v>
      </c>
      <c r="AI50" s="792">
        <f>+'1.Informe Seguimiento POA 2022'!V54</f>
        <v>0</v>
      </c>
      <c r="AJ50" s="719">
        <f>+'1.Informe Seguimiento POA 2022'!W54</f>
        <v>0.4</v>
      </c>
      <c r="AK50" s="720">
        <f>+'1.Informe Seguimiento POA 2022'!X54</f>
        <v>7.0000000000000007E-2</v>
      </c>
      <c r="AL50" s="719">
        <f>+'1.Informe Seguimiento POA 2022'!Y54</f>
        <v>0.17500000000000002</v>
      </c>
      <c r="AM50" s="719"/>
      <c r="AN50" s="719"/>
      <c r="AO50" s="719"/>
      <c r="AP50" s="719"/>
      <c r="AQ50" s="719"/>
      <c r="AR50" s="719"/>
      <c r="AS50" s="719"/>
      <c r="AT50" s="719"/>
      <c r="AU50" s="719">
        <f t="shared" si="23"/>
        <v>0.25</v>
      </c>
      <c r="AV50" s="719"/>
      <c r="AW50" s="719"/>
      <c r="AX50" s="719"/>
      <c r="AY50" s="719"/>
      <c r="AZ50" s="719"/>
      <c r="BA50" s="719"/>
      <c r="BB50" s="719"/>
      <c r="BC50" s="719"/>
      <c r="BD50" s="719"/>
      <c r="BE50" s="719"/>
      <c r="BF50" s="719">
        <f t="shared" si="24"/>
        <v>0.05</v>
      </c>
      <c r="BG50" s="719"/>
      <c r="BH50" s="719"/>
      <c r="BI50" s="788">
        <f t="shared" si="18"/>
        <v>0.4</v>
      </c>
      <c r="BJ50" s="788">
        <f t="shared" si="19"/>
        <v>7.0000000000000007E-2</v>
      </c>
      <c r="BK50" s="813">
        <f t="shared" si="11"/>
        <v>0.17500000000000002</v>
      </c>
      <c r="BL50" s="711">
        <f t="shared" si="6"/>
        <v>7.0000000000000007E-2</v>
      </c>
      <c r="BM50" s="719">
        <f t="shared" si="20"/>
        <v>1.0500000000000001E-2</v>
      </c>
      <c r="BN50" s="1328"/>
      <c r="BO50" s="1187"/>
      <c r="BP50" s="832"/>
      <c r="BQ50" s="832"/>
    </row>
    <row r="51" spans="2:69" ht="105" customHeight="1">
      <c r="B51" s="1189"/>
      <c r="C51" s="1232" t="str">
        <f>+'Matriz PEI 2021-2024'!C21</f>
        <v>4.2. Consolidar el 90% del Modelo Integrado de Planeación y Gestión –MIPG- y sus sistemas de gestión articulados, como compromiso con la Calidad, la Excelencia, la Responsabilidad Ambiental y la Mejora en la prestación del Servicio.</v>
      </c>
      <c r="D51" s="1238">
        <f>+'Matriz PEI 2021-2024'!E21</f>
        <v>0.9</v>
      </c>
      <c r="E51" s="1238">
        <f>+'Matriz PEI 2021-2024'!D21</f>
        <v>0.15</v>
      </c>
      <c r="F51" s="895" t="s">
        <v>153</v>
      </c>
      <c r="G51" s="895" t="s">
        <v>993</v>
      </c>
      <c r="H51" s="51" t="str">
        <f>+'1.Informe Seguimiento POA 2022'!D55</f>
        <v>4.2.1 Formular e implementar el 100% de las acciones para la Sostenibilidad y mejora del Sistema de Gestión de la Calidad 
-SGC- (Meta Transversal)</v>
      </c>
      <c r="I51" s="786">
        <f>+'1.Informe Seguimiento POA 2022'!E55</f>
        <v>0.2</v>
      </c>
      <c r="J51" s="782">
        <f>+'1.Informe Seguimiento POA 2022'!F55</f>
        <v>1</v>
      </c>
      <c r="K51" s="787" t="str">
        <f>+'1.Informe Seguimiento POA 2022'!I55</f>
        <v>Direccionamiento Estratégico</v>
      </c>
      <c r="L51" s="787" t="str">
        <f>+'1.Informe Seguimiento POA 2022'!J55</f>
        <v>Dirección de Planeación
Aportan: Dependencias lideradas por  Responsables de procesos y operativos de todos los procesos institucionales</v>
      </c>
      <c r="M51" s="778">
        <f>+'1.Informe Seguimiento POA 2022'!K55</f>
        <v>1</v>
      </c>
      <c r="N51" s="778">
        <f>+'1.Informe Seguimiento POA 2022'!L55</f>
        <v>1</v>
      </c>
      <c r="O51" s="778">
        <f>+'1.Informe Seguimiento POA 2022'!M55</f>
        <v>1</v>
      </c>
      <c r="P51" s="778">
        <f>+'1.Informe Seguimiento POA 2022'!N55</f>
        <v>1</v>
      </c>
      <c r="Q51" s="1098">
        <v>0.2</v>
      </c>
      <c r="R51" s="1098">
        <v>0.2</v>
      </c>
      <c r="S51" s="1098">
        <v>0.22000000000000003</v>
      </c>
      <c r="T51" s="1098">
        <v>0.18482662638903868</v>
      </c>
      <c r="U51" s="1098">
        <v>0.29000000000000004</v>
      </c>
      <c r="V51" s="1098">
        <v>0.31566361788617886</v>
      </c>
      <c r="W51" s="1098">
        <v>0.29000000000000004</v>
      </c>
      <c r="X51" s="1098">
        <v>0.29200000000000004</v>
      </c>
      <c r="Y51" s="703">
        <v>1</v>
      </c>
      <c r="Z51" s="703">
        <v>0.99249024427521759</v>
      </c>
      <c r="AA51" s="703">
        <v>0.99249024427521759</v>
      </c>
      <c r="AB51" s="793">
        <f>+'1.Informe Seguimiento POA 2022'!O55</f>
        <v>0.24000000000000002</v>
      </c>
      <c r="AC51" s="793">
        <f>+'1.Informe Seguimiento POA 2022'!P55</f>
        <v>0.24000000000000002</v>
      </c>
      <c r="AD51" s="793">
        <f>+'1.Informe Seguimiento POA 2022'!Q55</f>
        <v>0.27</v>
      </c>
      <c r="AE51" s="793">
        <f>+'1.Informe Seguimiento POA 2022'!R55</f>
        <v>0</v>
      </c>
      <c r="AF51" s="793">
        <f>+'1.Informe Seguimiento POA 2022'!S55</f>
        <v>0.27</v>
      </c>
      <c r="AG51" s="793">
        <f>+'1.Informe Seguimiento POA 2022'!T55</f>
        <v>0</v>
      </c>
      <c r="AH51" s="793">
        <f>+'1.Informe Seguimiento POA 2022'!U55</f>
        <v>0.22</v>
      </c>
      <c r="AI51" s="793">
        <f>+'1.Informe Seguimiento POA 2022'!V55</f>
        <v>0</v>
      </c>
      <c r="AJ51" s="703">
        <f>+'1.Informe Seguimiento POA 2022'!W55</f>
        <v>1</v>
      </c>
      <c r="AK51" s="703">
        <f>+'1.Informe Seguimiento POA 2022'!X55</f>
        <v>0.24000000000000002</v>
      </c>
      <c r="AL51" s="703">
        <f>+'1.Informe Seguimiento POA 2022'!Y55</f>
        <v>0.24000000000000002</v>
      </c>
      <c r="AM51" s="797"/>
      <c r="AN51" s="797"/>
      <c r="AO51" s="797"/>
      <c r="AP51" s="797"/>
      <c r="AQ51" s="797"/>
      <c r="AR51" s="797"/>
      <c r="AS51" s="797"/>
      <c r="AT51" s="797"/>
      <c r="AU51" s="782">
        <f t="shared" si="23"/>
        <v>1</v>
      </c>
      <c r="AV51" s="782"/>
      <c r="AW51" s="797"/>
      <c r="AX51" s="797"/>
      <c r="AY51" s="797"/>
      <c r="AZ51" s="797"/>
      <c r="BA51" s="797"/>
      <c r="BB51" s="797"/>
      <c r="BC51" s="797"/>
      <c r="BD51" s="797"/>
      <c r="BE51" s="797"/>
      <c r="BF51" s="782">
        <f t="shared" si="24"/>
        <v>1</v>
      </c>
      <c r="BG51" s="782"/>
      <c r="BH51" s="797"/>
      <c r="BI51" s="700">
        <f t="shared" si="18"/>
        <v>1</v>
      </c>
      <c r="BJ51" s="700">
        <f t="shared" si="19"/>
        <v>0.24000000000000002</v>
      </c>
      <c r="BK51" s="700">
        <f t="shared" si="11"/>
        <v>0.24000000000000002</v>
      </c>
      <c r="BL51" s="700">
        <f>(IF(AND(BJ51&gt;0,$J51&gt;0),BJ51/$J51,0)/4)</f>
        <v>6.0000000000000005E-2</v>
      </c>
      <c r="BM51" s="701">
        <f t="shared" si="20"/>
        <v>1.2000000000000002E-2</v>
      </c>
      <c r="BN51" s="1235">
        <f>SUM(BM51:BM56)</f>
        <v>8.0461904761904762E-2</v>
      </c>
      <c r="BO51" s="1187"/>
      <c r="BP51" s="831"/>
      <c r="BQ51" s="831"/>
    </row>
    <row r="52" spans="2:69" ht="96" customHeight="1">
      <c r="B52" s="1189"/>
      <c r="C52" s="1233"/>
      <c r="D52" s="1239"/>
      <c r="E52" s="1239"/>
      <c r="F52" s="895" t="s">
        <v>154</v>
      </c>
      <c r="G52" s="895" t="s">
        <v>675</v>
      </c>
      <c r="H52" s="51" t="str">
        <f>+'1.Informe Seguimiento POA 2022'!D56</f>
        <v>4.2.2 Implementar el 40% de las actividades requeridas para la sostenibilidad y mejora del MIPG, de acuerdo con la metodología establecida por la Función Pública. (Meta Transversal)</v>
      </c>
      <c r="I52" s="786">
        <f>+'1.Informe Seguimiento POA 2022'!E56</f>
        <v>0.2</v>
      </c>
      <c r="J52" s="782">
        <f>+'1.Informe Seguimiento POA 2022'!F56</f>
        <v>0.4</v>
      </c>
      <c r="K52" s="787" t="str">
        <f>+'1.Informe Seguimiento POA 2022'!I56</f>
        <v>Direccionamiento Estratégico</v>
      </c>
      <c r="L52" s="787" t="str">
        <f>+'1.Informe Seguimiento POA 2022'!J56</f>
        <v>Dirección de Planeación
Aportan: Dependencias lideradas por  Responsables de procesos y operativos de todos los procesos institucionales</v>
      </c>
      <c r="M52" s="778">
        <f>+'1.Informe Seguimiento POA 2022'!K56</f>
        <v>0.22</v>
      </c>
      <c r="N52" s="778">
        <f>+'1.Informe Seguimiento POA 2022'!L56</f>
        <v>0.14000000000000001</v>
      </c>
      <c r="O52" s="778">
        <f>+'1.Informe Seguimiento POA 2022'!M56</f>
        <v>0.02</v>
      </c>
      <c r="P52" s="778">
        <f>+'1.Informe Seguimiento POA 2022'!N56</f>
        <v>0.02</v>
      </c>
      <c r="Q52" s="1098">
        <v>0.03</v>
      </c>
      <c r="R52" s="1098">
        <v>0.03</v>
      </c>
      <c r="S52" s="1098">
        <v>0.04</v>
      </c>
      <c r="T52" s="1098">
        <v>0.01</v>
      </c>
      <c r="U52" s="1098">
        <v>7.0000000000000007E-2</v>
      </c>
      <c r="V52" s="1098">
        <v>7.0000000000000007E-2</v>
      </c>
      <c r="W52" s="1098">
        <v>0.08</v>
      </c>
      <c r="X52" s="1098">
        <v>0.09</v>
      </c>
      <c r="Y52" s="703">
        <v>0.22000000000000003</v>
      </c>
      <c r="Z52" s="703">
        <v>0.2</v>
      </c>
      <c r="AA52" s="703">
        <v>0.90909090909090906</v>
      </c>
      <c r="AB52" s="793">
        <f>+'1.Informe Seguimiento POA 2022'!O56</f>
        <v>5.1000000000000004E-2</v>
      </c>
      <c r="AC52" s="793">
        <f>+'1.Informe Seguimiento POA 2022'!P56</f>
        <v>5.1000000000000004E-2</v>
      </c>
      <c r="AD52" s="793">
        <f>+'1.Informe Seguimiento POA 2022'!Q56</f>
        <v>3.5999999999999997E-2</v>
      </c>
      <c r="AE52" s="793">
        <f>+'1.Informe Seguimiento POA 2022'!R56</f>
        <v>0</v>
      </c>
      <c r="AF52" s="793">
        <f>+'1.Informe Seguimiento POA 2022'!S56</f>
        <v>2.7E-2</v>
      </c>
      <c r="AG52" s="793">
        <f>+'1.Informe Seguimiento POA 2022'!T56</f>
        <v>0</v>
      </c>
      <c r="AH52" s="793">
        <f>+'1.Informe Seguimiento POA 2022'!U56</f>
        <v>2.6000000000000002E-2</v>
      </c>
      <c r="AI52" s="793">
        <f>+'1.Informe Seguimiento POA 2022'!V56</f>
        <v>0</v>
      </c>
      <c r="AJ52" s="703">
        <f>+'1.Informe Seguimiento POA 2022'!W56</f>
        <v>0.13999999999999999</v>
      </c>
      <c r="AK52" s="703">
        <f>+'1.Informe Seguimiento POA 2022'!X56</f>
        <v>5.1000000000000004E-2</v>
      </c>
      <c r="AL52" s="703">
        <f>+'1.Informe Seguimiento POA 2022'!Y56</f>
        <v>0.36428571428571432</v>
      </c>
      <c r="AM52" s="797"/>
      <c r="AN52" s="797"/>
      <c r="AO52" s="797"/>
      <c r="AP52" s="797"/>
      <c r="AQ52" s="797"/>
      <c r="AR52" s="797"/>
      <c r="AS52" s="797"/>
      <c r="AT52" s="797"/>
      <c r="AU52" s="782">
        <f t="shared" si="23"/>
        <v>0.02</v>
      </c>
      <c r="AV52" s="782"/>
      <c r="AW52" s="797"/>
      <c r="AX52" s="797"/>
      <c r="AY52" s="797"/>
      <c r="AZ52" s="797"/>
      <c r="BA52" s="797"/>
      <c r="BB52" s="797"/>
      <c r="BC52" s="797"/>
      <c r="BD52" s="797"/>
      <c r="BE52" s="797"/>
      <c r="BF52" s="782">
        <f t="shared" si="24"/>
        <v>0.02</v>
      </c>
      <c r="BG52" s="782"/>
      <c r="BH52" s="797"/>
      <c r="BI52" s="700">
        <f t="shared" si="18"/>
        <v>0.13999999999999999</v>
      </c>
      <c r="BJ52" s="700">
        <f t="shared" si="19"/>
        <v>5.1000000000000004E-2</v>
      </c>
      <c r="BK52" s="700">
        <f t="shared" si="11"/>
        <v>0.36428571428571432</v>
      </c>
      <c r="BL52" s="700">
        <f t="shared" si="6"/>
        <v>0.1275</v>
      </c>
      <c r="BM52" s="701">
        <f t="shared" si="20"/>
        <v>2.5500000000000002E-2</v>
      </c>
      <c r="BN52" s="1236"/>
      <c r="BO52" s="1187"/>
      <c r="BP52" s="833"/>
      <c r="BQ52" s="833"/>
    </row>
    <row r="53" spans="2:69" ht="74.25" customHeight="1">
      <c r="B53" s="1189"/>
      <c r="C53" s="1233"/>
      <c r="D53" s="1239"/>
      <c r="E53" s="1239"/>
      <c r="F53" s="895" t="s">
        <v>155</v>
      </c>
      <c r="G53" s="895" t="s">
        <v>165</v>
      </c>
      <c r="H53" s="51" t="str">
        <f>+'1.Informe Seguimiento POA 2022'!D57</f>
        <v>4.2.3 Implementar el 100% de los requisitos del Sistema de Gestión Ambiental –SGA-, bajo los estándares de la norma ISO 14001</v>
      </c>
      <c r="I53" s="786">
        <f>+'1.Informe Seguimiento POA 2022'!E57</f>
        <v>0.15</v>
      </c>
      <c r="J53" s="782">
        <f>+'1.Informe Seguimiento POA 2022'!F57</f>
        <v>1</v>
      </c>
      <c r="K53" s="787" t="str">
        <f>+'1.Informe Seguimiento POA 2022'!I57</f>
        <v>Direccionamiento Estratégico</v>
      </c>
      <c r="L53" s="787" t="str">
        <f>+'1.Informe Seguimiento POA 2022'!J57</f>
        <v>Dirección de Planeación</v>
      </c>
      <c r="M53" s="778">
        <f>+'1.Informe Seguimiento POA 2022'!K57</f>
        <v>0.38</v>
      </c>
      <c r="N53" s="778">
        <f>+'1.Informe Seguimiento POA 2022'!L57</f>
        <v>0.33</v>
      </c>
      <c r="O53" s="778">
        <f>+'1.Informe Seguimiento POA 2022'!M57</f>
        <v>0.28999999999999998</v>
      </c>
      <c r="P53" s="778">
        <f>+'1.Informe Seguimiento POA 2022'!N57</f>
        <v>0</v>
      </c>
      <c r="Q53" s="1098">
        <v>0.09</v>
      </c>
      <c r="R53" s="1098">
        <v>0.09</v>
      </c>
      <c r="S53" s="1098">
        <v>0.09</v>
      </c>
      <c r="T53" s="1098">
        <v>0.09</v>
      </c>
      <c r="U53" s="1098">
        <v>0.11</v>
      </c>
      <c r="V53" s="1098">
        <v>0.11</v>
      </c>
      <c r="W53" s="1098">
        <v>0.09</v>
      </c>
      <c r="X53" s="1098">
        <v>0.09</v>
      </c>
      <c r="Y53" s="703">
        <v>0.38</v>
      </c>
      <c r="Z53" s="703">
        <v>0.38</v>
      </c>
      <c r="AA53" s="703">
        <v>1</v>
      </c>
      <c r="AB53" s="793">
        <f>+'1.Informe Seguimiento POA 2022'!O57</f>
        <v>8.7999999999999995E-2</v>
      </c>
      <c r="AC53" s="793">
        <f>+'1.Informe Seguimiento POA 2022'!P57</f>
        <v>8.7999999999999995E-2</v>
      </c>
      <c r="AD53" s="793">
        <f>+'1.Informe Seguimiento POA 2022'!Q57</f>
        <v>8.7999999999999995E-2</v>
      </c>
      <c r="AE53" s="793">
        <f>+'1.Informe Seguimiento POA 2022'!R57</f>
        <v>0</v>
      </c>
      <c r="AF53" s="793">
        <f>+'1.Informe Seguimiento POA 2022'!S57</f>
        <v>8.7999999999999995E-2</v>
      </c>
      <c r="AG53" s="793">
        <f>+'1.Informe Seguimiento POA 2022'!T57</f>
        <v>0</v>
      </c>
      <c r="AH53" s="793">
        <f>+'1.Informe Seguimiento POA 2022'!U57</f>
        <v>6.6000000000000003E-2</v>
      </c>
      <c r="AI53" s="793">
        <f>+'1.Informe Seguimiento POA 2022'!V57</f>
        <v>0</v>
      </c>
      <c r="AJ53" s="703">
        <f>+'1.Informe Seguimiento POA 2022'!W57</f>
        <v>0.33</v>
      </c>
      <c r="AK53" s="703">
        <f>+'1.Informe Seguimiento POA 2022'!X57</f>
        <v>8.7999999999999995E-2</v>
      </c>
      <c r="AL53" s="703">
        <f>+'1.Informe Seguimiento POA 2022'!Y57</f>
        <v>0.26666666666666666</v>
      </c>
      <c r="AM53" s="797"/>
      <c r="AN53" s="797"/>
      <c r="AO53" s="797"/>
      <c r="AP53" s="797"/>
      <c r="AQ53" s="797"/>
      <c r="AR53" s="797"/>
      <c r="AS53" s="797"/>
      <c r="AT53" s="797"/>
      <c r="AU53" s="782">
        <f t="shared" si="23"/>
        <v>0.28999999999999998</v>
      </c>
      <c r="AV53" s="782"/>
      <c r="AW53" s="797"/>
      <c r="AX53" s="797"/>
      <c r="AY53" s="797"/>
      <c r="AZ53" s="797"/>
      <c r="BA53" s="797"/>
      <c r="BB53" s="797"/>
      <c r="BC53" s="797"/>
      <c r="BD53" s="797"/>
      <c r="BE53" s="797"/>
      <c r="BF53" s="782">
        <f t="shared" si="24"/>
        <v>0</v>
      </c>
      <c r="BG53" s="782"/>
      <c r="BH53" s="797"/>
      <c r="BI53" s="700">
        <f t="shared" si="18"/>
        <v>0.33</v>
      </c>
      <c r="BJ53" s="700">
        <f t="shared" si="19"/>
        <v>8.7999999999999995E-2</v>
      </c>
      <c r="BK53" s="700">
        <f t="shared" si="11"/>
        <v>0.26666666666666666</v>
      </c>
      <c r="BL53" s="700">
        <f t="shared" si="6"/>
        <v>8.7999999999999995E-2</v>
      </c>
      <c r="BM53" s="701">
        <f t="shared" si="20"/>
        <v>1.3199999999999998E-2</v>
      </c>
      <c r="BN53" s="1236"/>
      <c r="BO53" s="1187"/>
      <c r="BP53" s="833"/>
      <c r="BQ53" s="833"/>
    </row>
    <row r="54" spans="2:69" s="781" customFormat="1" ht="63" customHeight="1">
      <c r="B54" s="1189"/>
      <c r="C54" s="1233"/>
      <c r="D54" s="1239"/>
      <c r="E54" s="1239"/>
      <c r="F54" s="895" t="s">
        <v>166</v>
      </c>
      <c r="G54" s="895" t="s">
        <v>676</v>
      </c>
      <c r="H54" s="51" t="str">
        <f>+'1.Informe Seguimiento POA 2022'!D58</f>
        <v>4.2.4 Realizar 12 acciones de monitoreo y revisión  al Plan Anticorrupción y de Atención al Ciudadano -PAAC- de la vigencia.</v>
      </c>
      <c r="I54" s="786">
        <f>+'1.Informe Seguimiento POA 2022'!E58</f>
        <v>0.1</v>
      </c>
      <c r="J54" s="697">
        <f>+'1.Informe Seguimiento POA 2022'!F58</f>
        <v>12</v>
      </c>
      <c r="K54" s="787" t="str">
        <f>+'1.Informe Seguimiento POA 2022'!I58</f>
        <v>Direccionamiento Estratégico</v>
      </c>
      <c r="L54" s="787" t="str">
        <f>+'1.Informe Seguimiento POA 2022'!J58</f>
        <v>Dirección de Planeación</v>
      </c>
      <c r="M54" s="698">
        <f>+'1.Informe Seguimiento POA 2022'!K58</f>
        <v>3</v>
      </c>
      <c r="N54" s="698">
        <f>+'1.Informe Seguimiento POA 2022'!L58</f>
        <v>3</v>
      </c>
      <c r="O54" s="698">
        <f>+'1.Informe Seguimiento POA 2022'!M58</f>
        <v>3</v>
      </c>
      <c r="P54" s="698">
        <f>+'1.Informe Seguimiento POA 2022'!N58</f>
        <v>3</v>
      </c>
      <c r="Q54" s="901">
        <v>1</v>
      </c>
      <c r="R54" s="901">
        <v>1</v>
      </c>
      <c r="S54" s="901">
        <v>0</v>
      </c>
      <c r="T54" s="901">
        <v>0</v>
      </c>
      <c r="U54" s="901">
        <v>1</v>
      </c>
      <c r="V54" s="901">
        <v>1</v>
      </c>
      <c r="W54" s="901">
        <v>1</v>
      </c>
      <c r="X54" s="901">
        <v>1</v>
      </c>
      <c r="Y54" s="901">
        <v>3</v>
      </c>
      <c r="Z54" s="901">
        <v>3</v>
      </c>
      <c r="AA54" s="703">
        <v>1</v>
      </c>
      <c r="AB54" s="698">
        <f>+'1.Informe Seguimiento POA 2022'!O58</f>
        <v>1</v>
      </c>
      <c r="AC54" s="698">
        <f>+'1.Informe Seguimiento POA 2022'!P58</f>
        <v>1</v>
      </c>
      <c r="AD54" s="698">
        <f>+'1.Informe Seguimiento POA 2022'!Q58</f>
        <v>1</v>
      </c>
      <c r="AE54" s="698">
        <f>+'1.Informe Seguimiento POA 2022'!R58</f>
        <v>0</v>
      </c>
      <c r="AF54" s="698">
        <f>+'1.Informe Seguimiento POA 2022'!S58</f>
        <v>1</v>
      </c>
      <c r="AG54" s="698">
        <f>+'1.Informe Seguimiento POA 2022'!T58</f>
        <v>0</v>
      </c>
      <c r="AH54" s="698">
        <f>+'1.Informe Seguimiento POA 2022'!U58</f>
        <v>0</v>
      </c>
      <c r="AI54" s="698">
        <f>+'1.Informe Seguimiento POA 2022'!V58</f>
        <v>0</v>
      </c>
      <c r="AJ54" s="698">
        <f>+'1.Informe Seguimiento POA 2022'!W58</f>
        <v>3</v>
      </c>
      <c r="AK54" s="698">
        <f>+'1.Informe Seguimiento POA 2022'!X58</f>
        <v>1</v>
      </c>
      <c r="AL54" s="703">
        <f>+'1.Informe Seguimiento POA 2022'!Y58</f>
        <v>0.33333333333333331</v>
      </c>
      <c r="AM54" s="700"/>
      <c r="AN54" s="700"/>
      <c r="AO54" s="700"/>
      <c r="AP54" s="700"/>
      <c r="AQ54" s="700"/>
      <c r="AR54" s="700"/>
      <c r="AS54" s="700"/>
      <c r="AT54" s="700"/>
      <c r="AU54" s="699">
        <f t="shared" si="23"/>
        <v>3</v>
      </c>
      <c r="AV54" s="699"/>
      <c r="AW54" s="700"/>
      <c r="AX54" s="700"/>
      <c r="AY54" s="700"/>
      <c r="AZ54" s="700"/>
      <c r="BA54" s="700"/>
      <c r="BB54" s="700"/>
      <c r="BC54" s="700"/>
      <c r="BD54" s="700"/>
      <c r="BE54" s="700"/>
      <c r="BF54" s="699">
        <f t="shared" si="24"/>
        <v>3</v>
      </c>
      <c r="BG54" s="699"/>
      <c r="BH54" s="700"/>
      <c r="BI54" s="800">
        <f t="shared" si="18"/>
        <v>3</v>
      </c>
      <c r="BJ54" s="800">
        <f t="shared" si="19"/>
        <v>1</v>
      </c>
      <c r="BK54" s="700">
        <f t="shared" si="11"/>
        <v>0.33333333333333331</v>
      </c>
      <c r="BL54" s="700">
        <f t="shared" si="6"/>
        <v>8.3333333333333329E-2</v>
      </c>
      <c r="BM54" s="780">
        <f t="shared" si="20"/>
        <v>8.3333333333333332E-3</v>
      </c>
      <c r="BN54" s="1236"/>
      <c r="BO54" s="1187"/>
      <c r="BP54" s="833"/>
      <c r="BQ54" s="833"/>
    </row>
    <row r="55" spans="2:69" ht="83.4" customHeight="1">
      <c r="B55" s="1189"/>
      <c r="C55" s="1233"/>
      <c r="D55" s="1239"/>
      <c r="E55" s="1239"/>
      <c r="F55" s="895" t="s">
        <v>369</v>
      </c>
      <c r="G55" s="895" t="s">
        <v>1044</v>
      </c>
      <c r="H55" s="51" t="str">
        <f>+'1.Informe Seguimiento POA 2022'!D59</f>
        <v>4.2.5 Incrementar al 90% la percepción de los usuarios que califican como excelente y bueno el servicio en la Personería de Bogotá</v>
      </c>
      <c r="I55" s="786">
        <f>+'1.Informe Seguimiento POA 2022'!E59</f>
        <v>0.2</v>
      </c>
      <c r="J55" s="782">
        <f>+'1.Informe Seguimiento POA 2022'!F59</f>
        <v>0.9</v>
      </c>
      <c r="K55" s="787" t="str">
        <f>+'1.Informe Seguimiento POA 2022'!I59</f>
        <v>Servicio al Usuario</v>
      </c>
      <c r="L55" s="787" t="str">
        <f>+'1.Informe Seguimiento POA 2022'!J59</f>
        <v>Secretaría General</v>
      </c>
      <c r="M55" s="793">
        <f>+'1.Informe Seguimiento POA 2022'!K59</f>
        <v>0.9</v>
      </c>
      <c r="N55" s="793">
        <f>+'1.Informe Seguimiento POA 2022'!L59</f>
        <v>0.9</v>
      </c>
      <c r="O55" s="793">
        <f>+'1.Informe Seguimiento POA 2022'!M59</f>
        <v>0.9</v>
      </c>
      <c r="P55" s="793">
        <f>+'1.Informe Seguimiento POA 2022'!N59</f>
        <v>0.9</v>
      </c>
      <c r="Q55" s="1098">
        <v>0.9</v>
      </c>
      <c r="R55" s="1098">
        <v>0.79800000000000004</v>
      </c>
      <c r="S55" s="1098">
        <v>0</v>
      </c>
      <c r="T55" s="1098">
        <v>0</v>
      </c>
      <c r="U55" s="1098">
        <v>0.9</v>
      </c>
      <c r="V55" s="1098">
        <v>0.93400000000000005</v>
      </c>
      <c r="W55" s="1098">
        <v>0</v>
      </c>
      <c r="X55" s="1098">
        <v>0</v>
      </c>
      <c r="Y55" s="703">
        <v>0.9</v>
      </c>
      <c r="Z55" s="703">
        <v>0.93400000000000005</v>
      </c>
      <c r="AA55" s="703">
        <v>1.0377777777777779</v>
      </c>
      <c r="AB55" s="793">
        <f>+'1.Informe Seguimiento POA 2022'!O59</f>
        <v>0.9</v>
      </c>
      <c r="AC55" s="793">
        <f>+'1.Informe Seguimiento POA 2022'!P59</f>
        <v>0.95899999999999996</v>
      </c>
      <c r="AD55" s="793">
        <f>+'1.Informe Seguimiento POA 2022'!Q59</f>
        <v>0</v>
      </c>
      <c r="AE55" s="793">
        <f>+'1.Informe Seguimiento POA 2022'!R59</f>
        <v>0</v>
      </c>
      <c r="AF55" s="793">
        <f>+'1.Informe Seguimiento POA 2022'!S59</f>
        <v>0.9</v>
      </c>
      <c r="AG55" s="793">
        <f>+'1.Informe Seguimiento POA 2022'!T59</f>
        <v>0</v>
      </c>
      <c r="AH55" s="793">
        <f>+'1.Informe Seguimiento POA 2022'!U59</f>
        <v>0</v>
      </c>
      <c r="AI55" s="793">
        <f>+'1.Informe Seguimiento POA 2022'!V59</f>
        <v>0</v>
      </c>
      <c r="AJ55" s="703">
        <f>+'1.Informe Seguimiento POA 2022'!W59</f>
        <v>0.9</v>
      </c>
      <c r="AK55" s="703">
        <f>+'1.Informe Seguimiento POA 2022'!X59</f>
        <v>0.95899999999999996</v>
      </c>
      <c r="AL55" s="703">
        <f>+'1.Informe Seguimiento POA 2022'!Y59</f>
        <v>0.2663888888888889</v>
      </c>
      <c r="AM55" s="797"/>
      <c r="AN55" s="797"/>
      <c r="AO55" s="797"/>
      <c r="AP55" s="797"/>
      <c r="AQ55" s="797"/>
      <c r="AR55" s="797"/>
      <c r="AS55" s="797"/>
      <c r="AT55" s="797"/>
      <c r="AU55" s="782">
        <f t="shared" ref="AU55:AU63" si="25">+O55</f>
        <v>0.9</v>
      </c>
      <c r="AV55" s="782"/>
      <c r="AW55" s="797"/>
      <c r="AX55" s="797"/>
      <c r="AY55" s="797"/>
      <c r="AZ55" s="797"/>
      <c r="BA55" s="797"/>
      <c r="BB55" s="797"/>
      <c r="BC55" s="797"/>
      <c r="BD55" s="797"/>
      <c r="BE55" s="797"/>
      <c r="BF55" s="782">
        <f t="shared" ref="BF55:BF63" si="26">+P55</f>
        <v>0.9</v>
      </c>
      <c r="BG55" s="782"/>
      <c r="BH55" s="797"/>
      <c r="BI55" s="939">
        <f>IFERROR(AVERAGE(AF55),0)</f>
        <v>0.9</v>
      </c>
      <c r="BJ55" s="939">
        <f>IFERROR(AVERAGE(AG55),0)</f>
        <v>0</v>
      </c>
      <c r="BK55" s="700">
        <f t="shared" si="11"/>
        <v>0</v>
      </c>
      <c r="BL55" s="700">
        <f>(IF(AND(BJ55&gt;0,$J55&gt;0),BJ55/$J55,0)/4)</f>
        <v>0</v>
      </c>
      <c r="BM55" s="701">
        <f t="shared" si="20"/>
        <v>0</v>
      </c>
      <c r="BN55" s="1236"/>
      <c r="BO55" s="1187"/>
      <c r="BP55" s="833"/>
      <c r="BQ55" s="833"/>
    </row>
    <row r="56" spans="2:69" ht="70.5" customHeight="1">
      <c r="B56" s="1189"/>
      <c r="C56" s="1234"/>
      <c r="D56" s="1240"/>
      <c r="E56" s="1240"/>
      <c r="F56" s="895" t="s">
        <v>379</v>
      </c>
      <c r="G56" s="895" t="s">
        <v>381</v>
      </c>
      <c r="H56" s="51" t="str">
        <f>+'1.Informe Seguimiento POA 2022'!D60</f>
        <v xml:space="preserve">4.2.6 Implementar 7 lineamientos en compromiso con la calidad para satisfacer las necesidades y expectativas de los (as) usuarios(as) y partes interesadas </v>
      </c>
      <c r="I56" s="786">
        <f>+'1.Informe Seguimiento POA 2022'!E60</f>
        <v>0.15</v>
      </c>
      <c r="J56" s="697">
        <f>+'1.Informe Seguimiento POA 2022'!F60</f>
        <v>7</v>
      </c>
      <c r="K56" s="787" t="str">
        <f>+'1.Informe Seguimiento POA 2022'!I60</f>
        <v>Servicio al Usuario</v>
      </c>
      <c r="L56" s="787" t="str">
        <f>+'1.Informe Seguimiento POA 2022'!J60</f>
        <v>Secretaría General</v>
      </c>
      <c r="M56" s="724">
        <f>+'1.Informe Seguimiento POA 2022'!K60</f>
        <v>2</v>
      </c>
      <c r="N56" s="724">
        <f>+'1.Informe Seguimiento POA 2022'!L60</f>
        <v>3</v>
      </c>
      <c r="O56" s="724">
        <f>+'1.Informe Seguimiento POA 2022'!M60</f>
        <v>1</v>
      </c>
      <c r="P56" s="724">
        <f>+'1.Informe Seguimiento POA 2022'!N60</f>
        <v>1</v>
      </c>
      <c r="Q56" s="901">
        <v>1</v>
      </c>
      <c r="R56" s="901">
        <v>1</v>
      </c>
      <c r="S56" s="901">
        <v>1</v>
      </c>
      <c r="T56" s="901">
        <v>1</v>
      </c>
      <c r="U56" s="901">
        <v>0</v>
      </c>
      <c r="V56" s="901">
        <v>0</v>
      </c>
      <c r="W56" s="901">
        <v>0</v>
      </c>
      <c r="X56" s="901">
        <v>0</v>
      </c>
      <c r="Y56" s="901">
        <v>2</v>
      </c>
      <c r="Z56" s="901">
        <v>2</v>
      </c>
      <c r="AA56" s="703">
        <v>1</v>
      </c>
      <c r="AB56" s="698">
        <f>+'1.Informe Seguimiento POA 2022'!O60</f>
        <v>1</v>
      </c>
      <c r="AC56" s="698">
        <f>+'1.Informe Seguimiento POA 2022'!P60</f>
        <v>1</v>
      </c>
      <c r="AD56" s="698">
        <f>+'1.Informe Seguimiento POA 2022'!Q60</f>
        <v>1</v>
      </c>
      <c r="AE56" s="698">
        <f>+'1.Informe Seguimiento POA 2022'!R60</f>
        <v>0</v>
      </c>
      <c r="AF56" s="698">
        <f>+'1.Informe Seguimiento POA 2022'!S60</f>
        <v>0</v>
      </c>
      <c r="AG56" s="698">
        <f>+'1.Informe Seguimiento POA 2022'!T60</f>
        <v>0</v>
      </c>
      <c r="AH56" s="698">
        <f>+'1.Informe Seguimiento POA 2022'!U60</f>
        <v>1</v>
      </c>
      <c r="AI56" s="698">
        <f>+'1.Informe Seguimiento POA 2022'!V60</f>
        <v>0</v>
      </c>
      <c r="AJ56" s="698">
        <f>+'1.Informe Seguimiento POA 2022'!W60</f>
        <v>3</v>
      </c>
      <c r="AK56" s="698">
        <f>+'1.Informe Seguimiento POA 2022'!X60</f>
        <v>1</v>
      </c>
      <c r="AL56" s="703">
        <f>+'1.Informe Seguimiento POA 2022'!Y60</f>
        <v>0.33333333333333331</v>
      </c>
      <c r="AM56" s="700"/>
      <c r="AN56" s="700"/>
      <c r="AO56" s="700"/>
      <c r="AP56" s="700"/>
      <c r="AQ56" s="700"/>
      <c r="AR56" s="700"/>
      <c r="AS56" s="700"/>
      <c r="AT56" s="700"/>
      <c r="AU56" s="699">
        <f t="shared" si="25"/>
        <v>1</v>
      </c>
      <c r="AV56" s="699"/>
      <c r="AW56" s="700"/>
      <c r="AX56" s="700"/>
      <c r="AY56" s="700"/>
      <c r="AZ56" s="700"/>
      <c r="BA56" s="700"/>
      <c r="BB56" s="700"/>
      <c r="BC56" s="700"/>
      <c r="BD56" s="700"/>
      <c r="BE56" s="700"/>
      <c r="BF56" s="699">
        <f t="shared" si="26"/>
        <v>1</v>
      </c>
      <c r="BG56" s="699"/>
      <c r="BH56" s="700"/>
      <c r="BI56" s="800">
        <f>+AB56+AD56+AF56+AH56</f>
        <v>3</v>
      </c>
      <c r="BJ56" s="800">
        <f>+AC56+AE56+AG56+AI56</f>
        <v>1</v>
      </c>
      <c r="BK56" s="700">
        <f t="shared" si="11"/>
        <v>0.33333333333333331</v>
      </c>
      <c r="BL56" s="700">
        <f t="shared" si="6"/>
        <v>0.14285714285714285</v>
      </c>
      <c r="BM56" s="722">
        <f t="shared" si="20"/>
        <v>2.1428571428571425E-2</v>
      </c>
      <c r="BN56" s="1237"/>
      <c r="BO56" s="1187"/>
      <c r="BP56" s="833"/>
      <c r="BQ56" s="833"/>
    </row>
    <row r="57" spans="2:69" ht="63.6" customHeight="1">
      <c r="B57" s="1189"/>
      <c r="C57" s="1250" t="str">
        <f>+'Matriz PEI 2021-2024'!C22</f>
        <v xml:space="preserve">4.3. Realizar el 100% de las actividades relacionadas con la Gestión del Talento Humano, que permita su fortalecimiento y el desarrollo de sus conocimientos, su competencia y bienestar. </v>
      </c>
      <c r="D57" s="1261">
        <f>+'Matriz PEI 2021-2024'!E22</f>
        <v>1</v>
      </c>
      <c r="E57" s="1261">
        <f>+'Matriz PEI 2021-2024'!D22</f>
        <v>0.14000000000000001</v>
      </c>
      <c r="F57" s="735" t="str">
        <f>+'1.Informe Seguimiento POA 2022'!H61</f>
        <v>Porcentaje de novedades y situaciones administrativas gestionadas</v>
      </c>
      <c r="G57" s="735" t="str">
        <f>+'08-G. DEL TALENTO HUMANO'!J16</f>
        <v>N° de novedades y situaciones administrativas gestionadas /  N° requerimientos de novedades y situaciones administrativas presentados * 100</v>
      </c>
      <c r="H57" s="705" t="str">
        <f>+'1.Informe Seguimiento POA 2022'!D61</f>
        <v xml:space="preserve">4.3.1 Gestionar el 100% de las novedades y situaciones administrativas de los servidores públicos de la Entidad.
</v>
      </c>
      <c r="I57" s="152">
        <f>+'1.Informe Seguimiento POA 2022'!E61</f>
        <v>0.1</v>
      </c>
      <c r="J57" s="788">
        <f>+'1.Informe Seguimiento POA 2022'!F61</f>
        <v>1</v>
      </c>
      <c r="K57" s="707" t="str">
        <f>+'1.Informe Seguimiento POA 2022'!I61</f>
        <v>Gestión del Talento Humano</v>
      </c>
      <c r="L57" s="708" t="str">
        <f>+'1.Informe Seguimiento POA 2022'!J61</f>
        <v xml:space="preserve">
Dirección de Talento Humano
</v>
      </c>
      <c r="M57" s="725">
        <f>+'1.Informe Seguimiento POA 2022'!K61</f>
        <v>1</v>
      </c>
      <c r="N57" s="725">
        <f>+'1.Informe Seguimiento POA 2022'!L61</f>
        <v>1</v>
      </c>
      <c r="O57" s="725">
        <f>+'1.Informe Seguimiento POA 2022'!M61</f>
        <v>1</v>
      </c>
      <c r="P57" s="725">
        <f>+'1.Informe Seguimiento POA 2022'!N61</f>
        <v>1</v>
      </c>
      <c r="Q57" s="726">
        <v>1</v>
      </c>
      <c r="R57" s="726">
        <v>1</v>
      </c>
      <c r="S57" s="727">
        <v>1</v>
      </c>
      <c r="T57" s="727">
        <v>1</v>
      </c>
      <c r="U57" s="727">
        <v>1</v>
      </c>
      <c r="V57" s="727">
        <v>1</v>
      </c>
      <c r="W57" s="727">
        <v>1</v>
      </c>
      <c r="X57" s="727">
        <v>1</v>
      </c>
      <c r="Y57" s="719">
        <v>1</v>
      </c>
      <c r="Z57" s="720">
        <v>1</v>
      </c>
      <c r="AA57" s="719">
        <v>1</v>
      </c>
      <c r="AB57" s="726">
        <f>+'1.Informe Seguimiento POA 2022'!O61</f>
        <v>1</v>
      </c>
      <c r="AC57" s="726">
        <f>+'1.Informe Seguimiento POA 2022'!P61</f>
        <v>1</v>
      </c>
      <c r="AD57" s="727">
        <f>+'1.Informe Seguimiento POA 2022'!Q61</f>
        <v>1</v>
      </c>
      <c r="AE57" s="727">
        <f>+'1.Informe Seguimiento POA 2022'!R61</f>
        <v>0</v>
      </c>
      <c r="AF57" s="727">
        <f>+'1.Informe Seguimiento POA 2022'!S61</f>
        <v>1</v>
      </c>
      <c r="AG57" s="727">
        <f>+'1.Informe Seguimiento POA 2022'!T61</f>
        <v>0</v>
      </c>
      <c r="AH57" s="727">
        <f>+'1.Informe Seguimiento POA 2022'!U61</f>
        <v>1</v>
      </c>
      <c r="AI57" s="727">
        <f>+'1.Informe Seguimiento POA 2022'!V61</f>
        <v>0</v>
      </c>
      <c r="AJ57" s="719">
        <f>+'1.Informe Seguimiento POA 2022'!W61</f>
        <v>1</v>
      </c>
      <c r="AK57" s="720">
        <f>+'1.Informe Seguimiento POA 2022'!X61</f>
        <v>0.25</v>
      </c>
      <c r="AL57" s="719">
        <f>+'1.Informe Seguimiento POA 2022'!Y61</f>
        <v>6.25E-2</v>
      </c>
      <c r="AM57" s="719"/>
      <c r="AN57" s="719"/>
      <c r="AO57" s="719"/>
      <c r="AP57" s="719"/>
      <c r="AQ57" s="719"/>
      <c r="AR57" s="719"/>
      <c r="AS57" s="719"/>
      <c r="AT57" s="719"/>
      <c r="AU57" s="719">
        <f t="shared" si="25"/>
        <v>1</v>
      </c>
      <c r="AV57" s="719"/>
      <c r="AW57" s="719"/>
      <c r="AX57" s="719"/>
      <c r="AY57" s="719"/>
      <c r="AZ57" s="719"/>
      <c r="BA57" s="719"/>
      <c r="BB57" s="719"/>
      <c r="BC57" s="719"/>
      <c r="BD57" s="719"/>
      <c r="BE57" s="719"/>
      <c r="BF57" s="719">
        <f t="shared" si="26"/>
        <v>1</v>
      </c>
      <c r="BG57" s="719"/>
      <c r="BH57" s="719"/>
      <c r="BI57" s="728">
        <f>IFERROR(AVERAGE(AB57,AD57,AF57,AH57),0)</f>
        <v>1</v>
      </c>
      <c r="BJ57" s="728">
        <f>IFERROR(AVERAGE(AC57,AE57,AG57,AI57),0)</f>
        <v>0.25</v>
      </c>
      <c r="BK57" s="813">
        <f t="shared" si="11"/>
        <v>0.25</v>
      </c>
      <c r="BL57" s="728">
        <f>(IF(AND(BJ57&gt;0,$J57&gt;0),BJ57/$J57,0)/4)*0.5</f>
        <v>3.125E-2</v>
      </c>
      <c r="BM57" s="728">
        <f t="shared" si="20"/>
        <v>3.1250000000000002E-3</v>
      </c>
      <c r="BN57" s="1264">
        <f>SUM(BM57:BM64)</f>
        <v>6.1175947390203524E-2</v>
      </c>
      <c r="BO57" s="1187"/>
      <c r="BP57" s="824"/>
      <c r="BQ57" s="824"/>
    </row>
    <row r="58" spans="2:69" ht="88.5" customHeight="1">
      <c r="B58" s="1189"/>
      <c r="C58" s="1251"/>
      <c r="D58" s="1262"/>
      <c r="E58" s="1262"/>
      <c r="F58" s="735" t="str">
        <f>+'1.Informe Seguimiento POA 2022'!H62</f>
        <v xml:space="preserve">Novedades incluidas en la nómina  oportunamente  </v>
      </c>
      <c r="G58" s="735" t="str">
        <f>+'08-G. DEL TALENTO HUMANO'!J17</f>
        <v xml:space="preserve"> N° de Novedades incluidas en la Nomina oportunamente / N° de novedades radicadas en los plazos establecidos</v>
      </c>
      <c r="H58" s="705" t="str">
        <f>+'1.Informe Seguimiento POA 2022'!D62</f>
        <v xml:space="preserve">4.3.2 Incluir el 97,8% de las Novedades en la nómina oportunamente, para liquidación y pago </v>
      </c>
      <c r="I58" s="152">
        <f>+'1.Informe Seguimiento POA 2022'!E62</f>
        <v>0.1</v>
      </c>
      <c r="J58" s="788">
        <f>+'1.Informe Seguimiento POA 2022'!F62</f>
        <v>0.97799999999999998</v>
      </c>
      <c r="K58" s="707" t="str">
        <f>+'1.Informe Seguimiento POA 2022'!I62</f>
        <v>Gestión del Talento Humano</v>
      </c>
      <c r="L58" s="708" t="str">
        <f>+'1.Informe Seguimiento POA 2022'!J62</f>
        <v>Dependencia Líder: 
Dirección de Talento Humano
Dependencia Operativa:
Subdirección de Gestión del Talento Humano</v>
      </c>
      <c r="M58" s="725">
        <f>+'1.Informe Seguimiento POA 2022'!K62</f>
        <v>0.97</v>
      </c>
      <c r="N58" s="725">
        <f>+'1.Informe Seguimiento POA 2022'!L62</f>
        <v>0.98</v>
      </c>
      <c r="O58" s="725">
        <f>+'1.Informe Seguimiento POA 2022'!M62</f>
        <v>0.98</v>
      </c>
      <c r="P58" s="725">
        <f>+'1.Informe Seguimiento POA 2022'!N62</f>
        <v>0.98</v>
      </c>
      <c r="Q58" s="726">
        <v>0.97000000000000008</v>
      </c>
      <c r="R58" s="726">
        <v>0.99400000000000011</v>
      </c>
      <c r="S58" s="726">
        <v>0.97000000000000008</v>
      </c>
      <c r="T58" s="726">
        <v>0.97033333333333316</v>
      </c>
      <c r="U58" s="726">
        <v>0.97000000000000008</v>
      </c>
      <c r="V58" s="726">
        <v>0.96833333333333327</v>
      </c>
      <c r="W58" s="726">
        <v>0.97000000000000008</v>
      </c>
      <c r="X58" s="726">
        <v>0.97766666666666657</v>
      </c>
      <c r="Y58" s="719">
        <v>0.97000000000000008</v>
      </c>
      <c r="Z58" s="720">
        <v>0.97699999999999998</v>
      </c>
      <c r="AA58" s="719">
        <v>1.0072164948453608</v>
      </c>
      <c r="AB58" s="726">
        <f>+'1.Informe Seguimiento POA 2022'!O62</f>
        <v>0.98</v>
      </c>
      <c r="AC58" s="726">
        <f>+'1.Informe Seguimiento POA 2022'!P62</f>
        <v>0.98766666666666669</v>
      </c>
      <c r="AD58" s="726">
        <f>+'1.Informe Seguimiento POA 2022'!Q62</f>
        <v>0.98</v>
      </c>
      <c r="AE58" s="726">
        <f>+'1.Informe Seguimiento POA 2022'!R62</f>
        <v>0</v>
      </c>
      <c r="AF58" s="726">
        <f>+'1.Informe Seguimiento POA 2022'!S62</f>
        <v>0.98</v>
      </c>
      <c r="AG58" s="726">
        <f>+'1.Informe Seguimiento POA 2022'!T62</f>
        <v>0</v>
      </c>
      <c r="AH58" s="726">
        <f>+'1.Informe Seguimiento POA 2022'!U62</f>
        <v>0.98</v>
      </c>
      <c r="AI58" s="726">
        <f>+'1.Informe Seguimiento POA 2022'!V62</f>
        <v>0</v>
      </c>
      <c r="AJ58" s="719">
        <f>+'1.Informe Seguimiento POA 2022'!W62</f>
        <v>0.98000000000000032</v>
      </c>
      <c r="AK58" s="720">
        <f>+'1.Informe Seguimiento POA 2022'!X62</f>
        <v>0.246</v>
      </c>
      <c r="AL58" s="719">
        <f>+'1.Informe Seguimiento POA 2022'!Y62</f>
        <v>6.2755102040816302E-2</v>
      </c>
      <c r="AM58" s="719"/>
      <c r="AN58" s="719"/>
      <c r="AO58" s="719"/>
      <c r="AP58" s="719"/>
      <c r="AQ58" s="719"/>
      <c r="AR58" s="719"/>
      <c r="AS58" s="719"/>
      <c r="AT58" s="719"/>
      <c r="AU58" s="719">
        <f t="shared" si="25"/>
        <v>0.98</v>
      </c>
      <c r="AV58" s="719"/>
      <c r="AW58" s="719"/>
      <c r="AX58" s="719"/>
      <c r="AY58" s="719"/>
      <c r="AZ58" s="719"/>
      <c r="BA58" s="719"/>
      <c r="BB58" s="719"/>
      <c r="BC58" s="719"/>
      <c r="BD58" s="719"/>
      <c r="BE58" s="719"/>
      <c r="BF58" s="719">
        <f t="shared" si="26"/>
        <v>0.98</v>
      </c>
      <c r="BG58" s="719"/>
      <c r="BH58" s="719"/>
      <c r="BI58" s="728">
        <f>IFERROR(AVERAGE(AB58,AD58,AF58,AH58),0)</f>
        <v>0.98</v>
      </c>
      <c r="BJ58" s="728">
        <f>IFERROR(AVERAGE(AC58,AE58,AG58,AI58),0)</f>
        <v>0.24691666666666667</v>
      </c>
      <c r="BK58" s="813">
        <f t="shared" si="11"/>
        <v>0.2519557823129252</v>
      </c>
      <c r="BL58" s="728">
        <f>(IF(AND(BJ58&gt;0,$J58&gt;0),BJ58/$J58,0)/4)*0.5</f>
        <v>3.1558878663940013E-2</v>
      </c>
      <c r="BM58" s="728">
        <f t="shared" si="20"/>
        <v>3.1558878663940013E-3</v>
      </c>
      <c r="BN58" s="1265"/>
      <c r="BO58" s="1187"/>
      <c r="BP58" s="825"/>
      <c r="BQ58" s="825"/>
    </row>
    <row r="59" spans="2:69" ht="157.19999999999999" customHeight="1">
      <c r="B59" s="1189"/>
      <c r="C59" s="1251"/>
      <c r="D59" s="1262"/>
      <c r="E59" s="1262"/>
      <c r="F59" s="735" t="str">
        <f>+'1.Informe Seguimiento POA 2022'!H63</f>
        <v>Porcentaje de Usuarios internos satisfechos con las solicitudes de los servicios atendidas de la SGTH (Certificaciones laborales, bonos pensionales y autorizaciones de retiro de cesantías)</v>
      </c>
      <c r="G59" s="735" t="str">
        <f>+'08-G. DEL TALENTO HUMANO'!J18</f>
        <v>N° de usuarios satisfechos con las solicitudes de servicios atendidas por la SGTH (Certificaciones laborales, bonos pensionales y autorizaciones de retiro de cesantías. / N° de usuarios encuestados *100</v>
      </c>
      <c r="H59" s="705" t="str">
        <f>+'1.Informe Seguimiento POA 2022'!D63</f>
        <v xml:space="preserve">4.3.3 Lograr el 94,5 % de usuarios internos  satisfechos con las solicitudes de servicios atendidas de la SGTH (Certificaciones laborales, bonos pensionales y autorizaciones de retiro de cesantías). </v>
      </c>
      <c r="I59" s="152">
        <f>+'1.Informe Seguimiento POA 2022'!E63</f>
        <v>0.1</v>
      </c>
      <c r="J59" s="788">
        <f>+'1.Informe Seguimiento POA 2022'!F63</f>
        <v>0.94499999999999995</v>
      </c>
      <c r="K59" s="707" t="str">
        <f>+'1.Informe Seguimiento POA 2022'!I63</f>
        <v>Gestión del Talento Humano</v>
      </c>
      <c r="L59" s="708" t="str">
        <f>+'1.Informe Seguimiento POA 2022'!J63</f>
        <v>Dependencia Líder: 
Dirección de Talento Humano
Dependencia Operativa:
Subdirección de Gestión del Talento Humano</v>
      </c>
      <c r="M59" s="725">
        <f>+'1.Informe Seguimiento POA 2022'!K63</f>
        <v>0.9</v>
      </c>
      <c r="N59" s="725">
        <f>+'1.Informe Seguimiento POA 2022'!L63</f>
        <v>0.96</v>
      </c>
      <c r="O59" s="725">
        <f>+'1.Informe Seguimiento POA 2022'!M63</f>
        <v>0.96</v>
      </c>
      <c r="P59" s="725">
        <f>+'1.Informe Seguimiento POA 2022'!N63</f>
        <v>0.96</v>
      </c>
      <c r="Q59" s="726">
        <v>0</v>
      </c>
      <c r="R59" s="726">
        <v>0</v>
      </c>
      <c r="S59" s="727">
        <v>0.9</v>
      </c>
      <c r="T59" s="727">
        <v>0.94799999999999995</v>
      </c>
      <c r="U59" s="727">
        <v>0.9</v>
      </c>
      <c r="V59" s="727">
        <v>0.97</v>
      </c>
      <c r="W59" s="727">
        <v>0.9</v>
      </c>
      <c r="X59" s="727">
        <v>0.94699999999999995</v>
      </c>
      <c r="Y59" s="719">
        <v>0.90000000000000013</v>
      </c>
      <c r="Z59" s="720">
        <v>0.95499999999999996</v>
      </c>
      <c r="AA59" s="719">
        <v>1.0611111111111109</v>
      </c>
      <c r="AB59" s="726">
        <f>+'1.Informe Seguimiento POA 2022'!O63</f>
        <v>0.96</v>
      </c>
      <c r="AC59" s="726">
        <f>+'1.Informe Seguimiento POA 2022'!P63</f>
        <v>0.92900000000000005</v>
      </c>
      <c r="AD59" s="727">
        <f>+'1.Informe Seguimiento POA 2022'!Q63</f>
        <v>0.96</v>
      </c>
      <c r="AE59" s="727">
        <f>+'1.Informe Seguimiento POA 2022'!R63</f>
        <v>0</v>
      </c>
      <c r="AF59" s="727">
        <f>+'1.Informe Seguimiento POA 2022'!S63</f>
        <v>0.96</v>
      </c>
      <c r="AG59" s="727">
        <f>+'1.Informe Seguimiento POA 2022'!T63</f>
        <v>0</v>
      </c>
      <c r="AH59" s="727">
        <f>+'1.Informe Seguimiento POA 2022'!U63</f>
        <v>0.96</v>
      </c>
      <c r="AI59" s="727">
        <f>+'1.Informe Seguimiento POA 2022'!V63</f>
        <v>0</v>
      </c>
      <c r="AJ59" s="719">
        <f>+'1.Informe Seguimiento POA 2022'!W63</f>
        <v>0.96000000000000008</v>
      </c>
      <c r="AK59" s="720">
        <f>+'1.Informe Seguimiento POA 2022'!X63</f>
        <v>0</v>
      </c>
      <c r="AL59" s="719">
        <f>+'1.Informe Seguimiento POA 2022'!Y63</f>
        <v>0</v>
      </c>
      <c r="AM59" s="719"/>
      <c r="AN59" s="719"/>
      <c r="AO59" s="719"/>
      <c r="AP59" s="719"/>
      <c r="AQ59" s="719"/>
      <c r="AR59" s="719"/>
      <c r="AS59" s="719"/>
      <c r="AT59" s="719"/>
      <c r="AU59" s="719">
        <f t="shared" si="25"/>
        <v>0.96</v>
      </c>
      <c r="AV59" s="719"/>
      <c r="AW59" s="719"/>
      <c r="AX59" s="719"/>
      <c r="AY59" s="719"/>
      <c r="AZ59" s="719"/>
      <c r="BA59" s="719"/>
      <c r="BB59" s="719"/>
      <c r="BC59" s="719"/>
      <c r="BD59" s="719"/>
      <c r="BE59" s="719"/>
      <c r="BF59" s="719">
        <f t="shared" si="26"/>
        <v>0.96</v>
      </c>
      <c r="BG59" s="719"/>
      <c r="BH59" s="719"/>
      <c r="BI59" s="728">
        <f>IFERROR(AVERAGE(AD59,AF59,AH59),0)</f>
        <v>0.96</v>
      </c>
      <c r="BJ59" s="728">
        <f>IFERROR(AVERAGE(AE59,AG59,AI59),0)</f>
        <v>0</v>
      </c>
      <c r="BK59" s="813">
        <f t="shared" si="11"/>
        <v>0</v>
      </c>
      <c r="BL59" s="728">
        <f>(IF(AND(BJ59&gt;0,$J59&gt;0),BJ59/$J59,0)/4)*0.5</f>
        <v>0</v>
      </c>
      <c r="BM59" s="728">
        <f t="shared" si="20"/>
        <v>0</v>
      </c>
      <c r="BN59" s="1265"/>
      <c r="BO59" s="1187"/>
      <c r="BP59" s="825"/>
      <c r="BQ59" s="825"/>
    </row>
    <row r="60" spans="2:69" ht="88.2" customHeight="1">
      <c r="B60" s="1189"/>
      <c r="C60" s="1251"/>
      <c r="D60" s="1262"/>
      <c r="E60" s="1262"/>
      <c r="F60" s="1250" t="s">
        <v>1027</v>
      </c>
      <c r="G60" s="1250" t="s">
        <v>1028</v>
      </c>
      <c r="H60" s="705" t="str">
        <f>+'1.Informe Seguimiento POA 2022'!D64</f>
        <v xml:space="preserve">4.3.4 Formular e implementar el 100% del Plan Institucional de Capacitación de la vigencia.
</v>
      </c>
      <c r="I60" s="152">
        <f>+'1.Informe Seguimiento POA 2022'!E64</f>
        <v>0.15</v>
      </c>
      <c r="J60" s="788">
        <f>+'1.Informe Seguimiento POA 2022'!F64</f>
        <v>1</v>
      </c>
      <c r="K60" s="707" t="str">
        <f>+'1.Informe Seguimiento POA 2022'!I64</f>
        <v>Gestión del Talento Humano</v>
      </c>
      <c r="L60" s="708" t="str">
        <f>+'1.Informe Seguimiento POA 2022'!J64</f>
        <v>Dependencia Líder: 
Dirección de Talento Humano
Dependencia Operativa:
Subdirección de Desarrollo del Talento Humano</v>
      </c>
      <c r="M60" s="725">
        <f>+'1.Informe Seguimiento POA 2022'!K64</f>
        <v>1</v>
      </c>
      <c r="N60" s="725">
        <f>+'1.Informe Seguimiento POA 2022'!L64</f>
        <v>1</v>
      </c>
      <c r="O60" s="725">
        <f>+'1.Informe Seguimiento POA 2022'!M64</f>
        <v>1</v>
      </c>
      <c r="P60" s="725">
        <f>+'1.Informe Seguimiento POA 2022'!N64</f>
        <v>1</v>
      </c>
      <c r="Q60" s="794">
        <v>0.24100000000000002</v>
      </c>
      <c r="R60" s="794">
        <v>0.24100000000000002</v>
      </c>
      <c r="S60" s="794">
        <v>0.27500000000000002</v>
      </c>
      <c r="T60" s="794">
        <v>0.2611</v>
      </c>
      <c r="U60" s="794">
        <v>0.16500000000000001</v>
      </c>
      <c r="V60" s="794">
        <v>0.16469999999999999</v>
      </c>
      <c r="W60" s="794">
        <v>0.31900000000000001</v>
      </c>
      <c r="X60" s="794">
        <v>0.41600000000000004</v>
      </c>
      <c r="Y60" s="719">
        <v>1</v>
      </c>
      <c r="Z60" s="720">
        <v>1.0828</v>
      </c>
      <c r="AA60" s="719">
        <v>1.0828</v>
      </c>
      <c r="AB60" s="794">
        <f>+'1.Informe Seguimiento POA 2022'!O64</f>
        <v>0.3</v>
      </c>
      <c r="AC60" s="794">
        <f>+'1.Informe Seguimiento POA 2022'!P64</f>
        <v>0.3</v>
      </c>
      <c r="AD60" s="794">
        <f>+'1.Informe Seguimiento POA 2022'!Q64</f>
        <v>0.15000000000000002</v>
      </c>
      <c r="AE60" s="794">
        <f>+'1.Informe Seguimiento POA 2022'!R64</f>
        <v>0</v>
      </c>
      <c r="AF60" s="794">
        <f>+'1.Informe Seguimiento POA 2022'!S64</f>
        <v>0.2</v>
      </c>
      <c r="AG60" s="794">
        <f>+'1.Informe Seguimiento POA 2022'!T64</f>
        <v>0</v>
      </c>
      <c r="AH60" s="794">
        <f>+'1.Informe Seguimiento POA 2022'!U64</f>
        <v>0.35000000000000003</v>
      </c>
      <c r="AI60" s="794">
        <f>+'1.Informe Seguimiento POA 2022'!V64</f>
        <v>0</v>
      </c>
      <c r="AJ60" s="719">
        <f>+'1.Informe Seguimiento POA 2022'!W64</f>
        <v>1</v>
      </c>
      <c r="AK60" s="720">
        <f>+'1.Informe Seguimiento POA 2022'!X64</f>
        <v>0.3</v>
      </c>
      <c r="AL60" s="719">
        <f>+'1.Informe Seguimiento POA 2022'!Y64</f>
        <v>0.3</v>
      </c>
      <c r="AM60" s="719"/>
      <c r="AN60" s="719"/>
      <c r="AO60" s="719"/>
      <c r="AP60" s="719"/>
      <c r="AQ60" s="719"/>
      <c r="AR60" s="719"/>
      <c r="AS60" s="719"/>
      <c r="AT60" s="719"/>
      <c r="AU60" s="719">
        <f t="shared" si="25"/>
        <v>1</v>
      </c>
      <c r="AV60" s="719"/>
      <c r="AW60" s="719"/>
      <c r="AX60" s="719"/>
      <c r="AY60" s="719"/>
      <c r="AZ60" s="719"/>
      <c r="BA60" s="719"/>
      <c r="BB60" s="719"/>
      <c r="BC60" s="719"/>
      <c r="BD60" s="719"/>
      <c r="BE60" s="719"/>
      <c r="BF60" s="719">
        <f t="shared" si="26"/>
        <v>1</v>
      </c>
      <c r="BG60" s="719"/>
      <c r="BH60" s="719"/>
      <c r="BI60" s="788">
        <f t="shared" ref="BI60:BJ64" si="27">+AB60+AD60+AF60+AH60</f>
        <v>1</v>
      </c>
      <c r="BJ60" s="788">
        <f t="shared" si="27"/>
        <v>0.3</v>
      </c>
      <c r="BK60" s="813">
        <f t="shared" si="11"/>
        <v>0.3</v>
      </c>
      <c r="BL60" s="728">
        <f>(IF(AND(AK60&gt;0,$J60&gt;0),AK60/$J60,0)/4)</f>
        <v>7.4999999999999997E-2</v>
      </c>
      <c r="BM60" s="729">
        <f t="shared" si="20"/>
        <v>1.125E-2</v>
      </c>
      <c r="BN60" s="1265"/>
      <c r="BO60" s="1187"/>
      <c r="BP60" s="825"/>
      <c r="BQ60" s="825"/>
    </row>
    <row r="61" spans="2:69" ht="88.2" customHeight="1">
      <c r="B61" s="1189"/>
      <c r="C61" s="1251"/>
      <c r="D61" s="1262"/>
      <c r="E61" s="1262"/>
      <c r="F61" s="1251"/>
      <c r="G61" s="1251"/>
      <c r="H61" s="705" t="str">
        <f>+'1.Informe Seguimiento POA 2022'!D65</f>
        <v>4.3.5 Formular e implementar el 100% del Plan Institucional de Bienestar de la vigencia .</v>
      </c>
      <c r="I61" s="152">
        <f>+'1.Informe Seguimiento POA 2022'!E65</f>
        <v>0.15</v>
      </c>
      <c r="J61" s="788">
        <f>+'1.Informe Seguimiento POA 2022'!F65</f>
        <v>1</v>
      </c>
      <c r="K61" s="707" t="str">
        <f>+'1.Informe Seguimiento POA 2022'!I65</f>
        <v>Gestión del Talento Humano</v>
      </c>
      <c r="L61" s="708" t="str">
        <f>+'1.Informe Seguimiento POA 2022'!J65</f>
        <v>Dependencia Líder: 
Dirección de Talento Humano
Dependencia Operativa:
Subdirección de Desarrollo del Talento Humano</v>
      </c>
      <c r="M61" s="725">
        <f>+'1.Informe Seguimiento POA 2022'!K65</f>
        <v>1</v>
      </c>
      <c r="N61" s="725">
        <f>+'1.Informe Seguimiento POA 2022'!L65</f>
        <v>1</v>
      </c>
      <c r="O61" s="725">
        <f>+'1.Informe Seguimiento POA 2022'!M65</f>
        <v>1</v>
      </c>
      <c r="P61" s="725">
        <f>+'1.Informe Seguimiento POA 2022'!N65</f>
        <v>1</v>
      </c>
      <c r="Q61" s="726">
        <v>0.308</v>
      </c>
      <c r="R61" s="726">
        <v>0.308</v>
      </c>
      <c r="S61" s="726">
        <v>0.187</v>
      </c>
      <c r="T61" s="726">
        <v>0.2016</v>
      </c>
      <c r="U61" s="726">
        <v>0.19700000000000001</v>
      </c>
      <c r="V61" s="726">
        <v>0.30000000000000004</v>
      </c>
      <c r="W61" s="726">
        <v>0.308</v>
      </c>
      <c r="X61" s="726">
        <v>0.32900000000000001</v>
      </c>
      <c r="Y61" s="719">
        <v>1</v>
      </c>
      <c r="Z61" s="720">
        <v>1.1386000000000001</v>
      </c>
      <c r="AA61" s="719">
        <v>1.1386000000000001</v>
      </c>
      <c r="AB61" s="726">
        <f>+'1.Informe Seguimiento POA 2022'!O65</f>
        <v>0.25830000000000003</v>
      </c>
      <c r="AC61" s="726">
        <f>+'1.Informe Seguimiento POA 2022'!P65</f>
        <v>0.25830000000000003</v>
      </c>
      <c r="AD61" s="726">
        <f>+'1.Informe Seguimiento POA 2022'!Q65</f>
        <v>0.17499999999999999</v>
      </c>
      <c r="AE61" s="726">
        <f>+'1.Informe Seguimiento POA 2022'!R65</f>
        <v>0</v>
      </c>
      <c r="AF61" s="726">
        <f>+'1.Informe Seguimiento POA 2022'!S65</f>
        <v>0.22369999999999995</v>
      </c>
      <c r="AG61" s="726">
        <f>+'1.Informe Seguimiento POA 2022'!T65</f>
        <v>0</v>
      </c>
      <c r="AH61" s="726">
        <f>+'1.Informe Seguimiento POA 2022'!U65</f>
        <v>0.34299999999999997</v>
      </c>
      <c r="AI61" s="726">
        <f>+'1.Informe Seguimiento POA 2022'!V65</f>
        <v>0</v>
      </c>
      <c r="AJ61" s="719">
        <f>+'1.Informe Seguimiento POA 2022'!W65</f>
        <v>1</v>
      </c>
      <c r="AK61" s="720">
        <f>+'1.Informe Seguimiento POA 2022'!X65</f>
        <v>0.25830000000000003</v>
      </c>
      <c r="AL61" s="719">
        <f>+'1.Informe Seguimiento POA 2022'!Y65</f>
        <v>0.25830000000000003</v>
      </c>
      <c r="AM61" s="719"/>
      <c r="AN61" s="719"/>
      <c r="AO61" s="719"/>
      <c r="AP61" s="719"/>
      <c r="AQ61" s="719"/>
      <c r="AR61" s="719"/>
      <c r="AS61" s="719"/>
      <c r="AT61" s="719"/>
      <c r="AU61" s="719">
        <f t="shared" si="25"/>
        <v>1</v>
      </c>
      <c r="AV61" s="719"/>
      <c r="AW61" s="719"/>
      <c r="AX61" s="719"/>
      <c r="AY61" s="719"/>
      <c r="AZ61" s="719"/>
      <c r="BA61" s="719"/>
      <c r="BB61" s="719"/>
      <c r="BC61" s="719"/>
      <c r="BD61" s="719"/>
      <c r="BE61" s="719"/>
      <c r="BF61" s="719">
        <f t="shared" si="26"/>
        <v>1</v>
      </c>
      <c r="BG61" s="719"/>
      <c r="BH61" s="719"/>
      <c r="BI61" s="788">
        <f t="shared" si="27"/>
        <v>1</v>
      </c>
      <c r="BJ61" s="788">
        <f t="shared" si="27"/>
        <v>0.25830000000000003</v>
      </c>
      <c r="BK61" s="813">
        <f t="shared" si="11"/>
        <v>0.25830000000000003</v>
      </c>
      <c r="BL61" s="728">
        <f>(IF(AND(AK61&gt;0,$J61&gt;0),AK61/$J61,0)/4)</f>
        <v>6.4575000000000007E-2</v>
      </c>
      <c r="BM61" s="729">
        <f t="shared" si="20"/>
        <v>9.6862500000000004E-3</v>
      </c>
      <c r="BN61" s="1265"/>
      <c r="BO61" s="1187"/>
      <c r="BP61" s="825"/>
      <c r="BQ61" s="825"/>
    </row>
    <row r="62" spans="2:69" ht="88.2" customHeight="1">
      <c r="B62" s="1189"/>
      <c r="C62" s="1251"/>
      <c r="D62" s="1262"/>
      <c r="E62" s="1262"/>
      <c r="F62" s="1251"/>
      <c r="G62" s="1251"/>
      <c r="H62" s="705" t="str">
        <f>+'1.Informe Seguimiento POA 2022'!D66</f>
        <v>4.3.6 Formular e implementar el 100% del Plan Institucional de Incentivos de la vigencia.</v>
      </c>
      <c r="I62" s="152">
        <f>+'1.Informe Seguimiento POA 2022'!E66</f>
        <v>0.15</v>
      </c>
      <c r="J62" s="788">
        <f>+'1.Informe Seguimiento POA 2022'!F66</f>
        <v>1</v>
      </c>
      <c r="K62" s="707" t="str">
        <f>+'1.Informe Seguimiento POA 2022'!I66</f>
        <v>Gestión del Talento Humano</v>
      </c>
      <c r="L62" s="708" t="str">
        <f>+'1.Informe Seguimiento POA 2022'!J66</f>
        <v>Dependencia Líder: 
Dirección de Talento Humano
Dependencia Operativa:
Subdirección de Desarrollo del Talento Humano</v>
      </c>
      <c r="M62" s="725">
        <f>+'1.Informe Seguimiento POA 2022'!K66</f>
        <v>1</v>
      </c>
      <c r="N62" s="725">
        <f>+'1.Informe Seguimiento POA 2022'!L66</f>
        <v>1</v>
      </c>
      <c r="O62" s="725">
        <f>+'1.Informe Seguimiento POA 2022'!M66</f>
        <v>1</v>
      </c>
      <c r="P62" s="725">
        <f>+'1.Informe Seguimiento POA 2022'!N66</f>
        <v>1</v>
      </c>
      <c r="Q62" s="726">
        <v>0.26424999999999998</v>
      </c>
      <c r="R62" s="726">
        <v>0.248</v>
      </c>
      <c r="S62" s="726">
        <v>0.17525000000000002</v>
      </c>
      <c r="T62" s="726">
        <v>4.7800000000000002E-2</v>
      </c>
      <c r="U62" s="726">
        <v>0.1275</v>
      </c>
      <c r="V62" s="726">
        <v>0.22270000000000001</v>
      </c>
      <c r="W62" s="726">
        <v>0.433</v>
      </c>
      <c r="X62" s="726">
        <v>0.51300000000000001</v>
      </c>
      <c r="Y62" s="719">
        <v>1</v>
      </c>
      <c r="Z62" s="720">
        <v>1.0314999999999999</v>
      </c>
      <c r="AA62" s="719">
        <v>1.0314999999999999</v>
      </c>
      <c r="AB62" s="726">
        <f>+'1.Informe Seguimiento POA 2022'!O66</f>
        <v>0.25</v>
      </c>
      <c r="AC62" s="726">
        <f>+'1.Informe Seguimiento POA 2022'!P66</f>
        <v>0.25</v>
      </c>
      <c r="AD62" s="726">
        <f>+'1.Informe Seguimiento POA 2022'!Q66</f>
        <v>0.1</v>
      </c>
      <c r="AE62" s="726">
        <f>+'1.Informe Seguimiento POA 2022'!R66</f>
        <v>0</v>
      </c>
      <c r="AF62" s="726">
        <f>+'1.Informe Seguimiento POA 2022'!S66</f>
        <v>0.1</v>
      </c>
      <c r="AG62" s="726">
        <f>+'1.Informe Seguimiento POA 2022'!T66</f>
        <v>0</v>
      </c>
      <c r="AH62" s="726">
        <f>+'1.Informe Seguimiento POA 2022'!U66</f>
        <v>0.54999999999999993</v>
      </c>
      <c r="AI62" s="726">
        <f>+'1.Informe Seguimiento POA 2022'!V66</f>
        <v>0</v>
      </c>
      <c r="AJ62" s="719">
        <f>+'1.Informe Seguimiento POA 2022'!W66</f>
        <v>0.99999999999999989</v>
      </c>
      <c r="AK62" s="720">
        <f>+'1.Informe Seguimiento POA 2022'!X66</f>
        <v>0.25</v>
      </c>
      <c r="AL62" s="719">
        <f>+'1.Informe Seguimiento POA 2022'!Y66</f>
        <v>0.25</v>
      </c>
      <c r="AM62" s="719"/>
      <c r="AN62" s="719"/>
      <c r="AO62" s="719"/>
      <c r="AP62" s="719"/>
      <c r="AQ62" s="719"/>
      <c r="AR62" s="719"/>
      <c r="AS62" s="719"/>
      <c r="AT62" s="719"/>
      <c r="AU62" s="719">
        <f t="shared" si="25"/>
        <v>1</v>
      </c>
      <c r="AV62" s="719"/>
      <c r="AW62" s="719"/>
      <c r="AX62" s="719"/>
      <c r="AY62" s="719"/>
      <c r="AZ62" s="719"/>
      <c r="BA62" s="719"/>
      <c r="BB62" s="719"/>
      <c r="BC62" s="719"/>
      <c r="BD62" s="719"/>
      <c r="BE62" s="719"/>
      <c r="BF62" s="719">
        <f t="shared" si="26"/>
        <v>1</v>
      </c>
      <c r="BG62" s="719"/>
      <c r="BH62" s="719"/>
      <c r="BI62" s="788">
        <f t="shared" si="27"/>
        <v>0.99999999999999989</v>
      </c>
      <c r="BJ62" s="788">
        <f t="shared" si="27"/>
        <v>0.25</v>
      </c>
      <c r="BK62" s="813">
        <f t="shared" si="11"/>
        <v>0.25</v>
      </c>
      <c r="BL62" s="728">
        <f>(IF(AND(BJ62&gt;0,$J62&gt;0),BJ62/$J62,0)/4)</f>
        <v>6.25E-2</v>
      </c>
      <c r="BM62" s="729">
        <f t="shared" si="20"/>
        <v>9.3749999999999997E-3</v>
      </c>
      <c r="BN62" s="1265"/>
      <c r="BO62" s="1187"/>
      <c r="BP62" s="825"/>
      <c r="BQ62" s="825"/>
    </row>
    <row r="63" spans="2:69" ht="88.2" customHeight="1">
      <c r="B63" s="1189"/>
      <c r="C63" s="1251"/>
      <c r="D63" s="1262"/>
      <c r="E63" s="1262"/>
      <c r="F63" s="1283"/>
      <c r="G63" s="1283"/>
      <c r="H63" s="705" t="str">
        <f>+'1.Informe Seguimiento POA 2022'!D67</f>
        <v>4.3.7 Diseñar e implementar el 100 % del Plan Anual de Trabajo del Sistema de Gestión de Seguridad y Salud en el Trabajo SG-SST de la vigencia.</v>
      </c>
      <c r="I63" s="152">
        <f>+'1.Informe Seguimiento POA 2022'!E67</f>
        <v>0.15</v>
      </c>
      <c r="J63" s="788">
        <f>+'1.Informe Seguimiento POA 2022'!F67</f>
        <v>1</v>
      </c>
      <c r="K63" s="707" t="str">
        <f>+'1.Informe Seguimiento POA 2022'!I67</f>
        <v>Gestión del Talento Humano</v>
      </c>
      <c r="L63" s="708" t="str">
        <f>+'1.Informe Seguimiento POA 2022'!J67</f>
        <v>Dependencia Líder: 
Dirección de Talento Humano
Dependencia Operativa:
Subdirección de Desarrollo del Talento Humano</v>
      </c>
      <c r="M63" s="725">
        <f>+'1.Informe Seguimiento POA 2022'!K67</f>
        <v>1</v>
      </c>
      <c r="N63" s="725">
        <f>+'1.Informe Seguimiento POA 2022'!L67</f>
        <v>1</v>
      </c>
      <c r="O63" s="725">
        <f>+'1.Informe Seguimiento POA 2022'!M67</f>
        <v>1</v>
      </c>
      <c r="P63" s="725">
        <f>+'1.Informe Seguimiento POA 2022'!N67</f>
        <v>1</v>
      </c>
      <c r="Q63" s="726">
        <v>0.38924999999999998</v>
      </c>
      <c r="R63" s="726">
        <v>0.38400000000000001</v>
      </c>
      <c r="S63" s="726">
        <v>0.14124999999999999</v>
      </c>
      <c r="T63" s="726">
        <v>0.14529999999999998</v>
      </c>
      <c r="U63" s="726">
        <v>0.14424999999999999</v>
      </c>
      <c r="V63" s="726">
        <v>0.1368</v>
      </c>
      <c r="W63" s="726">
        <v>0.32525000000000004</v>
      </c>
      <c r="X63" s="726">
        <v>0.33325000000000005</v>
      </c>
      <c r="Y63" s="719">
        <v>1</v>
      </c>
      <c r="Z63" s="720">
        <v>0.99935000000000007</v>
      </c>
      <c r="AA63" s="719">
        <v>0.99935000000000007</v>
      </c>
      <c r="AB63" s="726">
        <f>+'1.Informe Seguimiento POA 2022'!O67</f>
        <v>0.40160000000000001</v>
      </c>
      <c r="AC63" s="726">
        <f>+'1.Informe Seguimiento POA 2022'!P67</f>
        <v>0.40160000000000001</v>
      </c>
      <c r="AD63" s="726">
        <f>+'1.Informe Seguimiento POA 2022'!Q67</f>
        <v>0.19600000000000001</v>
      </c>
      <c r="AE63" s="726">
        <f>+'1.Informe Seguimiento POA 2022'!R67</f>
        <v>0</v>
      </c>
      <c r="AF63" s="726">
        <f>+'1.Informe Seguimiento POA 2022'!S67</f>
        <v>0.1232</v>
      </c>
      <c r="AG63" s="726">
        <f>+'1.Informe Seguimiento POA 2022'!T67</f>
        <v>0</v>
      </c>
      <c r="AH63" s="726">
        <f>+'1.Informe Seguimiento POA 2022'!U67</f>
        <v>0.2792</v>
      </c>
      <c r="AI63" s="726">
        <f>+'1.Informe Seguimiento POA 2022'!V67</f>
        <v>0</v>
      </c>
      <c r="AJ63" s="719">
        <f>+'1.Informe Seguimiento POA 2022'!W67</f>
        <v>1</v>
      </c>
      <c r="AK63" s="720">
        <f>+'1.Informe Seguimiento POA 2022'!X67</f>
        <v>0.40160000000000001</v>
      </c>
      <c r="AL63" s="719">
        <f>+'1.Informe Seguimiento POA 2022'!Y67</f>
        <v>0.40160000000000001</v>
      </c>
      <c r="AM63" s="719"/>
      <c r="AN63" s="719"/>
      <c r="AO63" s="719"/>
      <c r="AP63" s="719"/>
      <c r="AQ63" s="719"/>
      <c r="AR63" s="719"/>
      <c r="AS63" s="719"/>
      <c r="AT63" s="719"/>
      <c r="AU63" s="719">
        <f t="shared" si="25"/>
        <v>1</v>
      </c>
      <c r="AV63" s="719"/>
      <c r="AW63" s="719"/>
      <c r="AX63" s="719"/>
      <c r="AY63" s="719"/>
      <c r="AZ63" s="719"/>
      <c r="BA63" s="719"/>
      <c r="BB63" s="719"/>
      <c r="BC63" s="719"/>
      <c r="BD63" s="719"/>
      <c r="BE63" s="719"/>
      <c r="BF63" s="719">
        <f t="shared" si="26"/>
        <v>1</v>
      </c>
      <c r="BG63" s="719"/>
      <c r="BH63" s="719"/>
      <c r="BI63" s="788">
        <f t="shared" si="27"/>
        <v>1</v>
      </c>
      <c r="BJ63" s="788">
        <f t="shared" si="27"/>
        <v>0.40160000000000001</v>
      </c>
      <c r="BK63" s="813">
        <f t="shared" si="11"/>
        <v>0.40160000000000001</v>
      </c>
      <c r="BL63" s="728">
        <f t="shared" ref="BL63" si="28">(IF(AND(BJ63&gt;0,$J63&gt;0),BJ63/$J63,0)/4)</f>
        <v>0.1004</v>
      </c>
      <c r="BM63" s="729">
        <f t="shared" si="20"/>
        <v>1.506E-2</v>
      </c>
      <c r="BN63" s="1265"/>
      <c r="BO63" s="1187"/>
      <c r="BP63" s="825"/>
      <c r="BQ63" s="825"/>
    </row>
    <row r="64" spans="2:69" ht="107.4" customHeight="1">
      <c r="B64" s="1189"/>
      <c r="C64" s="1252"/>
      <c r="D64" s="1263"/>
      <c r="E64" s="1263"/>
      <c r="F64" s="890" t="str">
        <f>+'1.Informe Seguimiento POA 2022'!H68</f>
        <v>Capacitaciones realizadas sobre los Sistemas de Gestión y Evaluación del Desempeño Laboral de la Personería de Bogotá, D.C.</v>
      </c>
      <c r="G64" s="890" t="str">
        <f>+'08-G. DEL TALENTO HUMANO'!J23</f>
        <v>Número de capacitacionese realizadas sobre los Sistemas de Gestión y Evaluación del Desempeño Laboral de la Personería de Bogotá, D.C.</v>
      </c>
      <c r="H64" s="705" t="str">
        <f>+'1.Informe Seguimiento POA 2022'!D68</f>
        <v>4.3.8 Realizar 21 capacitaciones sobre los Sistemas de Gestión y Evaluación del Desempeño Laboral de la Entidad.</v>
      </c>
      <c r="I64" s="152">
        <f>+'1.Informe Seguimiento POA 2022'!E68</f>
        <v>0.1</v>
      </c>
      <c r="J64" s="706">
        <f>+'1.Informe Seguimiento POA 2022'!F68</f>
        <v>21</v>
      </c>
      <c r="K64" s="707" t="str">
        <f>+'1.Informe Seguimiento POA 2022'!I68</f>
        <v>Gestión del Talento Humano</v>
      </c>
      <c r="L64" s="708" t="str">
        <f>+'1.Informe Seguimiento POA 2022'!J68</f>
        <v>Dirección de Talento Humano</v>
      </c>
      <c r="M64" s="730">
        <f>+'1.Informe Seguimiento POA 2022'!K68</f>
        <v>9</v>
      </c>
      <c r="N64" s="730">
        <f>+'1.Informe Seguimiento POA 2022'!L68</f>
        <v>4</v>
      </c>
      <c r="O64" s="730">
        <f>+'1.Informe Seguimiento POA 2022'!M68</f>
        <v>4</v>
      </c>
      <c r="P64" s="730">
        <f>+'1.Informe Seguimiento POA 2022'!N68</f>
        <v>4</v>
      </c>
      <c r="Q64" s="1100">
        <v>3</v>
      </c>
      <c r="R64" s="1100">
        <v>3</v>
      </c>
      <c r="S64" s="1100">
        <v>0</v>
      </c>
      <c r="T64" s="1100">
        <v>0</v>
      </c>
      <c r="U64" s="1100">
        <v>3</v>
      </c>
      <c r="V64" s="1100">
        <v>3</v>
      </c>
      <c r="W64" s="1100">
        <v>3</v>
      </c>
      <c r="X64" s="1100">
        <v>3</v>
      </c>
      <c r="Y64" s="710">
        <v>9</v>
      </c>
      <c r="Z64" s="710">
        <v>9</v>
      </c>
      <c r="AA64" s="711">
        <v>1</v>
      </c>
      <c r="AB64" s="730">
        <f>+'1.Informe Seguimiento POA 2022'!O68</f>
        <v>2</v>
      </c>
      <c r="AC64" s="730">
        <f>+'1.Informe Seguimiento POA 2022'!P68</f>
        <v>2</v>
      </c>
      <c r="AD64" s="730">
        <f>+'1.Informe Seguimiento POA 2022'!Q68</f>
        <v>1</v>
      </c>
      <c r="AE64" s="730">
        <f>+'1.Informe Seguimiento POA 2022'!R68</f>
        <v>0</v>
      </c>
      <c r="AF64" s="730">
        <f>+'1.Informe Seguimiento POA 2022'!S68</f>
        <v>1</v>
      </c>
      <c r="AG64" s="730">
        <f>+'1.Informe Seguimiento POA 2022'!T68</f>
        <v>0</v>
      </c>
      <c r="AH64" s="730">
        <f>+'1.Informe Seguimiento POA 2022'!U68</f>
        <v>0</v>
      </c>
      <c r="AI64" s="730">
        <f>+'1.Informe Seguimiento POA 2022'!V68</f>
        <v>0</v>
      </c>
      <c r="AJ64" s="710">
        <f>+'1.Informe Seguimiento POA 2022'!W68</f>
        <v>4</v>
      </c>
      <c r="AK64" s="710">
        <f>+'1.Informe Seguimiento POA 2022'!X68</f>
        <v>2</v>
      </c>
      <c r="AL64" s="711">
        <f>+'1.Informe Seguimiento POA 2022'!Y68</f>
        <v>0.5</v>
      </c>
      <c r="AM64" s="711"/>
      <c r="AN64" s="711"/>
      <c r="AO64" s="711"/>
      <c r="AP64" s="711"/>
      <c r="AQ64" s="711"/>
      <c r="AR64" s="711"/>
      <c r="AS64" s="711"/>
      <c r="AT64" s="711"/>
      <c r="AU64" s="710">
        <f>+O64</f>
        <v>4</v>
      </c>
      <c r="AV64" s="710"/>
      <c r="AW64" s="711"/>
      <c r="AX64" s="711"/>
      <c r="AY64" s="711"/>
      <c r="AZ64" s="711"/>
      <c r="BA64" s="711"/>
      <c r="BB64" s="711"/>
      <c r="BC64" s="711"/>
      <c r="BD64" s="711"/>
      <c r="BE64" s="711"/>
      <c r="BF64" s="710">
        <f>+P64</f>
        <v>4</v>
      </c>
      <c r="BG64" s="710"/>
      <c r="BH64" s="711"/>
      <c r="BI64" s="710">
        <f t="shared" si="27"/>
        <v>4</v>
      </c>
      <c r="BJ64" s="710">
        <f t="shared" si="27"/>
        <v>2</v>
      </c>
      <c r="BK64" s="813">
        <f t="shared" si="11"/>
        <v>0.5</v>
      </c>
      <c r="BL64" s="728">
        <f>IF(AND(BJ64&gt;0,$J64&gt;0),BJ64/$J64,0)</f>
        <v>9.5238095238095233E-2</v>
      </c>
      <c r="BM64" s="729">
        <f t="shared" si="20"/>
        <v>9.5238095238095247E-3</v>
      </c>
      <c r="BN64" s="1266"/>
      <c r="BO64" s="1187"/>
      <c r="BP64" s="825"/>
      <c r="BQ64" s="825"/>
    </row>
    <row r="65" spans="2:69" ht="76.5" customHeight="1">
      <c r="B65" s="1189"/>
      <c r="C65" s="1232" t="str">
        <f>+'Matriz PEI 2021-2024'!C23</f>
        <v>4.4. Implementar el 100% de las acciones necesarias para la modernización de la gestión institucional a través de los procesos de apoyo, que permita una mejor prestación del servicio.</v>
      </c>
      <c r="D65" s="1238">
        <f>+'Matriz PEI 2021-2024'!E23</f>
        <v>1</v>
      </c>
      <c r="E65" s="1238">
        <f>+'Matriz PEI 2021-2024'!D23</f>
        <v>0.14000000000000001</v>
      </c>
      <c r="F65" s="1260" t="s">
        <v>1029</v>
      </c>
      <c r="G65" s="1260" t="s">
        <v>1030</v>
      </c>
      <c r="H65" s="897" t="str">
        <f>+'1.Informe Seguimiento POA 2022'!D69</f>
        <v>4.4.1 Atender el 100% de los servicios de mantenimiento, almacén, transporte. Aseo y cafetería</v>
      </c>
      <c r="I65" s="786">
        <f>+'1.Informe Seguimiento POA 2022'!E69</f>
        <v>0.1</v>
      </c>
      <c r="J65" s="782">
        <f>+'1.Informe Seguimiento POA 2022'!F69</f>
        <v>1</v>
      </c>
      <c r="K65" s="787" t="str">
        <f>+'1.Informe Seguimiento POA 2022'!I69</f>
        <v>Gestión Administrativa</v>
      </c>
      <c r="L65" s="787" t="str">
        <f>+'1.Informe Seguimiento POA 2022'!J69</f>
        <v>Subdirección de Gestión Documental y Recursos Físicos
Dirección Administrativa y Financiera</v>
      </c>
      <c r="M65" s="721">
        <f>+'1.Informe Seguimiento POA 2022'!K69</f>
        <v>1</v>
      </c>
      <c r="N65" s="721">
        <f>+'1.Informe Seguimiento POA 2022'!L69</f>
        <v>1</v>
      </c>
      <c r="O65" s="721">
        <f>+'1.Informe Seguimiento POA 2022'!M69</f>
        <v>1</v>
      </c>
      <c r="P65" s="721">
        <f>+'1.Informe Seguimiento POA 2022'!N69</f>
        <v>1</v>
      </c>
      <c r="Q65" s="1099">
        <v>1</v>
      </c>
      <c r="R65" s="1099">
        <v>0.99633333333333329</v>
      </c>
      <c r="S65" s="1099">
        <v>1</v>
      </c>
      <c r="T65" s="1099">
        <v>1</v>
      </c>
      <c r="U65" s="1099">
        <v>1</v>
      </c>
      <c r="V65" s="1099">
        <v>1</v>
      </c>
      <c r="W65" s="1099">
        <v>1</v>
      </c>
      <c r="X65" s="1099">
        <v>1</v>
      </c>
      <c r="Y65" s="703">
        <v>1</v>
      </c>
      <c r="Z65" s="703">
        <v>0.999</v>
      </c>
      <c r="AA65" s="703">
        <v>0.999</v>
      </c>
      <c r="AB65" s="789">
        <f>+'1.Informe Seguimiento POA 2022'!O69</f>
        <v>1</v>
      </c>
      <c r="AC65" s="789">
        <f>+'1.Informe Seguimiento POA 2022'!P69</f>
        <v>1</v>
      </c>
      <c r="AD65" s="789">
        <f>+'1.Informe Seguimiento POA 2022'!Q69</f>
        <v>1</v>
      </c>
      <c r="AE65" s="789">
        <f>+'1.Informe Seguimiento POA 2022'!R69</f>
        <v>0</v>
      </c>
      <c r="AF65" s="789">
        <f>+'1.Informe Seguimiento POA 2022'!S69</f>
        <v>1</v>
      </c>
      <c r="AG65" s="789">
        <f>+'1.Informe Seguimiento POA 2022'!T69</f>
        <v>0</v>
      </c>
      <c r="AH65" s="789">
        <f>+'1.Informe Seguimiento POA 2022'!U69</f>
        <v>1</v>
      </c>
      <c r="AI65" s="789">
        <f>+'1.Informe Seguimiento POA 2022'!V69</f>
        <v>0</v>
      </c>
      <c r="AJ65" s="703">
        <f>+'1.Informe Seguimiento POA 2022'!W69</f>
        <v>1</v>
      </c>
      <c r="AK65" s="703">
        <f>+'1.Informe Seguimiento POA 2022'!X69</f>
        <v>0.25</v>
      </c>
      <c r="AL65" s="703">
        <f>+'1.Informe Seguimiento POA 2022'!Y69</f>
        <v>6.25E-2</v>
      </c>
      <c r="AM65" s="797"/>
      <c r="AN65" s="797"/>
      <c r="AO65" s="797"/>
      <c r="AP65" s="797"/>
      <c r="AQ65" s="797"/>
      <c r="AR65" s="797"/>
      <c r="AS65" s="797"/>
      <c r="AT65" s="797"/>
      <c r="AU65" s="782">
        <f t="shared" ref="AU65:AU87" si="29">+O65</f>
        <v>1</v>
      </c>
      <c r="AV65" s="782"/>
      <c r="AW65" s="797"/>
      <c r="AX65" s="797"/>
      <c r="AY65" s="797"/>
      <c r="AZ65" s="797"/>
      <c r="BA65" s="797"/>
      <c r="BB65" s="797"/>
      <c r="BC65" s="797"/>
      <c r="BD65" s="797"/>
      <c r="BE65" s="797"/>
      <c r="BF65" s="782">
        <f t="shared" ref="BF65:BF87" si="30">+P65</f>
        <v>1</v>
      </c>
      <c r="BG65" s="782"/>
      <c r="BH65" s="797"/>
      <c r="BI65" s="702">
        <f>IFERROR(AVERAGE(AB65,AD65,AF65,AH65),0)</f>
        <v>1</v>
      </c>
      <c r="BJ65" s="702">
        <f>IFERROR(AVERAGE(AC65,AE65,AG65,AI65),0)</f>
        <v>0.25</v>
      </c>
      <c r="BK65" s="700">
        <f t="shared" si="11"/>
        <v>0.25</v>
      </c>
      <c r="BL65" s="700">
        <f>(IF(AND(BJ65&gt;0,$J65&gt;0),BJ65/$J65,0)/4)*0.5</f>
        <v>3.125E-2</v>
      </c>
      <c r="BM65" s="700">
        <f t="shared" si="20"/>
        <v>3.1250000000000002E-3</v>
      </c>
      <c r="BN65" s="1339">
        <f>SUM(BM65:BM82)</f>
        <v>4.4063554261243761E-2</v>
      </c>
      <c r="BO65" s="1187"/>
      <c r="BP65" s="830"/>
      <c r="BQ65" s="830"/>
    </row>
    <row r="66" spans="2:69" ht="62.25" customHeight="1">
      <c r="B66" s="1189"/>
      <c r="C66" s="1233"/>
      <c r="D66" s="1239"/>
      <c r="E66" s="1239"/>
      <c r="F66" s="1260"/>
      <c r="G66" s="1260"/>
      <c r="H66" s="897" t="str">
        <f>+'1.Informe Seguimiento POA 2022'!D70</f>
        <v>4.4.2 Ejecutar el 97% de las actividades del Plan Estratégico de Seguridad Vial (PESV)</v>
      </c>
      <c r="I66" s="786">
        <f>+'1.Informe Seguimiento POA 2022'!E70</f>
        <v>0.1</v>
      </c>
      <c r="J66" s="782">
        <f>+'1.Informe Seguimiento POA 2022'!F70</f>
        <v>0.97</v>
      </c>
      <c r="K66" s="787" t="str">
        <f>+'1.Informe Seguimiento POA 2022'!I70</f>
        <v>Gestión Administrativa</v>
      </c>
      <c r="L66" s="787" t="str">
        <f>+'1.Informe Seguimiento POA 2022'!J70</f>
        <v>Subdirección de Gestión Documental y Recursos Físicos
Dirección Administrativa y Financiera</v>
      </c>
      <c r="M66" s="721">
        <f>+'1.Informe Seguimiento POA 2022'!K70</f>
        <v>0.97</v>
      </c>
      <c r="N66" s="721">
        <f>+'1.Informe Seguimiento POA 2022'!L70</f>
        <v>0.97</v>
      </c>
      <c r="O66" s="721">
        <f>+'1.Informe Seguimiento POA 2022'!M70</f>
        <v>0.97</v>
      </c>
      <c r="P66" s="721">
        <f>+'1.Informe Seguimiento POA 2022'!N70</f>
        <v>0.97</v>
      </c>
      <c r="Q66" s="1099">
        <v>0.97000000000000008</v>
      </c>
      <c r="R66" s="1099">
        <v>1</v>
      </c>
      <c r="S66" s="1099">
        <v>0.97000000000000008</v>
      </c>
      <c r="T66" s="1099">
        <v>1.037037037037037</v>
      </c>
      <c r="U66" s="1099">
        <v>0.97000000000000008</v>
      </c>
      <c r="V66" s="1099">
        <v>1.1609999999999998</v>
      </c>
      <c r="W66" s="1099">
        <v>0.97000000000000008</v>
      </c>
      <c r="X66" s="1099">
        <v>1</v>
      </c>
      <c r="Y66" s="703">
        <v>0.97000000000000008</v>
      </c>
      <c r="Z66" s="703">
        <v>1.0489999999999999</v>
      </c>
      <c r="AA66" s="703">
        <v>1.0814432989690721</v>
      </c>
      <c r="AB66" s="789">
        <f>+'1.Informe Seguimiento POA 2022'!O70</f>
        <v>0.97000000000000008</v>
      </c>
      <c r="AC66" s="789">
        <f>+'1.Informe Seguimiento POA 2022'!P70</f>
        <v>1.0923333333333334</v>
      </c>
      <c r="AD66" s="789">
        <f>+'1.Informe Seguimiento POA 2022'!Q70</f>
        <v>0.97000000000000008</v>
      </c>
      <c r="AE66" s="789">
        <f>+'1.Informe Seguimiento POA 2022'!R70</f>
        <v>0</v>
      </c>
      <c r="AF66" s="789">
        <f>+'1.Informe Seguimiento POA 2022'!S70</f>
        <v>0.97000000000000008</v>
      </c>
      <c r="AG66" s="789">
        <f>+'1.Informe Seguimiento POA 2022'!T70</f>
        <v>0</v>
      </c>
      <c r="AH66" s="789">
        <f>+'1.Informe Seguimiento POA 2022'!U70</f>
        <v>0.97000000000000008</v>
      </c>
      <c r="AI66" s="789">
        <f>+'1.Informe Seguimiento POA 2022'!V70</f>
        <v>0</v>
      </c>
      <c r="AJ66" s="703">
        <f>+'1.Informe Seguimiento POA 2022'!W70</f>
        <v>0.97000000000000008</v>
      </c>
      <c r="AK66" s="703">
        <f>+'1.Informe Seguimiento POA 2022'!X70</f>
        <v>0.27300000000000002</v>
      </c>
      <c r="AL66" s="703">
        <f>+'1.Informe Seguimiento POA 2022'!Y70</f>
        <v>7.0360824742268041E-2</v>
      </c>
      <c r="AM66" s="797"/>
      <c r="AN66" s="797"/>
      <c r="AO66" s="797"/>
      <c r="AP66" s="797"/>
      <c r="AQ66" s="797"/>
      <c r="AR66" s="797"/>
      <c r="AS66" s="797"/>
      <c r="AT66" s="797"/>
      <c r="AU66" s="782">
        <f t="shared" si="29"/>
        <v>0.97</v>
      </c>
      <c r="AV66" s="782"/>
      <c r="AW66" s="797"/>
      <c r="AX66" s="797"/>
      <c r="AY66" s="797"/>
      <c r="AZ66" s="797"/>
      <c r="BA66" s="797"/>
      <c r="BB66" s="797"/>
      <c r="BC66" s="797"/>
      <c r="BD66" s="797"/>
      <c r="BE66" s="797"/>
      <c r="BF66" s="782">
        <f t="shared" si="30"/>
        <v>0.97</v>
      </c>
      <c r="BG66" s="782"/>
      <c r="BH66" s="797"/>
      <c r="BI66" s="702">
        <f>IFERROR(AVERAGE(AB66,AD66,AF66,AH66),0)</f>
        <v>0.97000000000000008</v>
      </c>
      <c r="BJ66" s="700">
        <f>IFERROR(AVERAGE(AC66,AE66,AI66),0)</f>
        <v>0.36411111111111111</v>
      </c>
      <c r="BK66" s="700">
        <f t="shared" si="11"/>
        <v>0.37537227949599078</v>
      </c>
      <c r="BL66" s="700">
        <f>(IF(AND(BJ66&gt;0,$J66&gt;0),BJ66/$J66,0)/4)*0.5</f>
        <v>4.6921534936998854E-2</v>
      </c>
      <c r="BM66" s="700">
        <f t="shared" si="20"/>
        <v>4.6921534936998858E-3</v>
      </c>
      <c r="BN66" s="1340"/>
      <c r="BO66" s="1187"/>
      <c r="BP66" s="830"/>
      <c r="BQ66" s="830"/>
    </row>
    <row r="67" spans="2:69" ht="64.5" customHeight="1">
      <c r="B67" s="1189"/>
      <c r="C67" s="1233"/>
      <c r="D67" s="1239"/>
      <c r="E67" s="1239"/>
      <c r="F67" s="1260" t="s">
        <v>1031</v>
      </c>
      <c r="G67" s="1232" t="s">
        <v>1032</v>
      </c>
      <c r="H67" s="897" t="str">
        <f>+'1.Informe Seguimiento POA 2022'!D71</f>
        <v>4.4.3 Ejecutar el 95% del presupuesto aprobado para la Entidad</v>
      </c>
      <c r="I67" s="786">
        <f>+'1.Informe Seguimiento POA 2022'!E71</f>
        <v>7.0000000000000007E-2</v>
      </c>
      <c r="J67" s="782">
        <f>+'1.Informe Seguimiento POA 2022'!F71</f>
        <v>0.95</v>
      </c>
      <c r="K67" s="787" t="str">
        <f>+'1.Informe Seguimiento POA 2022'!I71</f>
        <v>Gestión Financiera</v>
      </c>
      <c r="L67" s="787" t="str">
        <f>+'1.Informe Seguimiento POA 2022'!J71</f>
        <v>Subdirección de Gestión Financiera
Dirección Administrativa y Financiera</v>
      </c>
      <c r="M67" s="721">
        <f>+'1.Informe Seguimiento POA 2022'!K71</f>
        <v>0.95</v>
      </c>
      <c r="N67" s="721">
        <f>+'1.Informe Seguimiento POA 2022'!L71</f>
        <v>0.95</v>
      </c>
      <c r="O67" s="721">
        <f>+'1.Informe Seguimiento POA 2022'!M71</f>
        <v>0.95</v>
      </c>
      <c r="P67" s="721">
        <f>+'1.Informe Seguimiento POA 2022'!N71</f>
        <v>0.95</v>
      </c>
      <c r="Q67" s="1099">
        <v>0.22000000000000003</v>
      </c>
      <c r="R67" s="1099">
        <v>0.20400000000000001</v>
      </c>
      <c r="S67" s="1099">
        <v>0.25</v>
      </c>
      <c r="T67" s="1099">
        <v>0.25800000000000001</v>
      </c>
      <c r="U67" s="1099">
        <v>0.25</v>
      </c>
      <c r="V67" s="1099">
        <v>0.19900000000000001</v>
      </c>
      <c r="W67" s="1099">
        <v>0.23</v>
      </c>
      <c r="X67" s="1099">
        <v>0.32799999999999996</v>
      </c>
      <c r="Y67" s="703">
        <v>0.95</v>
      </c>
      <c r="Z67" s="703">
        <v>0.98899999999999999</v>
      </c>
      <c r="AA67" s="703">
        <v>1.0410526315789475</v>
      </c>
      <c r="AB67" s="789">
        <f>+'1.Informe Seguimiento POA 2022'!O71</f>
        <v>0.22000000000000003</v>
      </c>
      <c r="AC67" s="789">
        <f>+'1.Informe Seguimiento POA 2022'!P71</f>
        <v>0.27100000000000002</v>
      </c>
      <c r="AD67" s="789">
        <f>+'1.Informe Seguimiento POA 2022'!Q71</f>
        <v>0.25</v>
      </c>
      <c r="AE67" s="789">
        <f>+'1.Informe Seguimiento POA 2022'!R71</f>
        <v>0</v>
      </c>
      <c r="AF67" s="789">
        <f>+'1.Informe Seguimiento POA 2022'!S71</f>
        <v>0.25</v>
      </c>
      <c r="AG67" s="789">
        <f>+'1.Informe Seguimiento POA 2022'!T71</f>
        <v>0</v>
      </c>
      <c r="AH67" s="789">
        <f>+'1.Informe Seguimiento POA 2022'!U71</f>
        <v>0.23</v>
      </c>
      <c r="AI67" s="789">
        <f>+'1.Informe Seguimiento POA 2022'!V71</f>
        <v>0</v>
      </c>
      <c r="AJ67" s="703">
        <f>+'1.Informe Seguimiento POA 2022'!W71</f>
        <v>0.95</v>
      </c>
      <c r="AK67" s="703">
        <f>+'1.Informe Seguimiento POA 2022'!X71</f>
        <v>0.27100000000000002</v>
      </c>
      <c r="AL67" s="703">
        <f>+'1.Informe Seguimiento POA 2022'!Y71</f>
        <v>0.28526315789473689</v>
      </c>
      <c r="AM67" s="797"/>
      <c r="AN67" s="797"/>
      <c r="AO67" s="797"/>
      <c r="AP67" s="797"/>
      <c r="AQ67" s="797"/>
      <c r="AR67" s="797"/>
      <c r="AS67" s="797"/>
      <c r="AT67" s="797"/>
      <c r="AU67" s="782">
        <f t="shared" si="29"/>
        <v>0.95</v>
      </c>
      <c r="AV67" s="782"/>
      <c r="AW67" s="797"/>
      <c r="AX67" s="797"/>
      <c r="AY67" s="797"/>
      <c r="AZ67" s="797"/>
      <c r="BA67" s="797"/>
      <c r="BB67" s="797"/>
      <c r="BC67" s="797"/>
      <c r="BD67" s="797"/>
      <c r="BE67" s="797"/>
      <c r="BF67" s="782">
        <f t="shared" si="30"/>
        <v>0.95</v>
      </c>
      <c r="BG67" s="782"/>
      <c r="BH67" s="797"/>
      <c r="BI67" s="927">
        <f t="shared" ref="BI67:BJ70" si="31">+AB67+AD67+AF67+AH67</f>
        <v>0.95</v>
      </c>
      <c r="BJ67" s="927">
        <f t="shared" si="31"/>
        <v>0.27100000000000002</v>
      </c>
      <c r="BK67" s="700">
        <f t="shared" si="11"/>
        <v>0.28526315789473689</v>
      </c>
      <c r="BL67" s="700">
        <f>(IF(AND(BJ67&gt;0,$J67&gt;0),BJ67/$J67,0)/4)</f>
        <v>7.1315789473684221E-2</v>
      </c>
      <c r="BM67" s="731">
        <f t="shared" si="20"/>
        <v>4.9921052631578958E-3</v>
      </c>
      <c r="BN67" s="1340"/>
      <c r="BO67" s="1187"/>
      <c r="BP67" s="830"/>
      <c r="BQ67" s="830"/>
    </row>
    <row r="68" spans="2:69" ht="64.5" customHeight="1">
      <c r="B68" s="1189"/>
      <c r="C68" s="1233"/>
      <c r="D68" s="1239"/>
      <c r="E68" s="1239"/>
      <c r="F68" s="1260"/>
      <c r="G68" s="1233"/>
      <c r="H68" s="897" t="str">
        <f>+'1.Informe Seguimiento POA 2022'!D72</f>
        <v>4.4.4 Programar y ejecutar el 95% de los compromisos de pago adquiridos por la Entidad</v>
      </c>
      <c r="I68" s="786">
        <f>+'1.Informe Seguimiento POA 2022'!E72</f>
        <v>7.0000000000000007E-2</v>
      </c>
      <c r="J68" s="782">
        <f>+'1.Informe Seguimiento POA 2022'!F72</f>
        <v>0.95</v>
      </c>
      <c r="K68" s="787" t="str">
        <f>+'1.Informe Seguimiento POA 2022'!I72</f>
        <v>Gestión Financiera</v>
      </c>
      <c r="L68" s="787" t="str">
        <f>+'1.Informe Seguimiento POA 2022'!J72</f>
        <v>Subdirección de Gestión Financiera
Dirección Administrativa y Financiera</v>
      </c>
      <c r="M68" s="721">
        <f>+'1.Informe Seguimiento POA 2022'!K72</f>
        <v>0.95</v>
      </c>
      <c r="N68" s="721">
        <f>+'1.Informe Seguimiento POA 2022'!L72</f>
        <v>0.95</v>
      </c>
      <c r="O68" s="721">
        <f>+'1.Informe Seguimiento POA 2022'!M72</f>
        <v>0.95</v>
      </c>
      <c r="P68" s="721">
        <f>+'1.Informe Seguimiento POA 2022'!N72</f>
        <v>0.95</v>
      </c>
      <c r="Q68" s="1099">
        <v>0.14000000000000001</v>
      </c>
      <c r="R68" s="1099">
        <v>9.7397917127575201E-2</v>
      </c>
      <c r="S68" s="1099">
        <v>0.25</v>
      </c>
      <c r="T68" s="1099">
        <v>0.23532220306748558</v>
      </c>
      <c r="U68" s="1099">
        <v>0.23000000000000004</v>
      </c>
      <c r="V68" s="1099">
        <v>0.22679170604630311</v>
      </c>
      <c r="W68" s="1099">
        <v>0.32999999999999996</v>
      </c>
      <c r="X68" s="1099">
        <v>0.38835271131297322</v>
      </c>
      <c r="Y68" s="703">
        <v>0.95000000000000007</v>
      </c>
      <c r="Z68" s="703">
        <v>0.94786453755433708</v>
      </c>
      <c r="AA68" s="703">
        <v>0.99775214479403895</v>
      </c>
      <c r="AB68" s="789">
        <f>+'1.Informe Seguimiento POA 2022'!O72</f>
        <v>0.14000000000000001</v>
      </c>
      <c r="AC68" s="789">
        <f>+'1.Informe Seguimiento POA 2022'!P72</f>
        <v>0.13159999999999999</v>
      </c>
      <c r="AD68" s="789">
        <f>+'1.Informe Seguimiento POA 2022'!Q72</f>
        <v>0.25</v>
      </c>
      <c r="AE68" s="789">
        <f>+'1.Informe Seguimiento POA 2022'!R72</f>
        <v>0</v>
      </c>
      <c r="AF68" s="789">
        <f>+'1.Informe Seguimiento POA 2022'!S72</f>
        <v>0.23000000000000004</v>
      </c>
      <c r="AG68" s="789">
        <f>+'1.Informe Seguimiento POA 2022'!T72</f>
        <v>0</v>
      </c>
      <c r="AH68" s="789">
        <f>+'1.Informe Seguimiento POA 2022'!U72</f>
        <v>0.32999999999999996</v>
      </c>
      <c r="AI68" s="789">
        <f>+'1.Informe Seguimiento POA 2022'!V72</f>
        <v>0</v>
      </c>
      <c r="AJ68" s="703">
        <f>+'1.Informe Seguimiento POA 2022'!W72</f>
        <v>0.95000000000000007</v>
      </c>
      <c r="AK68" s="703">
        <f>+'1.Informe Seguimiento POA 2022'!X72</f>
        <v>0.13159999999999999</v>
      </c>
      <c r="AL68" s="703">
        <f>+'1.Informe Seguimiento POA 2022'!Y72</f>
        <v>0.13852631578947366</v>
      </c>
      <c r="AM68" s="797"/>
      <c r="AN68" s="797"/>
      <c r="AO68" s="797"/>
      <c r="AP68" s="797"/>
      <c r="AQ68" s="797"/>
      <c r="AR68" s="797"/>
      <c r="AS68" s="797"/>
      <c r="AT68" s="797"/>
      <c r="AU68" s="782">
        <f t="shared" si="29"/>
        <v>0.95</v>
      </c>
      <c r="AV68" s="782"/>
      <c r="AW68" s="797"/>
      <c r="AX68" s="797"/>
      <c r="AY68" s="797"/>
      <c r="AZ68" s="797"/>
      <c r="BA68" s="797"/>
      <c r="BB68" s="797"/>
      <c r="BC68" s="797"/>
      <c r="BD68" s="797"/>
      <c r="BE68" s="797"/>
      <c r="BF68" s="782">
        <f t="shared" si="30"/>
        <v>0.95</v>
      </c>
      <c r="BG68" s="782"/>
      <c r="BH68" s="797"/>
      <c r="BI68" s="927">
        <f t="shared" si="31"/>
        <v>0.95000000000000007</v>
      </c>
      <c r="BJ68" s="927">
        <f t="shared" si="31"/>
        <v>0.13159999999999999</v>
      </c>
      <c r="BK68" s="700">
        <f t="shared" si="11"/>
        <v>0.13852631578947366</v>
      </c>
      <c r="BL68" s="700">
        <f t="shared" ref="BL68:BL69" si="32">(IF(AND(BJ68&gt;0,$J68&gt;0),BJ68/$J68,0)/4)</f>
        <v>3.4631578947368423E-2</v>
      </c>
      <c r="BM68" s="731">
        <f t="shared" si="20"/>
        <v>2.42421052631579E-3</v>
      </c>
      <c r="BN68" s="1340"/>
      <c r="BO68" s="1187"/>
      <c r="BP68" s="830"/>
      <c r="BQ68" s="830"/>
    </row>
    <row r="69" spans="2:69" ht="64.5" customHeight="1">
      <c r="B69" s="1189"/>
      <c r="C69" s="1233"/>
      <c r="D69" s="1239"/>
      <c r="E69" s="1239"/>
      <c r="F69" s="1260"/>
      <c r="G69" s="1259"/>
      <c r="H69" s="897" t="str">
        <f>+'1.Informe Seguimiento POA 2022'!D73</f>
        <v>4.4.5 Elaborar y presentar el 100% de los estados financieros de la Entidad</v>
      </c>
      <c r="I69" s="786">
        <f>+'1.Informe Seguimiento POA 2022'!E73</f>
        <v>0.06</v>
      </c>
      <c r="J69" s="782">
        <f>+'1.Informe Seguimiento POA 2022'!F73</f>
        <v>1</v>
      </c>
      <c r="K69" s="787" t="str">
        <f>+'1.Informe Seguimiento POA 2022'!I73</f>
        <v>Gestión Financiera</v>
      </c>
      <c r="L69" s="787" t="str">
        <f>+'1.Informe Seguimiento POA 2022'!J73</f>
        <v>Subdirección de Gestión Financiera
Dirección Administrativa y Financiera</v>
      </c>
      <c r="M69" s="721">
        <f>+'1.Informe Seguimiento POA 2022'!K73</f>
        <v>1</v>
      </c>
      <c r="N69" s="721">
        <f>+'1.Informe Seguimiento POA 2022'!L73</f>
        <v>1</v>
      </c>
      <c r="O69" s="721">
        <f>+'1.Informe Seguimiento POA 2022'!M73</f>
        <v>1</v>
      </c>
      <c r="P69" s="721">
        <f>+'1.Informe Seguimiento POA 2022'!N73</f>
        <v>1</v>
      </c>
      <c r="Q69" s="1099">
        <v>0.25</v>
      </c>
      <c r="R69" s="1099">
        <v>0.25</v>
      </c>
      <c r="S69" s="1099">
        <v>0.25</v>
      </c>
      <c r="T69" s="1099">
        <v>0.25</v>
      </c>
      <c r="U69" s="1099">
        <v>0.25</v>
      </c>
      <c r="V69" s="1099">
        <v>0.25</v>
      </c>
      <c r="W69" s="1099">
        <v>0.25</v>
      </c>
      <c r="X69" s="1099">
        <v>0.25</v>
      </c>
      <c r="Y69" s="703">
        <v>1</v>
      </c>
      <c r="Z69" s="703">
        <v>1</v>
      </c>
      <c r="AA69" s="703">
        <v>1</v>
      </c>
      <c r="AB69" s="789">
        <f>+'1.Informe Seguimiento POA 2022'!O73</f>
        <v>0.25</v>
      </c>
      <c r="AC69" s="789">
        <f>+'1.Informe Seguimiento POA 2022'!P73</f>
        <v>0.25</v>
      </c>
      <c r="AD69" s="789">
        <f>+'1.Informe Seguimiento POA 2022'!Q73</f>
        <v>0.25</v>
      </c>
      <c r="AE69" s="789">
        <f>+'1.Informe Seguimiento POA 2022'!R73</f>
        <v>0</v>
      </c>
      <c r="AF69" s="789">
        <f>+'1.Informe Seguimiento POA 2022'!S73</f>
        <v>0.25</v>
      </c>
      <c r="AG69" s="789">
        <f>+'1.Informe Seguimiento POA 2022'!T73</f>
        <v>0</v>
      </c>
      <c r="AH69" s="789">
        <f>+'1.Informe Seguimiento POA 2022'!U73</f>
        <v>0.25</v>
      </c>
      <c r="AI69" s="789">
        <f>+'1.Informe Seguimiento POA 2022'!V73</f>
        <v>0</v>
      </c>
      <c r="AJ69" s="703">
        <f>+'1.Informe Seguimiento POA 2022'!W73</f>
        <v>1</v>
      </c>
      <c r="AK69" s="703">
        <f>+'1.Informe Seguimiento POA 2022'!X73</f>
        <v>0.25</v>
      </c>
      <c r="AL69" s="703">
        <f>+'1.Informe Seguimiento POA 2022'!Y73</f>
        <v>0.25</v>
      </c>
      <c r="AM69" s="797"/>
      <c r="AN69" s="797"/>
      <c r="AO69" s="797"/>
      <c r="AP69" s="797"/>
      <c r="AQ69" s="797"/>
      <c r="AR69" s="797"/>
      <c r="AS69" s="797"/>
      <c r="AT69" s="797"/>
      <c r="AU69" s="782">
        <f t="shared" si="29"/>
        <v>1</v>
      </c>
      <c r="AV69" s="782"/>
      <c r="AW69" s="797"/>
      <c r="AX69" s="797"/>
      <c r="AY69" s="797"/>
      <c r="AZ69" s="797"/>
      <c r="BA69" s="797"/>
      <c r="BB69" s="797"/>
      <c r="BC69" s="797"/>
      <c r="BD69" s="797"/>
      <c r="BE69" s="797"/>
      <c r="BF69" s="782">
        <f t="shared" si="30"/>
        <v>1</v>
      </c>
      <c r="BG69" s="782"/>
      <c r="BH69" s="797"/>
      <c r="BI69" s="927">
        <f t="shared" si="31"/>
        <v>1</v>
      </c>
      <c r="BJ69" s="927">
        <f t="shared" si="31"/>
        <v>0.25</v>
      </c>
      <c r="BK69" s="700">
        <f t="shared" si="11"/>
        <v>0.25</v>
      </c>
      <c r="BL69" s="700">
        <f t="shared" si="32"/>
        <v>6.25E-2</v>
      </c>
      <c r="BM69" s="731">
        <f t="shared" si="20"/>
        <v>3.7499999999999999E-3</v>
      </c>
      <c r="BN69" s="1340"/>
      <c r="BO69" s="1187"/>
      <c r="BP69" s="830"/>
      <c r="BQ69" s="830"/>
    </row>
    <row r="70" spans="2:69" ht="78" customHeight="1">
      <c r="B70" s="1189"/>
      <c r="C70" s="1233"/>
      <c r="D70" s="1239"/>
      <c r="E70" s="1239"/>
      <c r="F70" s="895" t="str">
        <f>+'1.Informe Seguimiento POA 2022'!H74</f>
        <v xml:space="preserve">Porcentaje del Plan Anual de Adquisiciones ejecutado </v>
      </c>
      <c r="G70" s="895" t="str">
        <f>+'11-GESTIÓN CONTRACTUAL'!J16</f>
        <v>No. de adquisiciones realizadas /Total de adquisiciones planeadas *100</v>
      </c>
      <c r="H70" s="897" t="str">
        <f>+'1.Informe Seguimiento POA 2022'!D74</f>
        <v>4.4.6 Ejecutar el 95% del Plan Anual de Adquisiciones respecto de gastos generales</v>
      </c>
      <c r="I70" s="786">
        <f>+'1.Informe Seguimiento POA 2022'!E74</f>
        <v>0.1</v>
      </c>
      <c r="J70" s="782">
        <f>+'1.Informe Seguimiento POA 2022'!F74</f>
        <v>0.95</v>
      </c>
      <c r="K70" s="787" t="str">
        <f>+'1.Informe Seguimiento POA 2022'!I74</f>
        <v>Gestión Contractual</v>
      </c>
      <c r="L70" s="787" t="str">
        <f>+'1.Informe Seguimiento POA 2022'!J74</f>
        <v>Subdirección de Gestión Contractual
Dirección Administrativa y Financiera</v>
      </c>
      <c r="M70" s="721">
        <f>+'1.Informe Seguimiento POA 2022'!K74</f>
        <v>0.95</v>
      </c>
      <c r="N70" s="721">
        <f>+'1.Informe Seguimiento POA 2022'!L74</f>
        <v>0.95</v>
      </c>
      <c r="O70" s="721">
        <f>+'1.Informe Seguimiento POA 2022'!M74</f>
        <v>0.95</v>
      </c>
      <c r="P70" s="721">
        <f>+'1.Informe Seguimiento POA 2022'!N74</f>
        <v>0.95</v>
      </c>
      <c r="Q70" s="1099">
        <v>0.56999999999999995</v>
      </c>
      <c r="R70" s="1099">
        <v>0.33</v>
      </c>
      <c r="S70" s="1099">
        <v>0.24</v>
      </c>
      <c r="T70" s="1099">
        <v>0.16999999999999998</v>
      </c>
      <c r="U70" s="1099">
        <v>0.08</v>
      </c>
      <c r="V70" s="1099">
        <v>0.21000000000000002</v>
      </c>
      <c r="W70" s="1099">
        <v>0.06</v>
      </c>
      <c r="X70" s="1099">
        <v>0.15</v>
      </c>
      <c r="Y70" s="703">
        <v>0.95</v>
      </c>
      <c r="Z70" s="703">
        <v>0.86</v>
      </c>
      <c r="AA70" s="703">
        <v>0.90526315789473688</v>
      </c>
      <c r="AB70" s="789">
        <f>+'1.Informe Seguimiento POA 2022'!O74</f>
        <v>0.36000000000000004</v>
      </c>
      <c r="AC70" s="789">
        <f>+'1.Informe Seguimiento POA 2022'!P74</f>
        <v>0.38</v>
      </c>
      <c r="AD70" s="789">
        <f>+'1.Informe Seguimiento POA 2022'!Q74</f>
        <v>0.22000000000000003</v>
      </c>
      <c r="AE70" s="789">
        <f>+'1.Informe Seguimiento POA 2022'!R74</f>
        <v>0</v>
      </c>
      <c r="AF70" s="789">
        <f>+'1.Informe Seguimiento POA 2022'!S74</f>
        <v>0.21999999999999997</v>
      </c>
      <c r="AG70" s="789">
        <f>+'1.Informe Seguimiento POA 2022'!T74</f>
        <v>0</v>
      </c>
      <c r="AH70" s="789">
        <f>+'1.Informe Seguimiento POA 2022'!U74</f>
        <v>0.15000000000000002</v>
      </c>
      <c r="AI70" s="789">
        <f>+'1.Informe Seguimiento POA 2022'!V74</f>
        <v>0</v>
      </c>
      <c r="AJ70" s="703">
        <f>+'1.Informe Seguimiento POA 2022'!W74</f>
        <v>0.95000000000000007</v>
      </c>
      <c r="AK70" s="703">
        <f>+'1.Informe Seguimiento POA 2022'!X74</f>
        <v>0.38</v>
      </c>
      <c r="AL70" s="703">
        <f>+'1.Informe Seguimiento POA 2022'!Y74</f>
        <v>0.39999999999999997</v>
      </c>
      <c r="AM70" s="797"/>
      <c r="AN70" s="797"/>
      <c r="AO70" s="797"/>
      <c r="AP70" s="797"/>
      <c r="AQ70" s="797"/>
      <c r="AR70" s="797"/>
      <c r="AS70" s="797"/>
      <c r="AT70" s="797"/>
      <c r="AU70" s="782">
        <f t="shared" si="29"/>
        <v>0.95</v>
      </c>
      <c r="AV70" s="782"/>
      <c r="AW70" s="797"/>
      <c r="AX70" s="797"/>
      <c r="AY70" s="797"/>
      <c r="AZ70" s="797"/>
      <c r="BA70" s="797"/>
      <c r="BB70" s="797"/>
      <c r="BC70" s="797"/>
      <c r="BD70" s="797"/>
      <c r="BE70" s="797"/>
      <c r="BF70" s="782">
        <f t="shared" si="30"/>
        <v>0.95</v>
      </c>
      <c r="BG70" s="782"/>
      <c r="BH70" s="797"/>
      <c r="BI70" s="927">
        <f t="shared" si="31"/>
        <v>0.95000000000000007</v>
      </c>
      <c r="BJ70" s="927">
        <f t="shared" si="31"/>
        <v>0.38</v>
      </c>
      <c r="BK70" s="700">
        <f t="shared" si="11"/>
        <v>0.39999999999999997</v>
      </c>
      <c r="BL70" s="700">
        <f>(IF(AND(BJ70&gt;0,$J70&gt;0),BJ70/$J70,0)/4)</f>
        <v>0.1</v>
      </c>
      <c r="BM70" s="731">
        <f t="shared" si="20"/>
        <v>1.0000000000000002E-2</v>
      </c>
      <c r="BN70" s="1340"/>
      <c r="BO70" s="1187"/>
      <c r="BP70" s="830"/>
      <c r="BQ70" s="830"/>
    </row>
    <row r="71" spans="2:69" ht="96.75" customHeight="1">
      <c r="B71" s="1189"/>
      <c r="C71" s="1233"/>
      <c r="D71" s="1239"/>
      <c r="E71" s="1239"/>
      <c r="F71" s="895" t="str">
        <f>+'1.Informe Seguimiento POA 2022'!H75</f>
        <v>Porcentaje de Comunicaciones oficiales con reparto realizado dentro de los 3 días hábiles desde su radicación</v>
      </c>
      <c r="G71" s="895" t="str">
        <f>+'09-G.  ADMINISTRATIVA'!J16</f>
        <v>No. Servicios realizados /Total de servicios solicitados *100</v>
      </c>
      <c r="H71" s="897" t="str">
        <f>+'1.Informe Seguimiento POA 2022'!D75</f>
        <v>4.4.7 Realizar el 95% del reparto, dentro de un término no superior a tres (3) días hábiles, de las comunicaciones oficiales institucionales recibidas por el Grupo de Correspondencia.</v>
      </c>
      <c r="I71" s="786">
        <f>+'1.Informe Seguimiento POA 2022'!E75</f>
        <v>0.05</v>
      </c>
      <c r="J71" s="782">
        <f>+'1.Informe Seguimiento POA 2022'!F75</f>
        <v>0.95</v>
      </c>
      <c r="K71" s="787" t="str">
        <f>+'1.Informe Seguimiento POA 2022'!I75</f>
        <v>Gestión Documental</v>
      </c>
      <c r="L71" s="787" t="str">
        <f>+'1.Informe Seguimiento POA 2022'!J75</f>
        <v>Subdirección de Gestión Documental y Recursos Físicos - Grupo de Correspondencia</v>
      </c>
      <c r="M71" s="721">
        <f>+'1.Informe Seguimiento POA 2022'!K75</f>
        <v>0.95</v>
      </c>
      <c r="N71" s="721">
        <f>+'1.Informe Seguimiento POA 2022'!L75</f>
        <v>0.95</v>
      </c>
      <c r="O71" s="721">
        <f>+'1.Informe Seguimiento POA 2022'!M75</f>
        <v>0.95</v>
      </c>
      <c r="P71" s="721">
        <f>+'1.Informe Seguimiento POA 2022'!N75</f>
        <v>0.95</v>
      </c>
      <c r="Q71" s="1099">
        <v>0.94999999999999984</v>
      </c>
      <c r="R71" s="1099">
        <v>0.96200000000000008</v>
      </c>
      <c r="S71" s="1099">
        <v>0.94999999999999984</v>
      </c>
      <c r="T71" s="1099">
        <v>0.97633333333333328</v>
      </c>
      <c r="U71" s="1099">
        <v>0.94999999999999984</v>
      </c>
      <c r="V71" s="1099">
        <v>0.98399999999999999</v>
      </c>
      <c r="W71" s="1099">
        <v>0.94999999999999984</v>
      </c>
      <c r="X71" s="1099">
        <v>0.97166666666666668</v>
      </c>
      <c r="Y71" s="703">
        <v>0.94999999999999984</v>
      </c>
      <c r="Z71" s="703">
        <v>0.97299999999999998</v>
      </c>
      <c r="AA71" s="703">
        <v>1.0242105263157897</v>
      </c>
      <c r="AB71" s="789">
        <f>+'1.Informe Seguimiento POA 2022'!O75</f>
        <v>0.94999999999999984</v>
      </c>
      <c r="AC71" s="789">
        <f>+'1.Informe Seguimiento POA 2022'!P75</f>
        <v>0.98523333333333341</v>
      </c>
      <c r="AD71" s="789">
        <f>+'1.Informe Seguimiento POA 2022'!Q75</f>
        <v>0.94999999999999984</v>
      </c>
      <c r="AE71" s="789">
        <f>+'1.Informe Seguimiento POA 2022'!R75</f>
        <v>0</v>
      </c>
      <c r="AF71" s="789">
        <f>+'1.Informe Seguimiento POA 2022'!S75</f>
        <v>0.94999999999999984</v>
      </c>
      <c r="AG71" s="789">
        <f>+'1.Informe Seguimiento POA 2022'!T75</f>
        <v>0</v>
      </c>
      <c r="AH71" s="789">
        <f>+'1.Informe Seguimiento POA 2022'!U75</f>
        <v>0.94999999999999984</v>
      </c>
      <c r="AI71" s="789">
        <f>+'1.Informe Seguimiento POA 2022'!V75</f>
        <v>0</v>
      </c>
      <c r="AJ71" s="703">
        <f>+'1.Informe Seguimiento POA 2022'!W75</f>
        <v>0.94999999999999984</v>
      </c>
      <c r="AK71" s="703">
        <f>+'1.Informe Seguimiento POA 2022'!X75</f>
        <v>0.246</v>
      </c>
      <c r="AL71" s="703">
        <f>+'1.Informe Seguimiento POA 2022'!Y75</f>
        <v>6.4736842105263162E-2</v>
      </c>
      <c r="AM71" s="797"/>
      <c r="AN71" s="797"/>
      <c r="AO71" s="797"/>
      <c r="AP71" s="797"/>
      <c r="AQ71" s="797"/>
      <c r="AR71" s="797"/>
      <c r="AS71" s="797"/>
      <c r="AT71" s="797"/>
      <c r="AU71" s="782">
        <f t="shared" si="29"/>
        <v>0.95</v>
      </c>
      <c r="AV71" s="782"/>
      <c r="AW71" s="797"/>
      <c r="AX71" s="797"/>
      <c r="AY71" s="797"/>
      <c r="AZ71" s="797"/>
      <c r="BA71" s="797"/>
      <c r="BB71" s="797"/>
      <c r="BC71" s="797"/>
      <c r="BD71" s="797"/>
      <c r="BE71" s="797"/>
      <c r="BF71" s="782">
        <f t="shared" si="30"/>
        <v>0.95</v>
      </c>
      <c r="BG71" s="782"/>
      <c r="BH71" s="797"/>
      <c r="BI71" s="702">
        <f>IFERROR(AVERAGE(AB71,AD71,AF71,AH71),0)</f>
        <v>0.94999999999999984</v>
      </c>
      <c r="BJ71" s="700">
        <f>IFERROR(AVERAGE(AC71,AE71,AG71,AI71),0)</f>
        <v>0.24630833333333335</v>
      </c>
      <c r="BK71" s="700">
        <f t="shared" si="11"/>
        <v>0.25927192982456149</v>
      </c>
      <c r="BL71" s="700">
        <f>(IF(AND(BJ71&gt;0,$J71&gt;0),BJ71/$J71,0)/4)*0.5</f>
        <v>3.2408991228070179E-2</v>
      </c>
      <c r="BM71" s="700">
        <f t="shared" si="20"/>
        <v>1.6204495614035091E-3</v>
      </c>
      <c r="BN71" s="1340"/>
      <c r="BO71" s="1187"/>
      <c r="BP71" s="830"/>
      <c r="BQ71" s="830"/>
    </row>
    <row r="72" spans="2:69" ht="76.5" customHeight="1">
      <c r="B72" s="1189"/>
      <c r="C72" s="1233"/>
      <c r="D72" s="1239"/>
      <c r="E72" s="1239"/>
      <c r="F72" s="895" t="str">
        <f>+'1.Informe Seguimiento POA 2022'!H76</f>
        <v>Porcentaje de documentación incorporada en el archivo central durante la vigencia.</v>
      </c>
      <c r="G72" s="895" t="str">
        <f>+'09-G.  ADMINISTRATIVA'!J17</f>
        <v>N° de actividades ejecutadas en el periodo/N° de actividades programadas en el PESV para la vigencia*100</v>
      </c>
      <c r="H72" s="897" t="str">
        <f>+'1.Informe Seguimiento POA 2022'!D76</f>
        <v>4.4.8 Incorporar el 80% al archivo central de las transferencias documentales provenientes de las dependencias, en razón a que cumplen los requisitos exigidos para ello.</v>
      </c>
      <c r="I72" s="786">
        <f>+'1.Informe Seguimiento POA 2022'!E76</f>
        <v>0.05</v>
      </c>
      <c r="J72" s="782">
        <f>+'1.Informe Seguimiento POA 2022'!F76</f>
        <v>0.8</v>
      </c>
      <c r="K72" s="787" t="str">
        <f>+'1.Informe Seguimiento POA 2022'!I76</f>
        <v>Gestión Documental</v>
      </c>
      <c r="L72" s="787" t="str">
        <f>+'1.Informe Seguimiento POA 2022'!J76</f>
        <v>Subdirección de Gestión Documental y Recursos Físicos - Archivo central</v>
      </c>
      <c r="M72" s="721">
        <f>+'1.Informe Seguimiento POA 2022'!K76</f>
        <v>0.8</v>
      </c>
      <c r="N72" s="721">
        <f>+'1.Informe Seguimiento POA 2022'!L76</f>
        <v>0.8</v>
      </c>
      <c r="O72" s="721">
        <f>+'1.Informe Seguimiento POA 2022'!M76</f>
        <v>0.8</v>
      </c>
      <c r="P72" s="721">
        <f>+'1.Informe Seguimiento POA 2022'!N76</f>
        <v>0.8</v>
      </c>
      <c r="Q72" s="1099">
        <v>0.80000000000000016</v>
      </c>
      <c r="R72" s="1099">
        <v>0.80000000000000016</v>
      </c>
      <c r="S72" s="1099">
        <v>0.80000000000000016</v>
      </c>
      <c r="T72" s="1099">
        <v>0.80000000000000016</v>
      </c>
      <c r="U72" s="1099">
        <v>0.80000000000000016</v>
      </c>
      <c r="V72" s="1099">
        <v>0.81733333333333336</v>
      </c>
      <c r="W72" s="1099">
        <v>0.80000000000000016</v>
      </c>
      <c r="X72" s="1099">
        <v>0.79499999999999993</v>
      </c>
      <c r="Y72" s="703">
        <v>0.79999999999999993</v>
      </c>
      <c r="Z72" s="703">
        <v>0.80300000000000005</v>
      </c>
      <c r="AA72" s="703">
        <v>1.0037500000000001</v>
      </c>
      <c r="AB72" s="789">
        <f>+'1.Informe Seguimiento POA 2022'!O76</f>
        <v>0.80000000000000016</v>
      </c>
      <c r="AC72" s="789">
        <f>+'1.Informe Seguimiento POA 2022'!P76</f>
        <v>0.8753333333333333</v>
      </c>
      <c r="AD72" s="789">
        <f>+'1.Informe Seguimiento POA 2022'!Q76</f>
        <v>0.80000000000000016</v>
      </c>
      <c r="AE72" s="789">
        <f>+'1.Informe Seguimiento POA 2022'!R76</f>
        <v>0</v>
      </c>
      <c r="AF72" s="789">
        <f>+'1.Informe Seguimiento POA 2022'!S76</f>
        <v>0.80000000000000016</v>
      </c>
      <c r="AG72" s="789">
        <f>+'1.Informe Seguimiento POA 2022'!T76</f>
        <v>0</v>
      </c>
      <c r="AH72" s="789">
        <f>+'1.Informe Seguimiento POA 2022'!U76</f>
        <v>0.80000000000000016</v>
      </c>
      <c r="AI72" s="789">
        <f>+'1.Informe Seguimiento POA 2022'!V76</f>
        <v>0</v>
      </c>
      <c r="AJ72" s="703">
        <f>+'1.Informe Seguimiento POA 2022'!W76</f>
        <v>0.79999999999999993</v>
      </c>
      <c r="AK72" s="703">
        <f>+'1.Informe Seguimiento POA 2022'!X76</f>
        <v>0.218</v>
      </c>
      <c r="AL72" s="703">
        <f>+'1.Informe Seguimiento POA 2022'!Y76</f>
        <v>6.8125000000000005E-2</v>
      </c>
      <c r="AM72" s="797"/>
      <c r="AN72" s="797"/>
      <c r="AO72" s="797"/>
      <c r="AP72" s="797"/>
      <c r="AQ72" s="797"/>
      <c r="AR72" s="797"/>
      <c r="AS72" s="797"/>
      <c r="AT72" s="797"/>
      <c r="AU72" s="782">
        <f t="shared" si="29"/>
        <v>0.8</v>
      </c>
      <c r="AV72" s="782"/>
      <c r="AW72" s="797"/>
      <c r="AX72" s="797"/>
      <c r="AY72" s="797"/>
      <c r="AZ72" s="797"/>
      <c r="BA72" s="797"/>
      <c r="BB72" s="797"/>
      <c r="BC72" s="797"/>
      <c r="BD72" s="797"/>
      <c r="BE72" s="797"/>
      <c r="BF72" s="782">
        <f t="shared" si="30"/>
        <v>0.8</v>
      </c>
      <c r="BG72" s="782"/>
      <c r="BH72" s="797"/>
      <c r="BI72" s="702">
        <f>IFERROR(AVERAGE(AB72,AD72,AF72,AH72),0)</f>
        <v>0.80000000000000016</v>
      </c>
      <c r="BJ72" s="700">
        <f>IFERROR(AVERAGE(AC72,AE72,AG72,AI72),0)</f>
        <v>0.21883333333333332</v>
      </c>
      <c r="BK72" s="700">
        <f t="shared" si="11"/>
        <v>0.27354166666666663</v>
      </c>
      <c r="BL72" s="700">
        <f>(IF(AND(BJ72&gt;0,$J72&gt;0),BJ72/$J72,0)/4)*0.5</f>
        <v>3.4192708333333328E-2</v>
      </c>
      <c r="BM72" s="700">
        <f t="shared" si="20"/>
        <v>1.7096354166666666E-3</v>
      </c>
      <c r="BN72" s="1340"/>
      <c r="BO72" s="1187"/>
      <c r="BP72" s="830"/>
      <c r="BQ72" s="830"/>
    </row>
    <row r="73" spans="2:69" ht="120" customHeight="1">
      <c r="B73" s="1189"/>
      <c r="C73" s="1233"/>
      <c r="D73" s="1239"/>
      <c r="E73" s="1239"/>
      <c r="F73" s="1260" t="s">
        <v>1045</v>
      </c>
      <c r="G73" s="1232" t="s">
        <v>1033</v>
      </c>
      <c r="H73" s="897" t="str">
        <f>+'1.Informe Seguimiento POA 2022'!D77</f>
        <v>4.4.9 Realizar 100 actividades de diseño, actualización o ajuste de los instrumentos archivísticos establecidos por norma.</v>
      </c>
      <c r="I73" s="786">
        <f>+'1.Informe Seguimiento POA 2022'!E77</f>
        <v>0.05</v>
      </c>
      <c r="J73" s="697">
        <f>+'1.Informe Seguimiento POA 2022'!F77</f>
        <v>100</v>
      </c>
      <c r="K73" s="787" t="str">
        <f>+'1.Informe Seguimiento POA 2022'!I77</f>
        <v>Gestión Documental</v>
      </c>
      <c r="L73" s="787" t="str">
        <f>+'1.Informe Seguimiento POA 2022'!J77</f>
        <v xml:space="preserve">Subdirección de Gestión Documental y Recursos Físicos </v>
      </c>
      <c r="M73" s="723">
        <f>+'1.Informe Seguimiento POA 2022'!K77</f>
        <v>25</v>
      </c>
      <c r="N73" s="723">
        <f>+'1.Informe Seguimiento POA 2022'!L77</f>
        <v>25</v>
      </c>
      <c r="O73" s="723">
        <f>+'1.Informe Seguimiento POA 2022'!M77</f>
        <v>25</v>
      </c>
      <c r="P73" s="723">
        <f>+'1.Informe Seguimiento POA 2022'!N77</f>
        <v>25</v>
      </c>
      <c r="Q73" s="901">
        <v>5</v>
      </c>
      <c r="R73" s="901">
        <v>7</v>
      </c>
      <c r="S73" s="901">
        <v>7</v>
      </c>
      <c r="T73" s="901">
        <v>6</v>
      </c>
      <c r="U73" s="901">
        <v>7</v>
      </c>
      <c r="V73" s="901">
        <v>10</v>
      </c>
      <c r="W73" s="901">
        <v>6</v>
      </c>
      <c r="X73" s="901">
        <v>5</v>
      </c>
      <c r="Y73" s="1101">
        <v>25</v>
      </c>
      <c r="Z73" s="1101">
        <v>28</v>
      </c>
      <c r="AA73" s="732">
        <v>1.1200000000000001</v>
      </c>
      <c r="AB73" s="698">
        <f>+'1.Informe Seguimiento POA 2022'!O77</f>
        <v>5</v>
      </c>
      <c r="AC73" s="698">
        <f>+'1.Informe Seguimiento POA 2022'!P77</f>
        <v>6</v>
      </c>
      <c r="AD73" s="698">
        <f>+'1.Informe Seguimiento POA 2022'!Q77</f>
        <v>7</v>
      </c>
      <c r="AE73" s="698">
        <f>+'1.Informe Seguimiento POA 2022'!R77</f>
        <v>0</v>
      </c>
      <c r="AF73" s="698">
        <f>+'1.Informe Seguimiento POA 2022'!S77</f>
        <v>7</v>
      </c>
      <c r="AG73" s="698">
        <f>+'1.Informe Seguimiento POA 2022'!T77</f>
        <v>0</v>
      </c>
      <c r="AH73" s="698">
        <f>+'1.Informe Seguimiento POA 2022'!U77</f>
        <v>6</v>
      </c>
      <c r="AI73" s="698">
        <f>+'1.Informe Seguimiento POA 2022'!V77</f>
        <v>0</v>
      </c>
      <c r="AJ73" s="723">
        <f>+'1.Informe Seguimiento POA 2022'!W77</f>
        <v>25</v>
      </c>
      <c r="AK73" s="723">
        <f>+'1.Informe Seguimiento POA 2022'!X77</f>
        <v>6</v>
      </c>
      <c r="AL73" s="732">
        <f>+'1.Informe Seguimiento POA 2022'!Y77</f>
        <v>0.24</v>
      </c>
      <c r="AM73" s="797"/>
      <c r="AN73" s="797"/>
      <c r="AO73" s="797"/>
      <c r="AP73" s="797"/>
      <c r="AQ73" s="797"/>
      <c r="AR73" s="797"/>
      <c r="AS73" s="797"/>
      <c r="AT73" s="797"/>
      <c r="AU73" s="723">
        <f t="shared" si="29"/>
        <v>25</v>
      </c>
      <c r="AV73" s="723"/>
      <c r="AW73" s="797"/>
      <c r="AX73" s="797"/>
      <c r="AY73" s="797"/>
      <c r="AZ73" s="797"/>
      <c r="BA73" s="797"/>
      <c r="BB73" s="797"/>
      <c r="BC73" s="797"/>
      <c r="BD73" s="797"/>
      <c r="BE73" s="797"/>
      <c r="BF73" s="723">
        <f t="shared" si="30"/>
        <v>25</v>
      </c>
      <c r="BG73" s="723"/>
      <c r="BH73" s="797"/>
      <c r="BI73" s="800">
        <f>+AB73+AD73+AF73+AH73</f>
        <v>25</v>
      </c>
      <c r="BJ73" s="800">
        <f>+AC73+AE73+AG73+AI73</f>
        <v>6</v>
      </c>
      <c r="BK73" s="700">
        <f t="shared" si="11"/>
        <v>0.24</v>
      </c>
      <c r="BL73" s="700">
        <f>IF(AND(AK73&gt;0,$J73&gt;0),AK73/$J73,0)</f>
        <v>0.06</v>
      </c>
      <c r="BM73" s="701">
        <f t="shared" si="20"/>
        <v>3.0000000000000001E-3</v>
      </c>
      <c r="BN73" s="1340"/>
      <c r="BO73" s="1187"/>
      <c r="BP73" s="830"/>
      <c r="BQ73" s="830"/>
    </row>
    <row r="74" spans="2:69" ht="87" customHeight="1">
      <c r="B74" s="1189"/>
      <c r="C74" s="1233"/>
      <c r="D74" s="1239"/>
      <c r="E74" s="1239"/>
      <c r="F74" s="1260"/>
      <c r="G74" s="1259"/>
      <c r="H74" s="897" t="str">
        <f>+'1.Informe Seguimiento POA 2022'!D78</f>
        <v>4.4.10 Realizar 100 actividades de implementación de los instrumentos archivísticos establecidos por norma, y de las herramientas de apoyo a la gestión documental.</v>
      </c>
      <c r="I74" s="786">
        <f>+'1.Informe Seguimiento POA 2022'!E78</f>
        <v>0.05</v>
      </c>
      <c r="J74" s="697">
        <f>+'1.Informe Seguimiento POA 2022'!F78</f>
        <v>100</v>
      </c>
      <c r="K74" s="787" t="str">
        <f>+'1.Informe Seguimiento POA 2022'!I78</f>
        <v>Gestión Documental
Direccionamiento TIC</v>
      </c>
      <c r="L74" s="787" t="str">
        <f>+'1.Informe Seguimiento POA 2022'!J78</f>
        <v>Subdirección de Gestión Documental y Recursos Físicos
Dirección de Tecnologías de la Información y Comunicaciones</v>
      </c>
      <c r="M74" s="723">
        <f>+'1.Informe Seguimiento POA 2022'!K78</f>
        <v>25</v>
      </c>
      <c r="N74" s="723">
        <f>+'1.Informe Seguimiento POA 2022'!L78</f>
        <v>25</v>
      </c>
      <c r="O74" s="723">
        <f>+'1.Informe Seguimiento POA 2022'!M78</f>
        <v>25</v>
      </c>
      <c r="P74" s="723">
        <f>+'1.Informe Seguimiento POA 2022'!N78</f>
        <v>25</v>
      </c>
      <c r="Q74" s="901">
        <v>5</v>
      </c>
      <c r="R74" s="901">
        <v>6</v>
      </c>
      <c r="S74" s="901">
        <v>7</v>
      </c>
      <c r="T74" s="901">
        <v>5</v>
      </c>
      <c r="U74" s="901">
        <v>7</v>
      </c>
      <c r="V74" s="901">
        <v>6</v>
      </c>
      <c r="W74" s="901">
        <v>6</v>
      </c>
      <c r="X74" s="901">
        <v>5</v>
      </c>
      <c r="Y74" s="1101">
        <v>25</v>
      </c>
      <c r="Z74" s="1101">
        <v>22</v>
      </c>
      <c r="AA74" s="732">
        <v>0.88</v>
      </c>
      <c r="AB74" s="698">
        <f>+'1.Informe Seguimiento POA 2022'!O78</f>
        <v>5</v>
      </c>
      <c r="AC74" s="698">
        <f>+'1.Informe Seguimiento POA 2022'!P78</f>
        <v>5</v>
      </c>
      <c r="AD74" s="698">
        <f>+'1.Informe Seguimiento POA 2022'!Q78</f>
        <v>7</v>
      </c>
      <c r="AE74" s="698">
        <f>+'1.Informe Seguimiento POA 2022'!R78</f>
        <v>0</v>
      </c>
      <c r="AF74" s="698">
        <f>+'1.Informe Seguimiento POA 2022'!S78</f>
        <v>7</v>
      </c>
      <c r="AG74" s="698">
        <f>+'1.Informe Seguimiento POA 2022'!T78</f>
        <v>0</v>
      </c>
      <c r="AH74" s="698">
        <f>+'1.Informe Seguimiento POA 2022'!U78</f>
        <v>6</v>
      </c>
      <c r="AI74" s="698">
        <f>+'1.Informe Seguimiento POA 2022'!V78</f>
        <v>0</v>
      </c>
      <c r="AJ74" s="723">
        <f>+'1.Informe Seguimiento POA 2022'!W78</f>
        <v>25</v>
      </c>
      <c r="AK74" s="723">
        <f>+'1.Informe Seguimiento POA 2022'!X78</f>
        <v>5</v>
      </c>
      <c r="AL74" s="732">
        <f>+'1.Informe Seguimiento POA 2022'!Y78</f>
        <v>0.2</v>
      </c>
      <c r="AM74" s="797"/>
      <c r="AN74" s="797"/>
      <c r="AO74" s="797"/>
      <c r="AP74" s="797"/>
      <c r="AQ74" s="797"/>
      <c r="AR74" s="797"/>
      <c r="AS74" s="797"/>
      <c r="AT74" s="797"/>
      <c r="AU74" s="723">
        <f t="shared" si="29"/>
        <v>25</v>
      </c>
      <c r="AV74" s="723"/>
      <c r="AW74" s="797"/>
      <c r="AX74" s="797"/>
      <c r="AY74" s="797"/>
      <c r="AZ74" s="797"/>
      <c r="BA74" s="797"/>
      <c r="BB74" s="797"/>
      <c r="BC74" s="797"/>
      <c r="BD74" s="797"/>
      <c r="BE74" s="797"/>
      <c r="BF74" s="723">
        <f t="shared" si="30"/>
        <v>25</v>
      </c>
      <c r="BG74" s="723"/>
      <c r="BH74" s="797"/>
      <c r="BI74" s="800">
        <f>+AB74+AD74+AF74+AH74</f>
        <v>25</v>
      </c>
      <c r="BJ74" s="800">
        <f>+AC74+AE74+AG74+AI74</f>
        <v>5</v>
      </c>
      <c r="BK74" s="700">
        <f t="shared" si="11"/>
        <v>0.2</v>
      </c>
      <c r="BL74" s="700">
        <f>IF(AND(AK74&gt;0,$J74&gt;0),AK74/$J74,0)</f>
        <v>0.05</v>
      </c>
      <c r="BM74" s="701">
        <f t="shared" si="20"/>
        <v>2.5000000000000005E-3</v>
      </c>
      <c r="BN74" s="1340"/>
      <c r="BO74" s="1187"/>
      <c r="BP74" s="830"/>
      <c r="BQ74" s="830"/>
    </row>
    <row r="75" spans="2:69" ht="63" customHeight="1">
      <c r="B75" s="1189"/>
      <c r="C75" s="1233"/>
      <c r="D75" s="1239"/>
      <c r="E75" s="1239"/>
      <c r="F75" s="1232" t="s">
        <v>1034</v>
      </c>
      <c r="G75" s="1232" t="s">
        <v>1030</v>
      </c>
      <c r="H75" s="897" t="str">
        <f>+'1.Informe Seguimiento POA 2022'!D79</f>
        <v>4.4.11  Representar a la Entidad en el 100% de los procesos judiciales en los cuales la sea vinculada o demandada.</v>
      </c>
      <c r="I75" s="786">
        <f>+'1.Informe Seguimiento POA 2022'!E79</f>
        <v>0.05</v>
      </c>
      <c r="J75" s="782">
        <f>+'1.Informe Seguimiento POA 2022'!F79</f>
        <v>1</v>
      </c>
      <c r="K75" s="787" t="str">
        <f>+'1.Informe Seguimiento POA 2022'!I79</f>
        <v xml:space="preserve"> Gestión Jurídica</v>
      </c>
      <c r="L75" s="787" t="str">
        <f>+'1.Informe Seguimiento POA 2022'!J79</f>
        <v>Oficina Asesora Jurídica</v>
      </c>
      <c r="M75" s="721">
        <f>+'1.Informe Seguimiento POA 2022'!K79</f>
        <v>1</v>
      </c>
      <c r="N75" s="721">
        <f>+'1.Informe Seguimiento POA 2022'!L79</f>
        <v>1</v>
      </c>
      <c r="O75" s="721">
        <f>+'1.Informe Seguimiento POA 2022'!M79</f>
        <v>1</v>
      </c>
      <c r="P75" s="721">
        <f>+'1.Informe Seguimiento POA 2022'!N79</f>
        <v>1</v>
      </c>
      <c r="Q75" s="1099">
        <v>1</v>
      </c>
      <c r="R75" s="1099">
        <v>1</v>
      </c>
      <c r="S75" s="1099">
        <v>1</v>
      </c>
      <c r="T75" s="1099">
        <v>1</v>
      </c>
      <c r="U75" s="1099">
        <v>1</v>
      </c>
      <c r="V75" s="1099">
        <v>1</v>
      </c>
      <c r="W75" s="1099">
        <v>1</v>
      </c>
      <c r="X75" s="1099">
        <v>1</v>
      </c>
      <c r="Y75" s="703">
        <v>1</v>
      </c>
      <c r="Z75" s="703">
        <v>1</v>
      </c>
      <c r="AA75" s="703">
        <v>1</v>
      </c>
      <c r="AB75" s="789">
        <f>+'1.Informe Seguimiento POA 2022'!O79</f>
        <v>1</v>
      </c>
      <c r="AC75" s="789">
        <f>+'1.Informe Seguimiento POA 2022'!P79</f>
        <v>1</v>
      </c>
      <c r="AD75" s="789">
        <f>+'1.Informe Seguimiento POA 2022'!Q79</f>
        <v>1</v>
      </c>
      <c r="AE75" s="789">
        <f>+'1.Informe Seguimiento POA 2022'!R79</f>
        <v>0</v>
      </c>
      <c r="AF75" s="789">
        <f>+'1.Informe Seguimiento POA 2022'!S79</f>
        <v>1</v>
      </c>
      <c r="AG75" s="789">
        <f>+'1.Informe Seguimiento POA 2022'!T79</f>
        <v>0</v>
      </c>
      <c r="AH75" s="789">
        <f>+'1.Informe Seguimiento POA 2022'!U79</f>
        <v>1</v>
      </c>
      <c r="AI75" s="789">
        <f>+'1.Informe Seguimiento POA 2022'!V79</f>
        <v>0</v>
      </c>
      <c r="AJ75" s="703">
        <f>+'1.Informe Seguimiento POA 2022'!W79</f>
        <v>1</v>
      </c>
      <c r="AK75" s="703">
        <f>+'1.Informe Seguimiento POA 2022'!X79</f>
        <v>0.25</v>
      </c>
      <c r="AL75" s="703">
        <f>+'1.Informe Seguimiento POA 2022'!Y79</f>
        <v>6.25E-2</v>
      </c>
      <c r="AM75" s="797"/>
      <c r="AN75" s="797"/>
      <c r="AO75" s="797"/>
      <c r="AP75" s="797"/>
      <c r="AQ75" s="797"/>
      <c r="AR75" s="797"/>
      <c r="AS75" s="797"/>
      <c r="AT75" s="797"/>
      <c r="AU75" s="782">
        <f t="shared" si="29"/>
        <v>1</v>
      </c>
      <c r="AV75" s="782"/>
      <c r="AW75" s="797"/>
      <c r="AX75" s="797"/>
      <c r="AY75" s="797"/>
      <c r="AZ75" s="797"/>
      <c r="BA75" s="797"/>
      <c r="BB75" s="797"/>
      <c r="BC75" s="797"/>
      <c r="BD75" s="797"/>
      <c r="BE75" s="797"/>
      <c r="BF75" s="782">
        <f t="shared" si="30"/>
        <v>1</v>
      </c>
      <c r="BG75" s="782"/>
      <c r="BH75" s="797"/>
      <c r="BI75" s="702">
        <f t="shared" ref="BI75:BJ79" si="33">IFERROR(AVERAGE(AB75,AD75,AF75,AH75),0)</f>
        <v>1</v>
      </c>
      <c r="BJ75" s="700">
        <f t="shared" si="33"/>
        <v>0.25</v>
      </c>
      <c r="BK75" s="700">
        <f t="shared" si="11"/>
        <v>0.25</v>
      </c>
      <c r="BL75" s="700">
        <f t="shared" ref="BL75:BL82" si="34">(IF(AND(BJ75&gt;0,$J75&gt;0),BJ75/$J75,0)/4)*0.5</f>
        <v>3.125E-2</v>
      </c>
      <c r="BM75" s="701">
        <f t="shared" si="20"/>
        <v>1.5625000000000001E-3</v>
      </c>
      <c r="BN75" s="1340"/>
      <c r="BO75" s="1187"/>
      <c r="BP75" s="830"/>
      <c r="BQ75" s="830"/>
    </row>
    <row r="76" spans="2:69" ht="54.75" customHeight="1">
      <c r="B76" s="1189"/>
      <c r="C76" s="1233"/>
      <c r="D76" s="1239"/>
      <c r="E76" s="1239"/>
      <c r="F76" s="1233"/>
      <c r="G76" s="1233"/>
      <c r="H76" s="897" t="str">
        <f>+'1.Informe Seguimiento POA 2022'!D80</f>
        <v xml:space="preserve">4.4.12 Defender judicialmente a la Entidad en el 100% de las acciones de tutela en las cuales sea vinculada o accionada </v>
      </c>
      <c r="I76" s="786">
        <f>+'1.Informe Seguimiento POA 2022'!E80</f>
        <v>0.05</v>
      </c>
      <c r="J76" s="782">
        <f>+'1.Informe Seguimiento POA 2022'!F80</f>
        <v>1</v>
      </c>
      <c r="K76" s="787" t="str">
        <f>+'1.Informe Seguimiento POA 2022'!I80</f>
        <v xml:space="preserve"> Gestión Jurídica</v>
      </c>
      <c r="L76" s="787" t="str">
        <f>+'1.Informe Seguimiento POA 2022'!J80</f>
        <v>Oficina Asesora Jurídica</v>
      </c>
      <c r="M76" s="721">
        <f>+'1.Informe Seguimiento POA 2022'!K80</f>
        <v>1</v>
      </c>
      <c r="N76" s="721">
        <f>+'1.Informe Seguimiento POA 2022'!L80</f>
        <v>1</v>
      </c>
      <c r="O76" s="721">
        <f>+'1.Informe Seguimiento POA 2022'!M80</f>
        <v>1</v>
      </c>
      <c r="P76" s="721">
        <f>+'1.Informe Seguimiento POA 2022'!N80</f>
        <v>1</v>
      </c>
      <c r="Q76" s="1099">
        <v>1</v>
      </c>
      <c r="R76" s="1099">
        <v>1</v>
      </c>
      <c r="S76" s="1099">
        <v>1</v>
      </c>
      <c r="T76" s="1099">
        <v>1</v>
      </c>
      <c r="U76" s="1099">
        <v>1</v>
      </c>
      <c r="V76" s="1099">
        <v>1</v>
      </c>
      <c r="W76" s="1099">
        <v>1</v>
      </c>
      <c r="X76" s="1099">
        <v>1</v>
      </c>
      <c r="Y76" s="703">
        <v>1</v>
      </c>
      <c r="Z76" s="703">
        <v>1</v>
      </c>
      <c r="AA76" s="703">
        <v>1</v>
      </c>
      <c r="AB76" s="789">
        <f>+'1.Informe Seguimiento POA 2022'!O80</f>
        <v>1</v>
      </c>
      <c r="AC76" s="789">
        <f>+'1.Informe Seguimiento POA 2022'!P80</f>
        <v>1</v>
      </c>
      <c r="AD76" s="789">
        <f>+'1.Informe Seguimiento POA 2022'!Q80</f>
        <v>1</v>
      </c>
      <c r="AE76" s="789">
        <f>+'1.Informe Seguimiento POA 2022'!R80</f>
        <v>0</v>
      </c>
      <c r="AF76" s="789">
        <f>+'1.Informe Seguimiento POA 2022'!S80</f>
        <v>1</v>
      </c>
      <c r="AG76" s="789">
        <f>+'1.Informe Seguimiento POA 2022'!T80</f>
        <v>0</v>
      </c>
      <c r="AH76" s="789">
        <f>+'1.Informe Seguimiento POA 2022'!U80</f>
        <v>1</v>
      </c>
      <c r="AI76" s="789">
        <f>+'1.Informe Seguimiento POA 2022'!V80</f>
        <v>0</v>
      </c>
      <c r="AJ76" s="703">
        <f>+'1.Informe Seguimiento POA 2022'!W80</f>
        <v>1</v>
      </c>
      <c r="AK76" s="703">
        <f>+'1.Informe Seguimiento POA 2022'!X80</f>
        <v>0.25</v>
      </c>
      <c r="AL76" s="703">
        <f>+'1.Informe Seguimiento POA 2022'!Y80</f>
        <v>6.25E-2</v>
      </c>
      <c r="AM76" s="797"/>
      <c r="AN76" s="797"/>
      <c r="AO76" s="797"/>
      <c r="AP76" s="797"/>
      <c r="AQ76" s="797"/>
      <c r="AR76" s="797"/>
      <c r="AS76" s="797"/>
      <c r="AT76" s="797"/>
      <c r="AU76" s="782">
        <f t="shared" si="29"/>
        <v>1</v>
      </c>
      <c r="AV76" s="782"/>
      <c r="AW76" s="797"/>
      <c r="AX76" s="797"/>
      <c r="AY76" s="797"/>
      <c r="AZ76" s="797"/>
      <c r="BA76" s="797"/>
      <c r="BB76" s="797"/>
      <c r="BC76" s="797"/>
      <c r="BD76" s="797"/>
      <c r="BE76" s="797"/>
      <c r="BF76" s="782">
        <f t="shared" si="30"/>
        <v>1</v>
      </c>
      <c r="BG76" s="782"/>
      <c r="BH76" s="797"/>
      <c r="BI76" s="702">
        <f t="shared" si="33"/>
        <v>1</v>
      </c>
      <c r="BJ76" s="700">
        <f t="shared" si="33"/>
        <v>0.25</v>
      </c>
      <c r="BK76" s="700">
        <f t="shared" si="11"/>
        <v>0.25</v>
      </c>
      <c r="BL76" s="700">
        <f t="shared" si="34"/>
        <v>3.125E-2</v>
      </c>
      <c r="BM76" s="701">
        <f t="shared" si="20"/>
        <v>1.5625000000000001E-3</v>
      </c>
      <c r="BN76" s="1340"/>
      <c r="BO76" s="1187"/>
      <c r="BP76" s="830"/>
      <c r="BQ76" s="830"/>
    </row>
    <row r="77" spans="2:69" ht="78.75" customHeight="1">
      <c r="B77" s="1189"/>
      <c r="C77" s="1233"/>
      <c r="D77" s="1239"/>
      <c r="E77" s="1239"/>
      <c r="F77" s="1233"/>
      <c r="G77" s="1233"/>
      <c r="H77" s="897" t="str">
        <f>+'1.Informe Seguimiento POA 2022'!D81</f>
        <v>4.4.13 Emitir oportunamente el 100% de los conceptos jurídicos solicitados por el Despacho del Personero de Bogotá o sus delegados.</v>
      </c>
      <c r="I77" s="786">
        <f>+'1.Informe Seguimiento POA 2022'!E81</f>
        <v>0.05</v>
      </c>
      <c r="J77" s="782">
        <f>+'1.Informe Seguimiento POA 2022'!F81</f>
        <v>1</v>
      </c>
      <c r="K77" s="787" t="str">
        <f>+'1.Informe Seguimiento POA 2022'!I81</f>
        <v xml:space="preserve"> Gestión Jurídica</v>
      </c>
      <c r="L77" s="787" t="str">
        <f>+'1.Informe Seguimiento POA 2022'!J81</f>
        <v>Oficina Asesora Jurídica</v>
      </c>
      <c r="M77" s="721">
        <f>+'1.Informe Seguimiento POA 2022'!K81</f>
        <v>1</v>
      </c>
      <c r="N77" s="721">
        <f>+'1.Informe Seguimiento POA 2022'!L81</f>
        <v>1</v>
      </c>
      <c r="O77" s="721">
        <f>+'1.Informe Seguimiento POA 2022'!M81</f>
        <v>1</v>
      </c>
      <c r="P77" s="721">
        <f>+'1.Informe Seguimiento POA 2022'!N81</f>
        <v>1</v>
      </c>
      <c r="Q77" s="1099">
        <v>1</v>
      </c>
      <c r="R77" s="1099">
        <v>1</v>
      </c>
      <c r="S77" s="1099">
        <v>1</v>
      </c>
      <c r="T77" s="1099">
        <v>1</v>
      </c>
      <c r="U77" s="1099">
        <v>1</v>
      </c>
      <c r="V77" s="1099">
        <v>1</v>
      </c>
      <c r="W77" s="1099">
        <v>1</v>
      </c>
      <c r="X77" s="1099">
        <v>1</v>
      </c>
      <c r="Y77" s="703">
        <v>1</v>
      </c>
      <c r="Z77" s="703">
        <v>1</v>
      </c>
      <c r="AA77" s="703">
        <v>1</v>
      </c>
      <c r="AB77" s="789">
        <f>+'1.Informe Seguimiento POA 2022'!O81</f>
        <v>1</v>
      </c>
      <c r="AC77" s="789">
        <f>+'1.Informe Seguimiento POA 2022'!P81</f>
        <v>1</v>
      </c>
      <c r="AD77" s="789">
        <f>+'1.Informe Seguimiento POA 2022'!Q81</f>
        <v>1</v>
      </c>
      <c r="AE77" s="789">
        <f>+'1.Informe Seguimiento POA 2022'!R81</f>
        <v>0</v>
      </c>
      <c r="AF77" s="789">
        <f>+'1.Informe Seguimiento POA 2022'!S81</f>
        <v>1</v>
      </c>
      <c r="AG77" s="789">
        <f>+'1.Informe Seguimiento POA 2022'!T81</f>
        <v>0</v>
      </c>
      <c r="AH77" s="789">
        <f>+'1.Informe Seguimiento POA 2022'!U81</f>
        <v>1</v>
      </c>
      <c r="AI77" s="789">
        <f>+'1.Informe Seguimiento POA 2022'!V81</f>
        <v>0</v>
      </c>
      <c r="AJ77" s="703">
        <f>+'1.Informe Seguimiento POA 2022'!W81</f>
        <v>1</v>
      </c>
      <c r="AK77" s="703">
        <f>+'1.Informe Seguimiento POA 2022'!X81</f>
        <v>0.25</v>
      </c>
      <c r="AL77" s="703">
        <f>+'1.Informe Seguimiento POA 2022'!Y81</f>
        <v>6.25E-2</v>
      </c>
      <c r="AM77" s="797"/>
      <c r="AN77" s="797"/>
      <c r="AO77" s="797"/>
      <c r="AP77" s="797"/>
      <c r="AQ77" s="797"/>
      <c r="AR77" s="797"/>
      <c r="AS77" s="797"/>
      <c r="AT77" s="797"/>
      <c r="AU77" s="782">
        <f t="shared" si="29"/>
        <v>1</v>
      </c>
      <c r="AV77" s="782"/>
      <c r="AW77" s="797"/>
      <c r="AX77" s="797"/>
      <c r="AY77" s="797"/>
      <c r="AZ77" s="797"/>
      <c r="BA77" s="797"/>
      <c r="BB77" s="797"/>
      <c r="BC77" s="797"/>
      <c r="BD77" s="797"/>
      <c r="BE77" s="797"/>
      <c r="BF77" s="782">
        <f t="shared" si="30"/>
        <v>1</v>
      </c>
      <c r="BG77" s="782"/>
      <c r="BH77" s="797"/>
      <c r="BI77" s="702">
        <f t="shared" si="33"/>
        <v>1</v>
      </c>
      <c r="BJ77" s="700">
        <f t="shared" si="33"/>
        <v>0.25</v>
      </c>
      <c r="BK77" s="700">
        <f t="shared" si="11"/>
        <v>0.25</v>
      </c>
      <c r="BL77" s="700">
        <f t="shared" si="34"/>
        <v>3.125E-2</v>
      </c>
      <c r="BM77" s="701">
        <f t="shared" si="20"/>
        <v>1.5625000000000001E-3</v>
      </c>
      <c r="BN77" s="1340"/>
      <c r="BO77" s="1187"/>
      <c r="BP77" s="830"/>
      <c r="BQ77" s="830"/>
    </row>
    <row r="78" spans="2:69" ht="76.5" customHeight="1">
      <c r="B78" s="1189"/>
      <c r="C78" s="1233"/>
      <c r="D78" s="1239"/>
      <c r="E78" s="1239"/>
      <c r="F78" s="1233"/>
      <c r="G78" s="1233"/>
      <c r="H78" s="1267" t="str">
        <f>+'1.Informe Seguimiento POA 2022'!D82</f>
        <v>4.4.14 Registrar el 100% de los reportes de las sanciones disciplinarias de los servidores públicos distritales.</v>
      </c>
      <c r="I78" s="1269">
        <f>+'1.Informe Seguimiento POA 2022'!E82</f>
        <v>0.05</v>
      </c>
      <c r="J78" s="782">
        <f>+'1.Informe Seguimiento POA 2022'!F82</f>
        <v>1</v>
      </c>
      <c r="K78" s="787" t="str">
        <f>+'1.Informe Seguimiento POA 2022'!I82</f>
        <v xml:space="preserve"> Gestión Jurídica</v>
      </c>
      <c r="L78" s="787" t="str">
        <f>+'1.Informe Seguimiento POA 2022'!J82</f>
        <v>Oficina Asesora Jurídica</v>
      </c>
      <c r="M78" s="721">
        <f>+'1.Informe Seguimiento POA 2022'!K82</f>
        <v>1</v>
      </c>
      <c r="N78" s="721">
        <f>+'1.Informe Seguimiento POA 2022'!L82</f>
        <v>1</v>
      </c>
      <c r="O78" s="721">
        <f>+'1.Informe Seguimiento POA 2022'!M82</f>
        <v>1</v>
      </c>
      <c r="P78" s="721">
        <f>+'1.Informe Seguimiento POA 2022'!N82</f>
        <v>1</v>
      </c>
      <c r="Q78" s="1099">
        <v>1</v>
      </c>
      <c r="R78" s="1099">
        <v>1</v>
      </c>
      <c r="S78" s="1099">
        <v>1</v>
      </c>
      <c r="T78" s="1099">
        <v>1</v>
      </c>
      <c r="U78" s="1099">
        <v>1</v>
      </c>
      <c r="V78" s="1099">
        <v>1</v>
      </c>
      <c r="W78" s="1099">
        <v>1</v>
      </c>
      <c r="X78" s="1099">
        <v>1</v>
      </c>
      <c r="Y78" s="703">
        <v>1</v>
      </c>
      <c r="Z78" s="703">
        <v>1</v>
      </c>
      <c r="AA78" s="703">
        <v>1</v>
      </c>
      <c r="AB78" s="789">
        <f>+'1.Informe Seguimiento POA 2022'!O82</f>
        <v>1</v>
      </c>
      <c r="AC78" s="789">
        <f>+'1.Informe Seguimiento POA 2022'!P82</f>
        <v>1</v>
      </c>
      <c r="AD78" s="789">
        <f>+'1.Informe Seguimiento POA 2022'!Q82</f>
        <v>1</v>
      </c>
      <c r="AE78" s="789">
        <f>+'1.Informe Seguimiento POA 2022'!R82</f>
        <v>0</v>
      </c>
      <c r="AF78" s="789">
        <f>+'1.Informe Seguimiento POA 2022'!S82</f>
        <v>1</v>
      </c>
      <c r="AG78" s="789">
        <f>+'1.Informe Seguimiento POA 2022'!T82</f>
        <v>0</v>
      </c>
      <c r="AH78" s="789">
        <f>+'1.Informe Seguimiento POA 2022'!U82</f>
        <v>1</v>
      </c>
      <c r="AI78" s="789">
        <f>+'1.Informe Seguimiento POA 2022'!V82</f>
        <v>0</v>
      </c>
      <c r="AJ78" s="703">
        <f>+'1.Informe Seguimiento POA 2022'!W82</f>
        <v>1</v>
      </c>
      <c r="AK78" s="703">
        <f>+'1.Informe Seguimiento POA 2022'!X82</f>
        <v>0.25</v>
      </c>
      <c r="AL78" s="703">
        <f>+'1.Informe Seguimiento POA 2022'!Y82</f>
        <v>6.25E-2</v>
      </c>
      <c r="AM78" s="797"/>
      <c r="AN78" s="797"/>
      <c r="AO78" s="797"/>
      <c r="AP78" s="797"/>
      <c r="AQ78" s="797"/>
      <c r="AR78" s="797"/>
      <c r="AS78" s="797"/>
      <c r="AT78" s="797"/>
      <c r="AU78" s="782">
        <f t="shared" si="29"/>
        <v>1</v>
      </c>
      <c r="AV78" s="782"/>
      <c r="AW78" s="797"/>
      <c r="AX78" s="797"/>
      <c r="AY78" s="797"/>
      <c r="AZ78" s="797"/>
      <c r="BA78" s="797"/>
      <c r="BB78" s="797"/>
      <c r="BC78" s="797"/>
      <c r="BD78" s="797"/>
      <c r="BE78" s="797"/>
      <c r="BF78" s="782">
        <f t="shared" si="30"/>
        <v>1</v>
      </c>
      <c r="BG78" s="782"/>
      <c r="BH78" s="797"/>
      <c r="BI78" s="702">
        <f t="shared" si="33"/>
        <v>1</v>
      </c>
      <c r="BJ78" s="700">
        <f t="shared" si="33"/>
        <v>0.25</v>
      </c>
      <c r="BK78" s="700">
        <f t="shared" si="11"/>
        <v>0.25</v>
      </c>
      <c r="BL78" s="700">
        <f t="shared" si="34"/>
        <v>3.125E-2</v>
      </c>
      <c r="BM78" s="1271">
        <f>AVERAGE((IF(AND(BL78&gt;0,I78&gt;0),BL78*I78,0)),(IF(AND(BL79&gt;0,I78&gt;0),BL79*I78,0)))</f>
        <v>1.5625000000000001E-3</v>
      </c>
      <c r="BN78" s="1340"/>
      <c r="BO78" s="1187"/>
      <c r="BP78" s="830"/>
      <c r="BQ78" s="830"/>
    </row>
    <row r="79" spans="2:69" ht="76.5" customHeight="1">
      <c r="B79" s="1189"/>
      <c r="C79" s="1233"/>
      <c r="D79" s="1239"/>
      <c r="E79" s="1239"/>
      <c r="F79" s="1259"/>
      <c r="G79" s="1233"/>
      <c r="H79" s="1268"/>
      <c r="I79" s="1270"/>
      <c r="J79" s="782">
        <f>+'1.Informe Seguimiento POA 2022'!F83</f>
        <v>1</v>
      </c>
      <c r="K79" s="787" t="str">
        <f>+'1.Informe Seguimiento POA 2022'!I83</f>
        <v xml:space="preserve"> Gestión Jurídica</v>
      </c>
      <c r="L79" s="787" t="str">
        <f>+'1.Informe Seguimiento POA 2022'!J83</f>
        <v>Oficina Asesora Jurídica</v>
      </c>
      <c r="M79" s="721">
        <f>+'1.Informe Seguimiento POA 2022'!K83</f>
        <v>1</v>
      </c>
      <c r="N79" s="721">
        <f>+'1.Informe Seguimiento POA 2022'!L83</f>
        <v>1</v>
      </c>
      <c r="O79" s="721">
        <f>+'1.Informe Seguimiento POA 2022'!M83</f>
        <v>1</v>
      </c>
      <c r="P79" s="721">
        <f>+'1.Informe Seguimiento POA 2022'!N83</f>
        <v>1</v>
      </c>
      <c r="Q79" s="1099">
        <v>1</v>
      </c>
      <c r="R79" s="1099">
        <v>1</v>
      </c>
      <c r="S79" s="1099">
        <v>1</v>
      </c>
      <c r="T79" s="1099">
        <v>1</v>
      </c>
      <c r="U79" s="1099">
        <v>1</v>
      </c>
      <c r="V79" s="1099">
        <v>1</v>
      </c>
      <c r="W79" s="1099">
        <v>1</v>
      </c>
      <c r="X79" s="1099">
        <v>1</v>
      </c>
      <c r="Y79" s="703">
        <v>1</v>
      </c>
      <c r="Z79" s="703">
        <v>1</v>
      </c>
      <c r="AA79" s="703">
        <v>1</v>
      </c>
      <c r="AB79" s="789">
        <f>+'1.Informe Seguimiento POA 2022'!O83</f>
        <v>1</v>
      </c>
      <c r="AC79" s="789">
        <f>+'1.Informe Seguimiento POA 2022'!P83</f>
        <v>1</v>
      </c>
      <c r="AD79" s="789">
        <f>+'1.Informe Seguimiento POA 2022'!Q83</f>
        <v>1</v>
      </c>
      <c r="AE79" s="789">
        <f>+'1.Informe Seguimiento POA 2022'!R83</f>
        <v>0</v>
      </c>
      <c r="AF79" s="789">
        <f>+'1.Informe Seguimiento POA 2022'!S83</f>
        <v>1</v>
      </c>
      <c r="AG79" s="789">
        <f>+'1.Informe Seguimiento POA 2022'!T83</f>
        <v>0</v>
      </c>
      <c r="AH79" s="789">
        <f>+'1.Informe Seguimiento POA 2022'!U83</f>
        <v>1</v>
      </c>
      <c r="AI79" s="789">
        <f>+'1.Informe Seguimiento POA 2022'!V83</f>
        <v>0</v>
      </c>
      <c r="AJ79" s="703">
        <f>+'1.Informe Seguimiento POA 2022'!W83</f>
        <v>1</v>
      </c>
      <c r="AK79" s="703">
        <f>+'1.Informe Seguimiento POA 2022'!X83</f>
        <v>0.25</v>
      </c>
      <c r="AL79" s="703">
        <f>+'1.Informe Seguimiento POA 2022'!Y83</f>
        <v>6.25E-2</v>
      </c>
      <c r="AM79" s="797"/>
      <c r="AN79" s="797"/>
      <c r="AO79" s="797"/>
      <c r="AP79" s="797"/>
      <c r="AQ79" s="797"/>
      <c r="AR79" s="797"/>
      <c r="AS79" s="797"/>
      <c r="AT79" s="797"/>
      <c r="AU79" s="782">
        <f t="shared" si="29"/>
        <v>1</v>
      </c>
      <c r="AV79" s="782"/>
      <c r="AW79" s="797"/>
      <c r="AX79" s="797"/>
      <c r="AY79" s="797"/>
      <c r="AZ79" s="797"/>
      <c r="BA79" s="797"/>
      <c r="BB79" s="797"/>
      <c r="BC79" s="797"/>
      <c r="BD79" s="797"/>
      <c r="BE79" s="797"/>
      <c r="BF79" s="782">
        <f t="shared" si="30"/>
        <v>1</v>
      </c>
      <c r="BG79" s="782"/>
      <c r="BH79" s="797"/>
      <c r="BI79" s="702">
        <f t="shared" si="33"/>
        <v>1</v>
      </c>
      <c r="BJ79" s="700">
        <f t="shared" si="33"/>
        <v>0.25</v>
      </c>
      <c r="BK79" s="700">
        <f t="shared" si="11"/>
        <v>0.25</v>
      </c>
      <c r="BL79" s="700">
        <f t="shared" si="34"/>
        <v>3.125E-2</v>
      </c>
      <c r="BM79" s="1272"/>
      <c r="BN79" s="1340"/>
      <c r="BO79" s="1187"/>
      <c r="BP79" s="830"/>
      <c r="BQ79" s="830"/>
    </row>
    <row r="80" spans="2:69" ht="76.5" customHeight="1">
      <c r="B80" s="1189"/>
      <c r="C80" s="1233"/>
      <c r="D80" s="1239"/>
      <c r="E80" s="1239"/>
      <c r="F80" s="1232" t="s">
        <v>1046</v>
      </c>
      <c r="G80" s="1260" t="s">
        <v>1037</v>
      </c>
      <c r="H80" s="1276" t="str">
        <f>+'1.Informe Seguimiento POA 2022'!D84</f>
        <v>4.4.15 Elaborar el 95% de los contratos en cada una de las modalidades de selección en los tiempos óptimos</v>
      </c>
      <c r="I80" s="1269">
        <f>+'1.Informe Seguimiento POA 2022'!E84</f>
        <v>0.1</v>
      </c>
      <c r="J80" s="782">
        <f>+'1.Informe Seguimiento POA 2022'!F84</f>
        <v>0.95</v>
      </c>
      <c r="K80" s="787" t="str">
        <f>+'1.Informe Seguimiento POA 2022'!I84</f>
        <v>Gestión Contractual</v>
      </c>
      <c r="L80" s="787" t="str">
        <f>+'1.Informe Seguimiento POA 2022'!J84</f>
        <v>Subdirección de Gestión Contractual
Dirección Administrativa y Financiera</v>
      </c>
      <c r="M80" s="721">
        <f>+'1.Informe Seguimiento POA 2022'!K84</f>
        <v>0.6</v>
      </c>
      <c r="N80" s="721">
        <f>+'1.Informe Seguimiento POA 2022'!L84</f>
        <v>0.8</v>
      </c>
      <c r="O80" s="721">
        <f>+'1.Informe Seguimiento POA 2022'!M84</f>
        <v>0.9</v>
      </c>
      <c r="P80" s="721">
        <f>+'1.Informe Seguimiento POA 2022'!N84</f>
        <v>0.95</v>
      </c>
      <c r="Q80" s="1099">
        <v>0</v>
      </c>
      <c r="R80" s="1099">
        <v>0</v>
      </c>
      <c r="S80" s="1099">
        <v>0</v>
      </c>
      <c r="T80" s="1099">
        <v>0</v>
      </c>
      <c r="U80" s="1099">
        <v>0.6</v>
      </c>
      <c r="V80" s="1099">
        <v>0.505</v>
      </c>
      <c r="W80" s="1099">
        <v>0.6</v>
      </c>
      <c r="X80" s="1099">
        <v>0.84199999999999997</v>
      </c>
      <c r="Y80" s="703">
        <v>0.6</v>
      </c>
      <c r="Z80" s="703">
        <v>0.67300000000000004</v>
      </c>
      <c r="AA80" s="703">
        <v>1.1216666666666668</v>
      </c>
      <c r="AB80" s="789">
        <f>+'1.Informe Seguimiento POA 2022'!O84</f>
        <v>0.8</v>
      </c>
      <c r="AC80" s="789">
        <f>+'1.Informe Seguimiento POA 2022'!P84</f>
        <v>1</v>
      </c>
      <c r="AD80" s="789">
        <f>+'1.Informe Seguimiento POA 2022'!Q84</f>
        <v>0</v>
      </c>
      <c r="AE80" s="789">
        <f>+'1.Informe Seguimiento POA 2022'!R84</f>
        <v>0</v>
      </c>
      <c r="AF80" s="789">
        <f>+'1.Informe Seguimiento POA 2022'!S84</f>
        <v>0.80000000000000016</v>
      </c>
      <c r="AG80" s="789">
        <f>+'1.Informe Seguimiento POA 2022'!T84</f>
        <v>0</v>
      </c>
      <c r="AH80" s="789">
        <f>+'1.Informe Seguimiento POA 2022'!U84</f>
        <v>0.80000000000000016</v>
      </c>
      <c r="AI80" s="789">
        <f>+'1.Informe Seguimiento POA 2022'!V84</f>
        <v>0</v>
      </c>
      <c r="AJ80" s="703">
        <f>+'1.Informe Seguimiento POA 2022'!W84</f>
        <v>0.8</v>
      </c>
      <c r="AK80" s="703">
        <f>+'1.Informe Seguimiento POA 2022'!X84</f>
        <v>0.14199999999999999</v>
      </c>
      <c r="AL80" s="703">
        <f>+'1.Informe Seguimiento POA 2022'!Y84</f>
        <v>4.4374999999999991E-2</v>
      </c>
      <c r="AM80" s="797"/>
      <c r="AN80" s="797"/>
      <c r="AO80" s="797"/>
      <c r="AP80" s="797"/>
      <c r="AQ80" s="797"/>
      <c r="AR80" s="797"/>
      <c r="AS80" s="797"/>
      <c r="AT80" s="797"/>
      <c r="AU80" s="782">
        <f t="shared" si="29"/>
        <v>0.9</v>
      </c>
      <c r="AV80" s="782"/>
      <c r="AW80" s="797"/>
      <c r="AX80" s="797"/>
      <c r="AY80" s="797"/>
      <c r="AZ80" s="797"/>
      <c r="BA80" s="797"/>
      <c r="BB80" s="797"/>
      <c r="BC80" s="797"/>
      <c r="BD80" s="797"/>
      <c r="BE80" s="797"/>
      <c r="BF80" s="782">
        <f t="shared" si="30"/>
        <v>0.95</v>
      </c>
      <c r="BG80" s="782"/>
      <c r="BH80" s="797"/>
      <c r="BI80" s="702">
        <f t="shared" ref="BI80:BJ82" si="35">IFERROR(AVERAGE(AF80,AH80),0)</f>
        <v>0.80000000000000016</v>
      </c>
      <c r="BJ80" s="702">
        <f t="shared" si="35"/>
        <v>0</v>
      </c>
      <c r="BK80" s="700">
        <f t="shared" si="11"/>
        <v>0</v>
      </c>
      <c r="BL80" s="700">
        <f t="shared" si="34"/>
        <v>0</v>
      </c>
      <c r="BM80" s="1271">
        <f>AVERAGE((IF(AND(BL80&gt;0,I80&gt;0),BL80*I80,0)),(IF(AND(BL81&gt;0,I80&gt;0),BL81*I80,0)),(IF(AND(BL82&gt;0,I80&gt;0),BL82*I80,0)))</f>
        <v>0</v>
      </c>
      <c r="BN80" s="1340"/>
      <c r="BO80" s="1187"/>
      <c r="BP80" s="830"/>
      <c r="BQ80" s="830"/>
    </row>
    <row r="81" spans="2:69" ht="76.5" customHeight="1">
      <c r="B81" s="1189"/>
      <c r="C81" s="1233"/>
      <c r="D81" s="1239"/>
      <c r="E81" s="1239"/>
      <c r="F81" s="1233"/>
      <c r="G81" s="1260"/>
      <c r="H81" s="1277"/>
      <c r="I81" s="1279"/>
      <c r="J81" s="782">
        <f>+'1.Informe Seguimiento POA 2022'!F85</f>
        <v>0.95</v>
      </c>
      <c r="K81" s="787" t="str">
        <f>+'1.Informe Seguimiento POA 2022'!I85</f>
        <v>Gestión Contractual</v>
      </c>
      <c r="L81" s="787" t="str">
        <f>+'1.Informe Seguimiento POA 2022'!J85</f>
        <v>Subdirección de Gestión Contractual
Dirección Administrativa y Financiera</v>
      </c>
      <c r="M81" s="721">
        <f>+'1.Informe Seguimiento POA 2022'!K85</f>
        <v>0.6</v>
      </c>
      <c r="N81" s="721">
        <f>+'1.Informe Seguimiento POA 2022'!L85</f>
        <v>0.8</v>
      </c>
      <c r="O81" s="721">
        <f>+'1.Informe Seguimiento POA 2022'!M85</f>
        <v>0.9</v>
      </c>
      <c r="P81" s="721">
        <f>+'1.Informe Seguimiento POA 2022'!N85</f>
        <v>0.95</v>
      </c>
      <c r="Q81" s="1099">
        <v>0</v>
      </c>
      <c r="R81" s="1099">
        <v>0</v>
      </c>
      <c r="S81" s="1099">
        <v>0</v>
      </c>
      <c r="T81" s="1099">
        <v>0</v>
      </c>
      <c r="U81" s="1099">
        <v>0.6</v>
      </c>
      <c r="V81" s="1099">
        <v>0.58299999999999996</v>
      </c>
      <c r="W81" s="1099">
        <v>0.6</v>
      </c>
      <c r="X81" s="1099">
        <v>0.86599999999999999</v>
      </c>
      <c r="Y81" s="703">
        <v>0.6</v>
      </c>
      <c r="Z81" s="703">
        <v>0.72499999999999998</v>
      </c>
      <c r="AA81" s="703">
        <v>1.2083333333333333</v>
      </c>
      <c r="AB81" s="789">
        <f>+'1.Informe Seguimiento POA 2022'!O85</f>
        <v>0</v>
      </c>
      <c r="AC81" s="789">
        <f>+'1.Informe Seguimiento POA 2022'!P85</f>
        <v>1</v>
      </c>
      <c r="AD81" s="789">
        <f>+'1.Informe Seguimiento POA 2022'!Q85</f>
        <v>0</v>
      </c>
      <c r="AE81" s="789">
        <f>+'1.Informe Seguimiento POA 2022'!R85</f>
        <v>0</v>
      </c>
      <c r="AF81" s="789">
        <f>+'1.Informe Seguimiento POA 2022'!S85</f>
        <v>0.80000000000000016</v>
      </c>
      <c r="AG81" s="789">
        <f>+'1.Informe Seguimiento POA 2022'!T85</f>
        <v>0</v>
      </c>
      <c r="AH81" s="789">
        <f>+'1.Informe Seguimiento POA 2022'!U85</f>
        <v>0.53333333333333333</v>
      </c>
      <c r="AI81" s="789">
        <f>+'1.Informe Seguimiento POA 2022'!V85</f>
        <v>0</v>
      </c>
      <c r="AJ81" s="703">
        <f>+'1.Informe Seguimiento POA 2022'!W85</f>
        <v>0.8</v>
      </c>
      <c r="AK81" s="703">
        <f>+'1.Informe Seguimiento POA 2022'!X85</f>
        <v>0</v>
      </c>
      <c r="AL81" s="703">
        <f>+'1.Informe Seguimiento POA 2022'!Y85</f>
        <v>0</v>
      </c>
      <c r="AM81" s="797"/>
      <c r="AN81" s="797"/>
      <c r="AO81" s="797"/>
      <c r="AP81" s="797"/>
      <c r="AQ81" s="797"/>
      <c r="AR81" s="797"/>
      <c r="AS81" s="797"/>
      <c r="AT81" s="797"/>
      <c r="AU81" s="782">
        <f t="shared" si="29"/>
        <v>0.9</v>
      </c>
      <c r="AV81" s="782"/>
      <c r="AW81" s="797"/>
      <c r="AX81" s="797"/>
      <c r="AY81" s="797"/>
      <c r="AZ81" s="797"/>
      <c r="BA81" s="797"/>
      <c r="BB81" s="797"/>
      <c r="BC81" s="797"/>
      <c r="BD81" s="797"/>
      <c r="BE81" s="797"/>
      <c r="BF81" s="782">
        <f t="shared" si="30"/>
        <v>0.95</v>
      </c>
      <c r="BG81" s="782"/>
      <c r="BH81" s="797"/>
      <c r="BI81" s="702">
        <f t="shared" si="35"/>
        <v>0.66666666666666674</v>
      </c>
      <c r="BJ81" s="702">
        <f t="shared" si="35"/>
        <v>0</v>
      </c>
      <c r="BK81" s="700">
        <f t="shared" si="11"/>
        <v>0</v>
      </c>
      <c r="BL81" s="700">
        <f t="shared" si="34"/>
        <v>0</v>
      </c>
      <c r="BM81" s="1337"/>
      <c r="BN81" s="1340"/>
      <c r="BO81" s="1187"/>
      <c r="BP81" s="830"/>
      <c r="BQ81" s="830"/>
    </row>
    <row r="82" spans="2:69" ht="76.5" customHeight="1">
      <c r="B82" s="1189"/>
      <c r="C82" s="1259"/>
      <c r="D82" s="1275"/>
      <c r="E82" s="1275"/>
      <c r="F82" s="1259"/>
      <c r="G82" s="1260"/>
      <c r="H82" s="1278"/>
      <c r="I82" s="1280"/>
      <c r="J82" s="782">
        <f>+'1.Informe Seguimiento POA 2022'!F86</f>
        <v>0.95</v>
      </c>
      <c r="K82" s="787" t="str">
        <f>+'1.Informe Seguimiento POA 2022'!I86</f>
        <v>Gestión Contractual</v>
      </c>
      <c r="L82" s="787" t="str">
        <f>+'1.Informe Seguimiento POA 2022'!J86</f>
        <v>Subdirección de Gestión Contractual
Dirección Administrativa y Financiera</v>
      </c>
      <c r="M82" s="721">
        <f>+'1.Informe Seguimiento POA 2022'!K86</f>
        <v>0.6</v>
      </c>
      <c r="N82" s="721">
        <f>+'1.Informe Seguimiento POA 2022'!L86</f>
        <v>0.8</v>
      </c>
      <c r="O82" s="721">
        <f>+'1.Informe Seguimiento POA 2022'!M86</f>
        <v>0.9</v>
      </c>
      <c r="P82" s="721">
        <f>+'1.Informe Seguimiento POA 2022'!N86</f>
        <v>0.95</v>
      </c>
      <c r="Q82" s="1099">
        <v>0</v>
      </c>
      <c r="R82" s="1099">
        <v>0</v>
      </c>
      <c r="S82" s="1099">
        <v>0</v>
      </c>
      <c r="T82" s="1099">
        <v>0</v>
      </c>
      <c r="U82" s="1099">
        <v>0.6</v>
      </c>
      <c r="V82" s="1099">
        <v>0.6</v>
      </c>
      <c r="W82" s="1099">
        <v>0.6</v>
      </c>
      <c r="X82" s="1099">
        <v>0.6</v>
      </c>
      <c r="Y82" s="703">
        <v>0.6</v>
      </c>
      <c r="Z82" s="703">
        <v>0.6</v>
      </c>
      <c r="AA82" s="703">
        <v>1</v>
      </c>
      <c r="AB82" s="789">
        <f>+'1.Informe Seguimiento POA 2022'!O86</f>
        <v>0.8</v>
      </c>
      <c r="AC82" s="789">
        <f>+'1.Informe Seguimiento POA 2022'!P86</f>
        <v>0.8</v>
      </c>
      <c r="AD82" s="789">
        <f>+'1.Informe Seguimiento POA 2022'!Q86</f>
        <v>0</v>
      </c>
      <c r="AE82" s="789">
        <f>+'1.Informe Seguimiento POA 2022'!R86</f>
        <v>0</v>
      </c>
      <c r="AF82" s="789">
        <f>+'1.Informe Seguimiento POA 2022'!S86</f>
        <v>0.80000000000000016</v>
      </c>
      <c r="AG82" s="789">
        <f>+'1.Informe Seguimiento POA 2022'!T86</f>
        <v>0</v>
      </c>
      <c r="AH82" s="789">
        <f>+'1.Informe Seguimiento POA 2022'!U86</f>
        <v>0.80000000000000016</v>
      </c>
      <c r="AI82" s="789">
        <f>+'1.Informe Seguimiento POA 2022'!V86</f>
        <v>0</v>
      </c>
      <c r="AJ82" s="703">
        <f>+'1.Informe Seguimiento POA 2022'!W86</f>
        <v>0.8</v>
      </c>
      <c r="AK82" s="703">
        <f>+'1.Informe Seguimiento POA 2022'!X86</f>
        <v>0</v>
      </c>
      <c r="AL82" s="703">
        <f>+'1.Informe Seguimiento POA 2022'!Y86</f>
        <v>0</v>
      </c>
      <c r="AM82" s="797"/>
      <c r="AN82" s="797"/>
      <c r="AO82" s="797"/>
      <c r="AP82" s="797"/>
      <c r="AQ82" s="797"/>
      <c r="AR82" s="797"/>
      <c r="AS82" s="797"/>
      <c r="AT82" s="797"/>
      <c r="AU82" s="782">
        <f t="shared" si="29"/>
        <v>0.9</v>
      </c>
      <c r="AV82" s="782"/>
      <c r="AW82" s="797"/>
      <c r="AX82" s="797"/>
      <c r="AY82" s="797"/>
      <c r="AZ82" s="797"/>
      <c r="BA82" s="797"/>
      <c r="BB82" s="797"/>
      <c r="BC82" s="797"/>
      <c r="BD82" s="797"/>
      <c r="BE82" s="797"/>
      <c r="BF82" s="782">
        <f t="shared" si="30"/>
        <v>0.95</v>
      </c>
      <c r="BG82" s="782"/>
      <c r="BH82" s="797"/>
      <c r="BI82" s="702">
        <f t="shared" si="35"/>
        <v>0.80000000000000016</v>
      </c>
      <c r="BJ82" s="702">
        <f t="shared" si="35"/>
        <v>0</v>
      </c>
      <c r="BK82" s="700">
        <f t="shared" si="11"/>
        <v>0</v>
      </c>
      <c r="BL82" s="700">
        <f t="shared" si="34"/>
        <v>0</v>
      </c>
      <c r="BM82" s="1338"/>
      <c r="BN82" s="1341"/>
      <c r="BO82" s="1187"/>
      <c r="BP82" s="830"/>
      <c r="BQ82" s="830"/>
    </row>
    <row r="83" spans="2:69" ht="73.5" customHeight="1">
      <c r="B83" s="1189"/>
      <c r="C83" s="1250" t="str">
        <f>+'Matriz PEI 2021-2024'!C24</f>
        <v>4.5. Desarrollar el 100% de las acciones relacionadas con el fomento de la Cultura del Autocontrol, la Autorregulación y la Autogestión institucional.</v>
      </c>
      <c r="D83" s="1261">
        <f>+'Matriz PEI 2021-2024'!E24</f>
        <v>1</v>
      </c>
      <c r="E83" s="1261">
        <f>+'Matriz PEI 2021-2024'!D24</f>
        <v>0.14000000000000001</v>
      </c>
      <c r="F83" s="1250" t="s">
        <v>1047</v>
      </c>
      <c r="G83" s="1250" t="s">
        <v>1048</v>
      </c>
      <c r="H83" s="705" t="str">
        <f>+'1.Informe Seguimiento POA 2022'!D87</f>
        <v xml:space="preserve">4.5.1 Emitir 96 solicitudes de aplicación de medidas de preservación del orden interno, con el fin de prevenir la materialización de conductas con alcance disciplinario. </v>
      </c>
      <c r="I83" s="152">
        <f>+'1.Informe Seguimiento POA 2022'!E87</f>
        <v>0.05</v>
      </c>
      <c r="J83" s="706">
        <f>+'1.Informe Seguimiento POA 2022'!F87</f>
        <v>96</v>
      </c>
      <c r="K83" s="707" t="str">
        <f>+'1.Informe Seguimiento POA 2022'!I87</f>
        <v>Control Disciplinario Interno</v>
      </c>
      <c r="L83" s="708" t="str">
        <f>+'1.Informe Seguimiento POA 2022'!J87</f>
        <v>Oficina Control Interno Disciplinario</v>
      </c>
      <c r="M83" s="730">
        <f>+'1.Informe Seguimiento POA 2022'!K87</f>
        <v>24</v>
      </c>
      <c r="N83" s="730">
        <f>+'1.Informe Seguimiento POA 2022'!L87</f>
        <v>24</v>
      </c>
      <c r="O83" s="730">
        <f>+'1.Informe Seguimiento POA 2022'!M87</f>
        <v>24</v>
      </c>
      <c r="P83" s="730">
        <f>+'1.Informe Seguimiento POA 2022'!N87</f>
        <v>24</v>
      </c>
      <c r="Q83" s="1100">
        <v>6</v>
      </c>
      <c r="R83" s="1100">
        <v>10</v>
      </c>
      <c r="S83" s="1100">
        <v>6</v>
      </c>
      <c r="T83" s="1100">
        <v>9</v>
      </c>
      <c r="U83" s="1100">
        <v>6</v>
      </c>
      <c r="V83" s="1100">
        <v>9</v>
      </c>
      <c r="W83" s="1100">
        <v>6</v>
      </c>
      <c r="X83" s="1100">
        <v>7</v>
      </c>
      <c r="Y83" s="710">
        <v>24</v>
      </c>
      <c r="Z83" s="710">
        <v>35</v>
      </c>
      <c r="AA83" s="711">
        <v>1.4583333333333333</v>
      </c>
      <c r="AB83" s="730">
        <f>+'1.Informe Seguimiento POA 2022'!O87</f>
        <v>6</v>
      </c>
      <c r="AC83" s="730">
        <f>+'1.Informe Seguimiento POA 2022'!P87</f>
        <v>26</v>
      </c>
      <c r="AD83" s="730">
        <f>+'1.Informe Seguimiento POA 2022'!Q87</f>
        <v>6</v>
      </c>
      <c r="AE83" s="730">
        <f>+'1.Informe Seguimiento POA 2022'!R87</f>
        <v>0</v>
      </c>
      <c r="AF83" s="730">
        <f>+'1.Informe Seguimiento POA 2022'!S87</f>
        <v>6</v>
      </c>
      <c r="AG83" s="730">
        <f>+'1.Informe Seguimiento POA 2022'!T87</f>
        <v>0</v>
      </c>
      <c r="AH83" s="730">
        <f>+'1.Informe Seguimiento POA 2022'!U87</f>
        <v>6</v>
      </c>
      <c r="AI83" s="730">
        <f>+'1.Informe Seguimiento POA 2022'!V87</f>
        <v>0</v>
      </c>
      <c r="AJ83" s="710">
        <f>+'1.Informe Seguimiento POA 2022'!W87</f>
        <v>24</v>
      </c>
      <c r="AK83" s="710">
        <f>+'1.Informe Seguimiento POA 2022'!X87</f>
        <v>26</v>
      </c>
      <c r="AL83" s="711">
        <f>+'1.Informe Seguimiento POA 2022'!Y87</f>
        <v>1.0833333333333333</v>
      </c>
      <c r="AM83" s="711"/>
      <c r="AN83" s="711"/>
      <c r="AO83" s="711"/>
      <c r="AP83" s="711"/>
      <c r="AQ83" s="711"/>
      <c r="AR83" s="711"/>
      <c r="AS83" s="711"/>
      <c r="AT83" s="711"/>
      <c r="AU83" s="710">
        <f t="shared" si="29"/>
        <v>24</v>
      </c>
      <c r="AV83" s="710"/>
      <c r="AW83" s="711"/>
      <c r="AX83" s="711"/>
      <c r="AY83" s="711"/>
      <c r="AZ83" s="711"/>
      <c r="BA83" s="711"/>
      <c r="BB83" s="711"/>
      <c r="BC83" s="711"/>
      <c r="BD83" s="711"/>
      <c r="BE83" s="711"/>
      <c r="BF83" s="710">
        <f t="shared" si="30"/>
        <v>24</v>
      </c>
      <c r="BG83" s="710"/>
      <c r="BH83" s="711"/>
      <c r="BI83" s="710">
        <f t="shared" ref="BI83:BJ88" si="36">+AB83+AD83+AF83+AH83</f>
        <v>24</v>
      </c>
      <c r="BJ83" s="710">
        <f t="shared" si="36"/>
        <v>26</v>
      </c>
      <c r="BK83" s="813">
        <f t="shared" si="11"/>
        <v>1.0833333333333333</v>
      </c>
      <c r="BL83" s="728">
        <f t="shared" ref="BL83:BL88" si="37">IF(AND(BJ83&gt;0,$J83&gt;0),BJ83/$J83,0)</f>
        <v>0.27083333333333331</v>
      </c>
      <c r="BM83" s="711">
        <f t="shared" ref="BM83:BM94" si="38">IF(AND(BL83&gt;0,I83&gt;0),BL83*I83,0)</f>
        <v>1.3541666666666667E-2</v>
      </c>
      <c r="BN83" s="1323">
        <f>SUM(BM83:BM88)</f>
        <v>7.4791666666666673E-2</v>
      </c>
      <c r="BO83" s="1187"/>
      <c r="BP83" s="822"/>
      <c r="BQ83" s="822"/>
    </row>
    <row r="84" spans="2:69" ht="86.25" customHeight="1">
      <c r="B84" s="1189"/>
      <c r="C84" s="1251"/>
      <c r="D84" s="1262"/>
      <c r="E84" s="1262"/>
      <c r="F84" s="1251"/>
      <c r="G84" s="1251"/>
      <c r="H84" s="705" t="str">
        <f>+'1.Informe Seguimiento POA 2022'!D88</f>
        <v>4.5.2 Realizar 20 jornadas de sensibilización a funcionarios de la Personería de Bogotá D.C. sobre la prevención de las faltas disciplinarias más recurrentes en la Entidad.</v>
      </c>
      <c r="I84" s="152">
        <f>+'1.Informe Seguimiento POA 2022'!E88</f>
        <v>0.05</v>
      </c>
      <c r="J84" s="706">
        <f>+'1.Informe Seguimiento POA 2022'!F88</f>
        <v>20</v>
      </c>
      <c r="K84" s="707" t="str">
        <f>+'1.Informe Seguimiento POA 2022'!I88</f>
        <v>Control Disciplinario Interno</v>
      </c>
      <c r="L84" s="708" t="str">
        <f>+'1.Informe Seguimiento POA 2022'!J88</f>
        <v>Oficina Control Interno Disciplinario</v>
      </c>
      <c r="M84" s="730">
        <f>+'1.Informe Seguimiento POA 2022'!K88</f>
        <v>2</v>
      </c>
      <c r="N84" s="730">
        <f>+'1.Informe Seguimiento POA 2022'!L88</f>
        <v>6</v>
      </c>
      <c r="O84" s="730">
        <f>+'1.Informe Seguimiento POA 2022'!M88</f>
        <v>6</v>
      </c>
      <c r="P84" s="730">
        <f>+'1.Informe Seguimiento POA 2022'!N88</f>
        <v>6</v>
      </c>
      <c r="Q84" s="1100">
        <v>0</v>
      </c>
      <c r="R84" s="1100">
        <v>0</v>
      </c>
      <c r="S84" s="1100">
        <v>1</v>
      </c>
      <c r="T84" s="1100">
        <v>1</v>
      </c>
      <c r="U84" s="1100">
        <v>1</v>
      </c>
      <c r="V84" s="1100">
        <v>1</v>
      </c>
      <c r="W84" s="1100">
        <v>0</v>
      </c>
      <c r="X84" s="1100">
        <v>0</v>
      </c>
      <c r="Y84" s="710">
        <v>2</v>
      </c>
      <c r="Z84" s="710">
        <v>2</v>
      </c>
      <c r="AA84" s="711">
        <v>1</v>
      </c>
      <c r="AB84" s="730">
        <f>+'1.Informe Seguimiento POA 2022'!O88</f>
        <v>0</v>
      </c>
      <c r="AC84" s="730">
        <f>+'1.Informe Seguimiento POA 2022'!P88</f>
        <v>1</v>
      </c>
      <c r="AD84" s="730">
        <f>+'1.Informe Seguimiento POA 2022'!Q88</f>
        <v>2</v>
      </c>
      <c r="AE84" s="730">
        <f>+'1.Informe Seguimiento POA 2022'!R88</f>
        <v>0</v>
      </c>
      <c r="AF84" s="730">
        <f>+'1.Informe Seguimiento POA 2022'!S88</f>
        <v>3</v>
      </c>
      <c r="AG84" s="730">
        <f>+'1.Informe Seguimiento POA 2022'!T88</f>
        <v>0</v>
      </c>
      <c r="AH84" s="730">
        <f>+'1.Informe Seguimiento POA 2022'!U88</f>
        <v>1</v>
      </c>
      <c r="AI84" s="730">
        <f>+'1.Informe Seguimiento POA 2022'!V88</f>
        <v>0</v>
      </c>
      <c r="AJ84" s="710">
        <f>+'1.Informe Seguimiento POA 2022'!W88</f>
        <v>6</v>
      </c>
      <c r="AK84" s="710">
        <f>+'1.Informe Seguimiento POA 2022'!X88</f>
        <v>1</v>
      </c>
      <c r="AL84" s="711">
        <f>+'1.Informe Seguimiento POA 2022'!Y88</f>
        <v>0.16666666666666666</v>
      </c>
      <c r="AM84" s="711"/>
      <c r="AN84" s="711"/>
      <c r="AO84" s="711"/>
      <c r="AP84" s="711"/>
      <c r="AQ84" s="711"/>
      <c r="AR84" s="711"/>
      <c r="AS84" s="711"/>
      <c r="AT84" s="711"/>
      <c r="AU84" s="710">
        <f t="shared" si="29"/>
        <v>6</v>
      </c>
      <c r="AV84" s="710"/>
      <c r="AW84" s="711"/>
      <c r="AX84" s="711"/>
      <c r="AY84" s="711"/>
      <c r="AZ84" s="711"/>
      <c r="BA84" s="711"/>
      <c r="BB84" s="711"/>
      <c r="BC84" s="711"/>
      <c r="BD84" s="711"/>
      <c r="BE84" s="711"/>
      <c r="BF84" s="710">
        <f t="shared" si="30"/>
        <v>6</v>
      </c>
      <c r="BG84" s="710"/>
      <c r="BH84" s="711"/>
      <c r="BI84" s="710">
        <f t="shared" si="36"/>
        <v>6</v>
      </c>
      <c r="BJ84" s="710">
        <f t="shared" si="36"/>
        <v>1</v>
      </c>
      <c r="BK84" s="813">
        <f t="shared" si="11"/>
        <v>0.16666666666666666</v>
      </c>
      <c r="BL84" s="728">
        <f t="shared" si="37"/>
        <v>0.05</v>
      </c>
      <c r="BM84" s="711">
        <f t="shared" si="38"/>
        <v>2.5000000000000005E-3</v>
      </c>
      <c r="BN84" s="1324"/>
      <c r="BO84" s="1187"/>
      <c r="BP84" s="823"/>
      <c r="BQ84" s="823"/>
    </row>
    <row r="85" spans="2:69" ht="96.75" customHeight="1">
      <c r="B85" s="1189"/>
      <c r="C85" s="1251"/>
      <c r="D85" s="1262"/>
      <c r="E85" s="1262"/>
      <c r="F85" s="1251"/>
      <c r="G85" s="1251"/>
      <c r="H85" s="705" t="str">
        <f>+'1.Informe Seguimiento POA 2022'!D89</f>
        <v>4.5.3 Decidir de fondo 400 procesos disciplinarios que se encuentren en términos o con periodos vencidos, dando prelación a aquellos con mayor antigüedad o aquellos próximos a prescribir o caducar.</v>
      </c>
      <c r="I85" s="152">
        <f>+'1.Informe Seguimiento POA 2022'!E89</f>
        <v>0.2</v>
      </c>
      <c r="J85" s="706">
        <f>+'1.Informe Seguimiento POA 2022'!F89</f>
        <v>400</v>
      </c>
      <c r="K85" s="707" t="str">
        <f>+'1.Informe Seguimiento POA 2022'!I89</f>
        <v>Control Disciplinario Interno</v>
      </c>
      <c r="L85" s="708" t="str">
        <f>+'1.Informe Seguimiento POA 2022'!J89</f>
        <v>Oficina Control Interno Disciplinario</v>
      </c>
      <c r="M85" s="730">
        <f>+'1.Informe Seguimiento POA 2022'!K89</f>
        <v>100</v>
      </c>
      <c r="N85" s="730">
        <f>+'1.Informe Seguimiento POA 2022'!L89</f>
        <v>100</v>
      </c>
      <c r="O85" s="730">
        <f>+'1.Informe Seguimiento POA 2022'!M89</f>
        <v>100</v>
      </c>
      <c r="P85" s="730">
        <f>+'1.Informe Seguimiento POA 2022'!N89</f>
        <v>100</v>
      </c>
      <c r="Q85" s="1100">
        <v>23</v>
      </c>
      <c r="R85" s="1100">
        <v>38</v>
      </c>
      <c r="S85" s="1100">
        <v>30</v>
      </c>
      <c r="T85" s="1100">
        <v>30</v>
      </c>
      <c r="U85" s="1100">
        <v>30</v>
      </c>
      <c r="V85" s="1100">
        <v>48</v>
      </c>
      <c r="W85" s="1100">
        <v>17</v>
      </c>
      <c r="X85" s="1100">
        <v>56</v>
      </c>
      <c r="Y85" s="710">
        <v>100</v>
      </c>
      <c r="Z85" s="710">
        <v>172</v>
      </c>
      <c r="AA85" s="711">
        <v>1.72</v>
      </c>
      <c r="AB85" s="730">
        <f>+'1.Informe Seguimiento POA 2022'!O89</f>
        <v>23</v>
      </c>
      <c r="AC85" s="730">
        <f>+'1.Informe Seguimiento POA 2022'!P89</f>
        <v>30</v>
      </c>
      <c r="AD85" s="730">
        <f>+'1.Informe Seguimiento POA 2022'!Q89</f>
        <v>30</v>
      </c>
      <c r="AE85" s="730">
        <f>+'1.Informe Seguimiento POA 2022'!R89</f>
        <v>0</v>
      </c>
      <c r="AF85" s="730">
        <f>+'1.Informe Seguimiento POA 2022'!S89</f>
        <v>30</v>
      </c>
      <c r="AG85" s="730">
        <f>+'1.Informe Seguimiento POA 2022'!T89</f>
        <v>0</v>
      </c>
      <c r="AH85" s="730">
        <f>+'1.Informe Seguimiento POA 2022'!U89</f>
        <v>17</v>
      </c>
      <c r="AI85" s="730">
        <f>+'1.Informe Seguimiento POA 2022'!V89</f>
        <v>0</v>
      </c>
      <c r="AJ85" s="710">
        <f>+'1.Informe Seguimiento POA 2022'!W89</f>
        <v>100</v>
      </c>
      <c r="AK85" s="710">
        <f>+'1.Informe Seguimiento POA 2022'!X89</f>
        <v>30</v>
      </c>
      <c r="AL85" s="711">
        <f>+'1.Informe Seguimiento POA 2022'!Y89</f>
        <v>0.3</v>
      </c>
      <c r="AM85" s="711"/>
      <c r="AN85" s="711"/>
      <c r="AO85" s="711"/>
      <c r="AP85" s="711"/>
      <c r="AQ85" s="711"/>
      <c r="AR85" s="711"/>
      <c r="AS85" s="711"/>
      <c r="AT85" s="711"/>
      <c r="AU85" s="710">
        <f t="shared" si="29"/>
        <v>100</v>
      </c>
      <c r="AV85" s="710"/>
      <c r="AW85" s="711"/>
      <c r="AX85" s="711"/>
      <c r="AY85" s="711"/>
      <c r="AZ85" s="711"/>
      <c r="BA85" s="711"/>
      <c r="BB85" s="711"/>
      <c r="BC85" s="711"/>
      <c r="BD85" s="711"/>
      <c r="BE85" s="711"/>
      <c r="BF85" s="710">
        <f t="shared" si="30"/>
        <v>100</v>
      </c>
      <c r="BG85" s="710"/>
      <c r="BH85" s="711"/>
      <c r="BI85" s="710">
        <f t="shared" si="36"/>
        <v>100</v>
      </c>
      <c r="BJ85" s="710">
        <f t="shared" si="36"/>
        <v>30</v>
      </c>
      <c r="BK85" s="813">
        <f t="shared" si="11"/>
        <v>0.3</v>
      </c>
      <c r="BL85" s="728">
        <f t="shared" si="37"/>
        <v>7.4999999999999997E-2</v>
      </c>
      <c r="BM85" s="711">
        <f t="shared" si="38"/>
        <v>1.4999999999999999E-2</v>
      </c>
      <c r="BN85" s="1324"/>
      <c r="BO85" s="1187"/>
      <c r="BP85" s="823"/>
      <c r="BQ85" s="823"/>
    </row>
    <row r="86" spans="2:69" ht="69.75" customHeight="1">
      <c r="B86" s="1189"/>
      <c r="C86" s="1251"/>
      <c r="D86" s="1262"/>
      <c r="E86" s="1262"/>
      <c r="F86" s="1251"/>
      <c r="G86" s="1251"/>
      <c r="H86" s="705" t="str">
        <f>+'1.Informe Seguimiento POA 2022'!D90</f>
        <v>4.5.4 Ejecutar  4 programas anuales de auditorias, aprobados por el Comité Institucional de Coordinación del Sistema de Control Interno.</v>
      </c>
      <c r="I86" s="152">
        <f>+'1.Informe Seguimiento POA 2022'!E90</f>
        <v>0.5</v>
      </c>
      <c r="J86" s="706">
        <f>+'1.Informe Seguimiento POA 2022'!F90</f>
        <v>4</v>
      </c>
      <c r="K86" s="707" t="str">
        <f>+'1.Informe Seguimiento POA 2022'!I90</f>
        <v>Evaluación y Seguimiento</v>
      </c>
      <c r="L86" s="708" t="str">
        <f>+'1.Informe Seguimiento POA 2022'!J90</f>
        <v>Oficina de Control Interno</v>
      </c>
      <c r="M86" s="730">
        <f>+'1.Informe Seguimiento POA 2022'!K90</f>
        <v>1</v>
      </c>
      <c r="N86" s="730">
        <f>+'1.Informe Seguimiento POA 2022'!L90</f>
        <v>1</v>
      </c>
      <c r="O86" s="730">
        <f>+'1.Informe Seguimiento POA 2022'!M90</f>
        <v>1</v>
      </c>
      <c r="P86" s="730">
        <f>+'1.Informe Seguimiento POA 2022'!N90</f>
        <v>1</v>
      </c>
      <c r="Q86" s="1102">
        <v>0.51</v>
      </c>
      <c r="R86" s="1102">
        <v>0.51</v>
      </c>
      <c r="S86" s="1102">
        <v>0.12</v>
      </c>
      <c r="T86" s="1102">
        <v>0.12</v>
      </c>
      <c r="U86" s="1102">
        <v>0.26</v>
      </c>
      <c r="V86" s="1102">
        <v>0.26</v>
      </c>
      <c r="W86" s="1102">
        <v>0.11</v>
      </c>
      <c r="X86" s="1102">
        <v>0.11</v>
      </c>
      <c r="Y86" s="710">
        <v>1</v>
      </c>
      <c r="Z86" s="796">
        <v>1</v>
      </c>
      <c r="AA86" s="711">
        <v>1</v>
      </c>
      <c r="AB86" s="795">
        <f>+'1.Informe Seguimiento POA 2022'!O90</f>
        <v>0.35</v>
      </c>
      <c r="AC86" s="795">
        <f>+'1.Informe Seguimiento POA 2022'!P90</f>
        <v>0.35</v>
      </c>
      <c r="AD86" s="795">
        <f>+'1.Informe Seguimiento POA 2022'!Q90</f>
        <v>0.15</v>
      </c>
      <c r="AE86" s="795">
        <f>+'1.Informe Seguimiento POA 2022'!R90</f>
        <v>0</v>
      </c>
      <c r="AF86" s="795">
        <f>+'1.Informe Seguimiento POA 2022'!S90</f>
        <v>0.44000000000000006</v>
      </c>
      <c r="AG86" s="795">
        <f>+'1.Informe Seguimiento POA 2022'!T90</f>
        <v>0</v>
      </c>
      <c r="AH86" s="795">
        <f>+'1.Informe Seguimiento POA 2022'!U90</f>
        <v>0.06</v>
      </c>
      <c r="AI86" s="795">
        <f>+'1.Informe Seguimiento POA 2022'!V90</f>
        <v>0</v>
      </c>
      <c r="AJ86" s="710">
        <f>+'1.Informe Seguimiento POA 2022'!W90</f>
        <v>1</v>
      </c>
      <c r="AK86" s="796">
        <f>+'1.Informe Seguimiento POA 2022'!X90</f>
        <v>0.35</v>
      </c>
      <c r="AL86" s="711">
        <f>+'1.Informe Seguimiento POA 2022'!Y90</f>
        <v>0.35</v>
      </c>
      <c r="AM86" s="799"/>
      <c r="AN86" s="799"/>
      <c r="AO86" s="799"/>
      <c r="AP86" s="799"/>
      <c r="AQ86" s="799"/>
      <c r="AR86" s="799"/>
      <c r="AS86" s="799"/>
      <c r="AT86" s="799"/>
      <c r="AU86" s="796">
        <f t="shared" si="29"/>
        <v>1</v>
      </c>
      <c r="AV86" s="796"/>
      <c r="AW86" s="799"/>
      <c r="AX86" s="799"/>
      <c r="AY86" s="799"/>
      <c r="AZ86" s="799"/>
      <c r="BA86" s="799"/>
      <c r="BB86" s="799"/>
      <c r="BC86" s="799"/>
      <c r="BD86" s="799"/>
      <c r="BE86" s="799"/>
      <c r="BF86" s="796">
        <f t="shared" si="30"/>
        <v>1</v>
      </c>
      <c r="BG86" s="796"/>
      <c r="BH86" s="799"/>
      <c r="BI86" s="796">
        <f t="shared" si="36"/>
        <v>1</v>
      </c>
      <c r="BJ86" s="796">
        <f t="shared" si="36"/>
        <v>0.35</v>
      </c>
      <c r="BK86" s="813">
        <f t="shared" si="11"/>
        <v>0.35</v>
      </c>
      <c r="BL86" s="728">
        <f t="shared" si="37"/>
        <v>8.7499999999999994E-2</v>
      </c>
      <c r="BM86" s="711">
        <f t="shared" si="38"/>
        <v>4.3749999999999997E-2</v>
      </c>
      <c r="BN86" s="1324"/>
      <c r="BO86" s="1187"/>
      <c r="BP86" s="823"/>
      <c r="BQ86" s="823"/>
    </row>
    <row r="87" spans="2:69" ht="56.25" customHeight="1">
      <c r="B87" s="1189"/>
      <c r="C87" s="1251"/>
      <c r="D87" s="1262"/>
      <c r="E87" s="1262"/>
      <c r="F87" s="1251"/>
      <c r="G87" s="1251"/>
      <c r="H87" s="705" t="str">
        <f>+'1.Informe Seguimiento POA 2022'!D91</f>
        <v>4.5.5 Desarrollar 4 estrategias de sensibilización acerca de la cultura del control.</v>
      </c>
      <c r="I87" s="152">
        <f>+'1.Informe Seguimiento POA 2022'!E91</f>
        <v>0.1</v>
      </c>
      <c r="J87" s="706">
        <f>+'1.Informe Seguimiento POA 2022'!F91</f>
        <v>4</v>
      </c>
      <c r="K87" s="707" t="str">
        <f>+'1.Informe Seguimiento POA 2022'!I91</f>
        <v>Evaluación y Seguimiento</v>
      </c>
      <c r="L87" s="708" t="str">
        <f>+'1.Informe Seguimiento POA 2022'!J91</f>
        <v>Oficina de Control Interno</v>
      </c>
      <c r="M87" s="730">
        <f>+'1.Informe Seguimiento POA 2022'!K91</f>
        <v>1</v>
      </c>
      <c r="N87" s="730">
        <f>+'1.Informe Seguimiento POA 2022'!L91</f>
        <v>1</v>
      </c>
      <c r="O87" s="730">
        <f>+'1.Informe Seguimiento POA 2022'!M91</f>
        <v>1</v>
      </c>
      <c r="P87" s="730">
        <f>+'1.Informe Seguimiento POA 2022'!N91</f>
        <v>1</v>
      </c>
      <c r="Q87" s="1100">
        <v>0</v>
      </c>
      <c r="R87" s="1100">
        <v>0</v>
      </c>
      <c r="S87" s="1100">
        <v>0</v>
      </c>
      <c r="T87" s="1100">
        <v>0</v>
      </c>
      <c r="U87" s="1100">
        <v>0</v>
      </c>
      <c r="V87" s="1100">
        <v>0</v>
      </c>
      <c r="W87" s="1100">
        <v>1</v>
      </c>
      <c r="X87" s="1100">
        <v>1</v>
      </c>
      <c r="Y87" s="710">
        <v>1</v>
      </c>
      <c r="Z87" s="710">
        <v>1</v>
      </c>
      <c r="AA87" s="711">
        <v>1</v>
      </c>
      <c r="AB87" s="730">
        <f>+'1.Informe Seguimiento POA 2022'!O91</f>
        <v>0</v>
      </c>
      <c r="AC87" s="730">
        <f>+'1.Informe Seguimiento POA 2022'!P91</f>
        <v>0</v>
      </c>
      <c r="AD87" s="730">
        <f>+'1.Informe Seguimiento POA 2022'!Q91</f>
        <v>0</v>
      </c>
      <c r="AE87" s="730">
        <f>+'1.Informe Seguimiento POA 2022'!R91</f>
        <v>0</v>
      </c>
      <c r="AF87" s="730">
        <f>+'1.Informe Seguimiento POA 2022'!S91</f>
        <v>0</v>
      </c>
      <c r="AG87" s="730">
        <f>+'1.Informe Seguimiento POA 2022'!T91</f>
        <v>0</v>
      </c>
      <c r="AH87" s="730">
        <f>+'1.Informe Seguimiento POA 2022'!U91</f>
        <v>1</v>
      </c>
      <c r="AI87" s="730">
        <f>+'1.Informe Seguimiento POA 2022'!V91</f>
        <v>0</v>
      </c>
      <c r="AJ87" s="710">
        <f>+'1.Informe Seguimiento POA 2022'!W91</f>
        <v>1</v>
      </c>
      <c r="AK87" s="710">
        <f>+'1.Informe Seguimiento POA 2022'!X91</f>
        <v>0</v>
      </c>
      <c r="AL87" s="711">
        <f>+'1.Informe Seguimiento POA 2022'!Y91</f>
        <v>0</v>
      </c>
      <c r="AM87" s="711"/>
      <c r="AN87" s="711"/>
      <c r="AO87" s="711"/>
      <c r="AP87" s="711"/>
      <c r="AQ87" s="711"/>
      <c r="AR87" s="711"/>
      <c r="AS87" s="711"/>
      <c r="AT87" s="711"/>
      <c r="AU87" s="710">
        <f t="shared" si="29"/>
        <v>1</v>
      </c>
      <c r="AV87" s="710"/>
      <c r="AW87" s="711"/>
      <c r="AX87" s="711"/>
      <c r="AY87" s="711"/>
      <c r="AZ87" s="711"/>
      <c r="BA87" s="711"/>
      <c r="BB87" s="711"/>
      <c r="BC87" s="711"/>
      <c r="BD87" s="711"/>
      <c r="BE87" s="711"/>
      <c r="BF87" s="710">
        <f t="shared" si="30"/>
        <v>1</v>
      </c>
      <c r="BG87" s="710"/>
      <c r="BH87" s="711"/>
      <c r="BI87" s="796">
        <f t="shared" si="36"/>
        <v>1</v>
      </c>
      <c r="BJ87" s="710">
        <f t="shared" si="36"/>
        <v>0</v>
      </c>
      <c r="BK87" s="813">
        <f t="shared" si="11"/>
        <v>0</v>
      </c>
      <c r="BL87" s="728">
        <f t="shared" si="37"/>
        <v>0</v>
      </c>
      <c r="BM87" s="711">
        <f t="shared" si="38"/>
        <v>0</v>
      </c>
      <c r="BN87" s="1324"/>
      <c r="BO87" s="1187"/>
      <c r="BP87" s="823"/>
      <c r="BQ87" s="823"/>
    </row>
    <row r="88" spans="2:69" ht="61.5" customHeight="1">
      <c r="B88" s="1189"/>
      <c r="C88" s="1252"/>
      <c r="D88" s="1263"/>
      <c r="E88" s="1263"/>
      <c r="F88" s="1283"/>
      <c r="G88" s="1283"/>
      <c r="H88" s="705" t="str">
        <f>+'1.Informe Seguimiento POA 2022'!D92</f>
        <v>4.5.6 Realizar 4 jornadas de sensibilización a Directivos y Referentes de proceso sobre la Séptima Dimensión.</v>
      </c>
      <c r="I88" s="152">
        <f>+'1.Informe Seguimiento POA 2022'!E92</f>
        <v>0.1</v>
      </c>
      <c r="J88" s="706">
        <f>+'1.Informe Seguimiento POA 2022'!F92</f>
        <v>4</v>
      </c>
      <c r="K88" s="707" t="str">
        <f>+'1.Informe Seguimiento POA 2022'!I92</f>
        <v>Evaluación y Seguimiento</v>
      </c>
      <c r="L88" s="708" t="str">
        <f>+'1.Informe Seguimiento POA 2022'!J92</f>
        <v>Oficina de Control Interno</v>
      </c>
      <c r="M88" s="730">
        <f>+'1.Informe Seguimiento POA 2022'!K92</f>
        <v>1</v>
      </c>
      <c r="N88" s="730">
        <f>+'1.Informe Seguimiento POA 2022'!L92</f>
        <v>1</v>
      </c>
      <c r="O88" s="730">
        <f>+'1.Informe Seguimiento POA 2022'!M92</f>
        <v>1</v>
      </c>
      <c r="P88" s="730">
        <f>+'1.Informe Seguimiento POA 2022'!N92</f>
        <v>1</v>
      </c>
      <c r="Q88" s="1100">
        <v>0</v>
      </c>
      <c r="R88" s="1100">
        <v>0</v>
      </c>
      <c r="S88" s="1100">
        <v>0</v>
      </c>
      <c r="T88" s="1100">
        <v>0</v>
      </c>
      <c r="U88" s="1100">
        <v>0</v>
      </c>
      <c r="V88" s="1100">
        <v>0</v>
      </c>
      <c r="W88" s="1100">
        <v>1</v>
      </c>
      <c r="X88" s="1100">
        <v>1</v>
      </c>
      <c r="Y88" s="710">
        <v>1</v>
      </c>
      <c r="Z88" s="710">
        <v>1</v>
      </c>
      <c r="AA88" s="711">
        <v>1</v>
      </c>
      <c r="AB88" s="730">
        <f>+'1.Informe Seguimiento POA 2022'!O92</f>
        <v>0</v>
      </c>
      <c r="AC88" s="730">
        <f>+'1.Informe Seguimiento POA 2022'!P92</f>
        <v>0</v>
      </c>
      <c r="AD88" s="730">
        <f>+'1.Informe Seguimiento POA 2022'!Q92</f>
        <v>1</v>
      </c>
      <c r="AE88" s="730">
        <f>+'1.Informe Seguimiento POA 2022'!R92</f>
        <v>0</v>
      </c>
      <c r="AF88" s="730">
        <f>+'1.Informe Seguimiento POA 2022'!S92</f>
        <v>0</v>
      </c>
      <c r="AG88" s="730">
        <f>+'1.Informe Seguimiento POA 2022'!T92</f>
        <v>0</v>
      </c>
      <c r="AH88" s="730">
        <f>+'1.Informe Seguimiento POA 2022'!U92</f>
        <v>0</v>
      </c>
      <c r="AI88" s="730">
        <f>+'1.Informe Seguimiento POA 2022'!V92</f>
        <v>0</v>
      </c>
      <c r="AJ88" s="710">
        <f>+'1.Informe Seguimiento POA 2022'!W92</f>
        <v>1</v>
      </c>
      <c r="AK88" s="710">
        <f>+'1.Informe Seguimiento POA 2022'!X92</f>
        <v>0</v>
      </c>
      <c r="AL88" s="711">
        <f>+'1.Informe Seguimiento POA 2022'!Y92</f>
        <v>0</v>
      </c>
      <c r="AM88" s="711"/>
      <c r="AN88" s="711"/>
      <c r="AO88" s="711"/>
      <c r="AP88" s="711"/>
      <c r="AQ88" s="711"/>
      <c r="AR88" s="711"/>
      <c r="AS88" s="711"/>
      <c r="AT88" s="711"/>
      <c r="AU88" s="710">
        <f>+O88</f>
        <v>1</v>
      </c>
      <c r="AV88" s="710"/>
      <c r="AW88" s="711"/>
      <c r="AX88" s="711"/>
      <c r="AY88" s="711"/>
      <c r="AZ88" s="711"/>
      <c r="BA88" s="711"/>
      <c r="BB88" s="711"/>
      <c r="BC88" s="711"/>
      <c r="BD88" s="711"/>
      <c r="BE88" s="711"/>
      <c r="BF88" s="710">
        <f>+P88</f>
        <v>1</v>
      </c>
      <c r="BG88" s="710"/>
      <c r="BH88" s="711"/>
      <c r="BI88" s="796">
        <f t="shared" si="36"/>
        <v>1</v>
      </c>
      <c r="BJ88" s="710">
        <f t="shared" si="36"/>
        <v>0</v>
      </c>
      <c r="BK88" s="813">
        <f t="shared" si="11"/>
        <v>0</v>
      </c>
      <c r="BL88" s="728">
        <f t="shared" si="37"/>
        <v>0</v>
      </c>
      <c r="BM88" s="711">
        <f t="shared" si="38"/>
        <v>0</v>
      </c>
      <c r="BN88" s="1325"/>
      <c r="BO88" s="1187"/>
      <c r="BP88" s="823"/>
      <c r="BQ88" s="823"/>
    </row>
    <row r="89" spans="2:69" ht="60" customHeight="1">
      <c r="B89" s="1189"/>
      <c r="C89" s="1232" t="str">
        <f>+'Matriz PEI 2021-2024'!C25</f>
        <v>4.6. Desarrollar el 100% de las estrategias de comunicación organizacional y de medios que contribuyan al logro de los objetivos institucionales y al posicionamiento de la Entidad.</v>
      </c>
      <c r="D89" s="1241">
        <f>+'Matriz PEI 2021-2024'!E25</f>
        <v>1</v>
      </c>
      <c r="E89" s="1241">
        <f>+'Matriz PEI 2021-2024'!D25</f>
        <v>0.14000000000000001</v>
      </c>
      <c r="F89" s="1232" t="s">
        <v>961</v>
      </c>
      <c r="G89" s="1232" t="s">
        <v>962</v>
      </c>
      <c r="H89" s="734" t="str">
        <f>+'1.Informe Seguimiento POA 2022'!D93</f>
        <v>4.6.1  Desarrollar el 100% de los productos para comunicación y divulgación externa que promuevan y difundan la gestión institucional</v>
      </c>
      <c r="I89" s="704">
        <f>+'1.Informe Seguimiento POA 2022'!E93</f>
        <v>0.5</v>
      </c>
      <c r="J89" s="782">
        <f>+'1.Informe Seguimiento POA 2022'!F93</f>
        <v>1</v>
      </c>
      <c r="K89" s="787" t="str">
        <f>+'1.Informe Seguimiento POA 2022'!I93</f>
        <v>Comunicación Estratégica</v>
      </c>
      <c r="L89" s="787" t="str">
        <f>+'1.Informe Seguimiento POA 2022'!J93</f>
        <v>Oficina Asesora de Comunicaciones</v>
      </c>
      <c r="M89" s="721">
        <f>+'1.Informe Seguimiento POA 2022'!K93</f>
        <v>1</v>
      </c>
      <c r="N89" s="721">
        <f>+'1.Informe Seguimiento POA 2022'!L93</f>
        <v>1</v>
      </c>
      <c r="O89" s="721">
        <f>+'1.Informe Seguimiento POA 2022'!M93</f>
        <v>1</v>
      </c>
      <c r="P89" s="721">
        <f>+'1.Informe Seguimiento POA 2022'!N93</f>
        <v>1</v>
      </c>
      <c r="Q89" s="1099">
        <v>1</v>
      </c>
      <c r="R89" s="1099">
        <v>1</v>
      </c>
      <c r="S89" s="1099">
        <v>1</v>
      </c>
      <c r="T89" s="1099">
        <v>1</v>
      </c>
      <c r="U89" s="1099">
        <v>1</v>
      </c>
      <c r="V89" s="1099">
        <v>1</v>
      </c>
      <c r="W89" s="1099">
        <v>1</v>
      </c>
      <c r="X89" s="1099">
        <v>1</v>
      </c>
      <c r="Y89" s="703">
        <v>1</v>
      </c>
      <c r="Z89" s="703">
        <v>1</v>
      </c>
      <c r="AA89" s="703">
        <v>1</v>
      </c>
      <c r="AB89" s="789">
        <f>+'1.Informe Seguimiento POA 2022'!O93</f>
        <v>1</v>
      </c>
      <c r="AC89" s="789">
        <f>+'1.Informe Seguimiento POA 2022'!P93</f>
        <v>1</v>
      </c>
      <c r="AD89" s="789">
        <f>+'1.Informe Seguimiento POA 2022'!Q93</f>
        <v>1</v>
      </c>
      <c r="AE89" s="789">
        <f>+'1.Informe Seguimiento POA 2022'!R93</f>
        <v>0</v>
      </c>
      <c r="AF89" s="789">
        <f>+'1.Informe Seguimiento POA 2022'!S93</f>
        <v>1</v>
      </c>
      <c r="AG89" s="789">
        <f>+'1.Informe Seguimiento POA 2022'!T93</f>
        <v>0</v>
      </c>
      <c r="AH89" s="789">
        <f>+'1.Informe Seguimiento POA 2022'!U93</f>
        <v>1</v>
      </c>
      <c r="AI89" s="789">
        <f>+'1.Informe Seguimiento POA 2022'!V93</f>
        <v>0</v>
      </c>
      <c r="AJ89" s="703">
        <f>+'1.Informe Seguimiento POA 2022'!W93</f>
        <v>1</v>
      </c>
      <c r="AK89" s="703">
        <f>+'1.Informe Seguimiento POA 2022'!X93</f>
        <v>0.25</v>
      </c>
      <c r="AL89" s="703">
        <f>+'1.Informe Seguimiento POA 2022'!Y93</f>
        <v>6.25E-2</v>
      </c>
      <c r="AM89" s="797"/>
      <c r="AN89" s="797"/>
      <c r="AO89" s="797"/>
      <c r="AP89" s="797"/>
      <c r="AQ89" s="797"/>
      <c r="AR89" s="797"/>
      <c r="AS89" s="797"/>
      <c r="AT89" s="797"/>
      <c r="AU89" s="782">
        <f t="shared" ref="AU89:AU90" si="39">+O89</f>
        <v>1</v>
      </c>
      <c r="AV89" s="782"/>
      <c r="AW89" s="797"/>
      <c r="AX89" s="797"/>
      <c r="AY89" s="797"/>
      <c r="AZ89" s="797"/>
      <c r="BA89" s="797"/>
      <c r="BB89" s="797"/>
      <c r="BC89" s="797"/>
      <c r="BD89" s="797"/>
      <c r="BE89" s="797"/>
      <c r="BF89" s="782">
        <f t="shared" ref="BF89:BF90" si="40">+P89</f>
        <v>1</v>
      </c>
      <c r="BG89" s="782"/>
      <c r="BH89" s="797"/>
      <c r="BI89" s="702">
        <f>IFERROR(AVERAGE(AB89,AD89,AF89,AH89),0)</f>
        <v>1</v>
      </c>
      <c r="BJ89" s="702">
        <f>IFERROR(AVERAGE(AC89,AE89,AG89,AI89),0)</f>
        <v>0.25</v>
      </c>
      <c r="BK89" s="700">
        <f t="shared" si="11"/>
        <v>0.25</v>
      </c>
      <c r="BL89" s="700">
        <f t="shared" ref="BL89:BL90" si="41">(IF(AND(BJ89&gt;0,$J89&gt;0),BJ89/$J89,0)/4)*0.5</f>
        <v>3.125E-2</v>
      </c>
      <c r="BM89" s="701">
        <f t="shared" si="38"/>
        <v>1.5625E-2</v>
      </c>
      <c r="BN89" s="1257">
        <f>SUM(BM89:BM90)</f>
        <v>3.125E-2</v>
      </c>
      <c r="BO89" s="1187"/>
      <c r="BP89" s="824"/>
      <c r="BQ89" s="824"/>
    </row>
    <row r="90" spans="2:69" ht="69.75" customHeight="1">
      <c r="B90" s="1189"/>
      <c r="C90" s="1234"/>
      <c r="D90" s="1244"/>
      <c r="E90" s="1244"/>
      <c r="F90" s="1259"/>
      <c r="G90" s="1259"/>
      <c r="H90" s="734" t="str">
        <f>+'1.Informe Seguimiento POA 2022'!D94</f>
        <v>4.6.2 Desarrollar el 100% de los productos para comunicación y divulgación interna que contribuyan a la consecución de objetivos institucionales</v>
      </c>
      <c r="I90" s="733">
        <f>+'1.Informe Seguimiento POA 2022'!E94</f>
        <v>0.5</v>
      </c>
      <c r="J90" s="782">
        <f>+'1.Informe Seguimiento POA 2022'!F94</f>
        <v>1</v>
      </c>
      <c r="K90" s="787" t="str">
        <f>+'1.Informe Seguimiento POA 2022'!I94</f>
        <v>Comunicación Estratégica</v>
      </c>
      <c r="L90" s="787" t="str">
        <f>+'1.Informe Seguimiento POA 2022'!J94</f>
        <v>Oficina Asesora de Comunicaciones</v>
      </c>
      <c r="M90" s="721">
        <f>+'1.Informe Seguimiento POA 2022'!K94</f>
        <v>1</v>
      </c>
      <c r="N90" s="721">
        <f>+'1.Informe Seguimiento POA 2022'!L94</f>
        <v>1</v>
      </c>
      <c r="O90" s="721">
        <f>+'1.Informe Seguimiento POA 2022'!M94</f>
        <v>1</v>
      </c>
      <c r="P90" s="721">
        <f>+'1.Informe Seguimiento POA 2022'!N94</f>
        <v>1</v>
      </c>
      <c r="Q90" s="1099">
        <v>1</v>
      </c>
      <c r="R90" s="1099">
        <v>1</v>
      </c>
      <c r="S90" s="1099">
        <v>1</v>
      </c>
      <c r="T90" s="1099">
        <v>1</v>
      </c>
      <c r="U90" s="1099">
        <v>1</v>
      </c>
      <c r="V90" s="1099">
        <v>1</v>
      </c>
      <c r="W90" s="1099">
        <v>1</v>
      </c>
      <c r="X90" s="1099">
        <v>1</v>
      </c>
      <c r="Y90" s="703">
        <v>1</v>
      </c>
      <c r="Z90" s="703">
        <v>1</v>
      </c>
      <c r="AA90" s="703">
        <v>1</v>
      </c>
      <c r="AB90" s="789">
        <f>+'1.Informe Seguimiento POA 2022'!O94</f>
        <v>1</v>
      </c>
      <c r="AC90" s="789">
        <f>+'1.Informe Seguimiento POA 2022'!P94</f>
        <v>1</v>
      </c>
      <c r="AD90" s="789">
        <f>+'1.Informe Seguimiento POA 2022'!Q94</f>
        <v>1</v>
      </c>
      <c r="AE90" s="789">
        <f>+'1.Informe Seguimiento POA 2022'!R94</f>
        <v>0</v>
      </c>
      <c r="AF90" s="789">
        <f>+'1.Informe Seguimiento POA 2022'!S94</f>
        <v>1</v>
      </c>
      <c r="AG90" s="789">
        <f>+'1.Informe Seguimiento POA 2022'!T94</f>
        <v>0</v>
      </c>
      <c r="AH90" s="789">
        <f>+'1.Informe Seguimiento POA 2022'!U94</f>
        <v>1</v>
      </c>
      <c r="AI90" s="789">
        <f>+'1.Informe Seguimiento POA 2022'!V94</f>
        <v>0</v>
      </c>
      <c r="AJ90" s="703">
        <f>+'1.Informe Seguimiento POA 2022'!W94</f>
        <v>1</v>
      </c>
      <c r="AK90" s="703">
        <f>+'1.Informe Seguimiento POA 2022'!X94</f>
        <v>0.25</v>
      </c>
      <c r="AL90" s="703">
        <f>+'1.Informe Seguimiento POA 2022'!Y94</f>
        <v>6.25E-2</v>
      </c>
      <c r="AM90" s="797"/>
      <c r="AN90" s="797"/>
      <c r="AO90" s="797"/>
      <c r="AP90" s="797"/>
      <c r="AQ90" s="797"/>
      <c r="AR90" s="797"/>
      <c r="AS90" s="797"/>
      <c r="AT90" s="797"/>
      <c r="AU90" s="782">
        <f t="shared" si="39"/>
        <v>1</v>
      </c>
      <c r="AV90" s="782"/>
      <c r="AW90" s="797"/>
      <c r="AX90" s="797"/>
      <c r="AY90" s="797"/>
      <c r="AZ90" s="797"/>
      <c r="BA90" s="797"/>
      <c r="BB90" s="797"/>
      <c r="BC90" s="797"/>
      <c r="BD90" s="797"/>
      <c r="BE90" s="797"/>
      <c r="BF90" s="782">
        <f t="shared" si="40"/>
        <v>1</v>
      </c>
      <c r="BG90" s="782"/>
      <c r="BH90" s="797"/>
      <c r="BI90" s="702">
        <f>IFERROR(AVERAGE(AB90,AD90,AF90,AH90),0)</f>
        <v>1</v>
      </c>
      <c r="BJ90" s="702">
        <f>IFERROR(AVERAGE(AC90,AE90,AG90,AI90),0)</f>
        <v>0.25</v>
      </c>
      <c r="BK90" s="700">
        <f t="shared" si="11"/>
        <v>0.25</v>
      </c>
      <c r="BL90" s="700">
        <f t="shared" si="41"/>
        <v>3.125E-2</v>
      </c>
      <c r="BM90" s="701">
        <f t="shared" si="38"/>
        <v>1.5625E-2</v>
      </c>
      <c r="BN90" s="1258"/>
      <c r="BO90" s="1187"/>
      <c r="BP90" s="825"/>
      <c r="BQ90" s="825"/>
    </row>
    <row r="91" spans="2:69" ht="114" customHeight="1">
      <c r="B91" s="1190"/>
      <c r="C91" s="735" t="str">
        <f>+'Matriz PEI 2021-2024'!C26</f>
        <v>4.7. Articular el 100% de las acciones de trabajo interinstitucional y cooperación nacional e internacional que permita aunar esfuerzos para el cumplimiento de la misión institucional.</v>
      </c>
      <c r="D91" s="736">
        <f>+'Matriz PEI 2021-2024'!E26</f>
        <v>1</v>
      </c>
      <c r="E91" s="736">
        <f>+'Matriz PEI 2021-2024'!D26</f>
        <v>0.14000000000000001</v>
      </c>
      <c r="F91" s="735" t="s">
        <v>963</v>
      </c>
      <c r="G91" s="735" t="s">
        <v>964</v>
      </c>
      <c r="H91" s="705" t="str">
        <f>+'1.Informe Seguimiento POA 2022'!D95</f>
        <v>4.7.1 Gestionar 3 acuerdos interinstitucionales o de cooperación nacional y/o internacional para garantizar el enfoque social, en el marco de un estado pluralista, para el fortalecimiento de la prestación del servicio al usuario</v>
      </c>
      <c r="I91" s="152">
        <f>+'1.Informe Seguimiento POA 2022'!E95</f>
        <v>1</v>
      </c>
      <c r="J91" s="706">
        <f>+'1.Informe Seguimiento POA 2022'!F95</f>
        <v>3</v>
      </c>
      <c r="K91" s="707" t="str">
        <f>+'1.Informe Seguimiento POA 2022'!I95</f>
        <v>Servicio al Usuario</v>
      </c>
      <c r="L91" s="708" t="str">
        <f>+'1.Informe Seguimiento POA 2022'!J95</f>
        <v>Secretaría General</v>
      </c>
      <c r="M91" s="730">
        <f>+'1.Informe Seguimiento POA 2022'!K95</f>
        <v>1</v>
      </c>
      <c r="N91" s="730">
        <f>+'1.Informe Seguimiento POA 2022'!L95</f>
        <v>1</v>
      </c>
      <c r="O91" s="730">
        <f>+'1.Informe Seguimiento POA 2022'!M95</f>
        <v>1</v>
      </c>
      <c r="P91" s="730">
        <f>+'1.Informe Seguimiento POA 2022'!N95</f>
        <v>0</v>
      </c>
      <c r="Q91" s="1100">
        <v>0</v>
      </c>
      <c r="R91" s="1100">
        <v>0</v>
      </c>
      <c r="S91" s="1100">
        <v>0</v>
      </c>
      <c r="T91" s="1100">
        <v>0</v>
      </c>
      <c r="U91" s="1100">
        <v>0</v>
      </c>
      <c r="V91" s="1100">
        <v>0</v>
      </c>
      <c r="W91" s="1100">
        <v>1</v>
      </c>
      <c r="X91" s="1100">
        <v>2</v>
      </c>
      <c r="Y91" s="710">
        <v>1</v>
      </c>
      <c r="Z91" s="710">
        <v>2</v>
      </c>
      <c r="AA91" s="711">
        <v>2</v>
      </c>
      <c r="AB91" s="730">
        <f>+'1.Informe Seguimiento POA 2022'!O95</f>
        <v>0</v>
      </c>
      <c r="AC91" s="730">
        <f>+'1.Informe Seguimiento POA 2022'!P95</f>
        <v>0</v>
      </c>
      <c r="AD91" s="730">
        <f>+'1.Informe Seguimiento POA 2022'!Q95</f>
        <v>0</v>
      </c>
      <c r="AE91" s="730">
        <f>+'1.Informe Seguimiento POA 2022'!R95</f>
        <v>0</v>
      </c>
      <c r="AF91" s="730">
        <f>+'1.Informe Seguimiento POA 2022'!S95</f>
        <v>0</v>
      </c>
      <c r="AG91" s="730">
        <f>+'1.Informe Seguimiento POA 2022'!T95</f>
        <v>0</v>
      </c>
      <c r="AH91" s="730">
        <f>+'1.Informe Seguimiento POA 2022'!U95</f>
        <v>1</v>
      </c>
      <c r="AI91" s="730">
        <f>+'1.Informe Seguimiento POA 2022'!V95</f>
        <v>0</v>
      </c>
      <c r="AJ91" s="710">
        <f>+'1.Informe Seguimiento POA 2022'!W95</f>
        <v>1</v>
      </c>
      <c r="AK91" s="710">
        <f>+'1.Informe Seguimiento POA 2022'!X95</f>
        <v>0</v>
      </c>
      <c r="AL91" s="711">
        <f>+'1.Informe Seguimiento POA 2022'!Y95</f>
        <v>0</v>
      </c>
      <c r="AM91" s="711"/>
      <c r="AN91" s="711"/>
      <c r="AO91" s="711"/>
      <c r="AP91" s="711"/>
      <c r="AQ91" s="711"/>
      <c r="AR91" s="711"/>
      <c r="AS91" s="711"/>
      <c r="AT91" s="711"/>
      <c r="AU91" s="710">
        <f>+O91</f>
        <v>1</v>
      </c>
      <c r="AV91" s="710"/>
      <c r="AW91" s="711"/>
      <c r="AX91" s="711"/>
      <c r="AY91" s="711"/>
      <c r="AZ91" s="711"/>
      <c r="BA91" s="711"/>
      <c r="BB91" s="711"/>
      <c r="BC91" s="711"/>
      <c r="BD91" s="711"/>
      <c r="BE91" s="711"/>
      <c r="BF91" s="710">
        <f>+P91</f>
        <v>0</v>
      </c>
      <c r="BG91" s="710"/>
      <c r="BH91" s="711"/>
      <c r="BI91" s="796">
        <f t="shared" ref="BI91:BJ94" si="42">+AB91+AD91+AF91+AH91</f>
        <v>1</v>
      </c>
      <c r="BJ91" s="710">
        <f t="shared" si="42"/>
        <v>0</v>
      </c>
      <c r="BK91" s="813">
        <f t="shared" si="11"/>
        <v>0</v>
      </c>
      <c r="BL91" s="711">
        <f>IF(AND(AK91&gt;0,$J91&gt;0),AK91/$J91,0)</f>
        <v>0</v>
      </c>
      <c r="BM91" s="711">
        <f t="shared" si="38"/>
        <v>0</v>
      </c>
      <c r="BN91" s="817">
        <f>+BM91</f>
        <v>0</v>
      </c>
      <c r="BO91" s="1188"/>
      <c r="BP91" s="824"/>
      <c r="BQ91" s="824"/>
    </row>
    <row r="92" spans="2:69" ht="93.75" customHeight="1">
      <c r="B92" s="1165" t="str">
        <f>+'Matriz PEI 2021-2024'!B27</f>
        <v xml:space="preserve">5. Incorporar una cultura del conocimiento y la innovación a través de actividades que permitan el desarrollo de ideas, lecciones aprendidas e investigaciones para mejorar los resultados de la gestión institucional. </v>
      </c>
      <c r="C92" s="737" t="str">
        <f>+'Matriz PEI 2021-2024'!C27</f>
        <v>5.1 Generar el 100% de productos de nuevo conocimiento o transformar los existentes, alineados con proyectos resultados de la investigación, desarrollo e innovación (I+D+I) en la Entidad.</v>
      </c>
      <c r="D92" s="738">
        <f>+'Matriz PEI 2021-2024'!E27</f>
        <v>1</v>
      </c>
      <c r="E92" s="738">
        <f>+'Matriz PEI 2021-2024'!D27</f>
        <v>0.4</v>
      </c>
      <c r="F92" s="783" t="s">
        <v>991</v>
      </c>
      <c r="G92" s="737" t="s">
        <v>965</v>
      </c>
      <c r="H92" s="734" t="str">
        <f>+'1.Informe Seguimiento POA 2022'!D96</f>
        <v xml:space="preserve">5.1.1 Elaborar cuatro (4) proyectos de investigación, desarrollo e innovación I+D+I para la Entidad </v>
      </c>
      <c r="I92" s="733">
        <f>+'1.Informe Seguimiento POA 2022'!E96</f>
        <v>0.5</v>
      </c>
      <c r="J92" s="697">
        <f>+'1.Informe Seguimiento POA 2022'!F96</f>
        <v>4</v>
      </c>
      <c r="K92" s="787" t="str">
        <f>+'1.Informe Seguimiento POA 2022'!I96</f>
        <v xml:space="preserve">Gestión del Conocimiento e Innovación </v>
      </c>
      <c r="L92" s="787" t="str">
        <f>+'1.Informe Seguimiento POA 2022'!J96</f>
        <v xml:space="preserve">Dirección de Gestión del Conocimiento e Innovación </v>
      </c>
      <c r="M92" s="723">
        <f>+'1.Informe Seguimiento POA 2022'!K96</f>
        <v>1</v>
      </c>
      <c r="N92" s="723">
        <f>+'1.Informe Seguimiento POA 2022'!L96</f>
        <v>1</v>
      </c>
      <c r="O92" s="723">
        <f>+'1.Informe Seguimiento POA 2022'!M96</f>
        <v>1</v>
      </c>
      <c r="P92" s="723">
        <f>+'1.Informe Seguimiento POA 2022'!N96</f>
        <v>1</v>
      </c>
      <c r="Q92" s="901">
        <v>0</v>
      </c>
      <c r="R92" s="901">
        <v>0</v>
      </c>
      <c r="S92" s="901">
        <v>0</v>
      </c>
      <c r="T92" s="901">
        <v>0</v>
      </c>
      <c r="U92" s="901">
        <v>0</v>
      </c>
      <c r="V92" s="901">
        <v>0</v>
      </c>
      <c r="W92" s="901">
        <v>1</v>
      </c>
      <c r="X92" s="901">
        <v>1</v>
      </c>
      <c r="Y92" s="1101">
        <v>1</v>
      </c>
      <c r="Z92" s="1101">
        <v>1</v>
      </c>
      <c r="AA92" s="732">
        <v>1</v>
      </c>
      <c r="AB92" s="698">
        <f>+'1.Informe Seguimiento POA 2022'!O96</f>
        <v>0</v>
      </c>
      <c r="AC92" s="698">
        <f>+'1.Informe Seguimiento POA 2022'!P96</f>
        <v>0</v>
      </c>
      <c r="AD92" s="698">
        <f>+'1.Informe Seguimiento POA 2022'!Q96</f>
        <v>0</v>
      </c>
      <c r="AE92" s="698">
        <f>+'1.Informe Seguimiento POA 2022'!R96</f>
        <v>0</v>
      </c>
      <c r="AF92" s="698">
        <f>+'1.Informe Seguimiento POA 2022'!S96</f>
        <v>0</v>
      </c>
      <c r="AG92" s="698">
        <f>+'1.Informe Seguimiento POA 2022'!T96</f>
        <v>0</v>
      </c>
      <c r="AH92" s="698">
        <f>+'1.Informe Seguimiento POA 2022'!U96</f>
        <v>1</v>
      </c>
      <c r="AI92" s="698">
        <f>+'1.Informe Seguimiento POA 2022'!V96</f>
        <v>0</v>
      </c>
      <c r="AJ92" s="723">
        <f>+'1.Informe Seguimiento POA 2022'!W96</f>
        <v>1</v>
      </c>
      <c r="AK92" s="723">
        <f>+'1.Informe Seguimiento POA 2022'!X96</f>
        <v>0</v>
      </c>
      <c r="AL92" s="732">
        <f>+'1.Informe Seguimiento POA 2022'!Y96</f>
        <v>0</v>
      </c>
      <c r="AM92" s="797"/>
      <c r="AN92" s="797"/>
      <c r="AO92" s="797"/>
      <c r="AP92" s="797"/>
      <c r="AQ92" s="797"/>
      <c r="AR92" s="797"/>
      <c r="AS92" s="797"/>
      <c r="AT92" s="797"/>
      <c r="AU92" s="723">
        <f t="shared" ref="AU92:AU94" si="43">+O92</f>
        <v>1</v>
      </c>
      <c r="AV92" s="723"/>
      <c r="AW92" s="797"/>
      <c r="AX92" s="797"/>
      <c r="AY92" s="797"/>
      <c r="AZ92" s="797"/>
      <c r="BA92" s="797"/>
      <c r="BB92" s="797"/>
      <c r="BC92" s="797"/>
      <c r="BD92" s="797"/>
      <c r="BE92" s="797"/>
      <c r="BF92" s="723">
        <f t="shared" ref="BF92:BF94" si="44">+P92</f>
        <v>1</v>
      </c>
      <c r="BG92" s="723"/>
      <c r="BH92" s="797"/>
      <c r="BI92" s="800">
        <f t="shared" si="42"/>
        <v>1</v>
      </c>
      <c r="BJ92" s="800">
        <f t="shared" si="42"/>
        <v>0</v>
      </c>
      <c r="BK92" s="700">
        <f t="shared" si="11"/>
        <v>0</v>
      </c>
      <c r="BL92" s="700">
        <f>IF(AND(AK92&gt;0,$J92&gt;0),AK92/$J92,0)</f>
        <v>0</v>
      </c>
      <c r="BM92" s="739">
        <f t="shared" si="38"/>
        <v>0</v>
      </c>
      <c r="BN92" s="818">
        <f>+BM92</f>
        <v>0</v>
      </c>
      <c r="BO92" s="1214">
        <f>(IF(AND(BN92&gt;0,E92&gt;0),BN92*E92))+(IF(AND(BN93&gt;0,E93&gt;0),BN93*E93))+(IF(AND(BN94&gt;0,E94&gt;0),BN94*E94))</f>
        <v>3.3750000000000002E-2</v>
      </c>
      <c r="BP92" s="826"/>
      <c r="BQ92" s="826"/>
    </row>
    <row r="93" spans="2:69" ht="102" customHeight="1">
      <c r="B93" s="1166"/>
      <c r="C93" s="740" t="str">
        <f>+'Matriz PEI 2021-2024'!C28</f>
        <v>5.2 Formular el 100% de herramientas y acciones que permitan categorizar, preservar y utilizar el conocimiento para la toma de decisiones y compartir fácilmente los datos y la información de la Entidad.</v>
      </c>
      <c r="D93" s="738">
        <f>+'Matriz PEI 2021-2024'!E28</f>
        <v>1</v>
      </c>
      <c r="E93" s="738">
        <f>+'Matriz PEI 2021-2024'!D28</f>
        <v>0.3</v>
      </c>
      <c r="F93" s="783" t="s">
        <v>966</v>
      </c>
      <c r="G93" s="740" t="s">
        <v>967</v>
      </c>
      <c r="H93" s="734" t="str">
        <f>+'1.Informe Seguimiento POA 2022'!D98</f>
        <v xml:space="preserve">5.2.1 Construir ocho (8) informes de investigación e innovación que reflejen la analítica institucional </v>
      </c>
      <c r="I93" s="733">
        <f>+'1.Informe Seguimiento POA 2022'!E98</f>
        <v>1</v>
      </c>
      <c r="J93" s="697">
        <f>+'1.Informe Seguimiento POA 2022'!F98</f>
        <v>8</v>
      </c>
      <c r="K93" s="787" t="str">
        <f>+'1.Informe Seguimiento POA 2022'!I98</f>
        <v xml:space="preserve">Gestión del Conocimiento e Innovación </v>
      </c>
      <c r="L93" s="787" t="str">
        <f>+'1.Informe Seguimiento POA 2022'!J98</f>
        <v xml:space="preserve">Dirección de Gestión del Conocimiento e Innovación </v>
      </c>
      <c r="M93" s="723">
        <f>+'1.Informe Seguimiento POA 2022'!K98</f>
        <v>2</v>
      </c>
      <c r="N93" s="723">
        <f>+'1.Informe Seguimiento POA 2022'!L98</f>
        <v>2</v>
      </c>
      <c r="O93" s="723">
        <f>+'1.Informe Seguimiento POA 2022'!M98</f>
        <v>3</v>
      </c>
      <c r="P93" s="723">
        <f>+'1.Informe Seguimiento POA 2022'!N98</f>
        <v>1</v>
      </c>
      <c r="Q93" s="901">
        <v>0</v>
      </c>
      <c r="R93" s="901">
        <v>0</v>
      </c>
      <c r="S93" s="901">
        <v>1</v>
      </c>
      <c r="T93" s="901">
        <v>1</v>
      </c>
      <c r="U93" s="901">
        <v>0</v>
      </c>
      <c r="V93" s="901">
        <v>0</v>
      </c>
      <c r="W93" s="901">
        <v>1</v>
      </c>
      <c r="X93" s="901">
        <v>1</v>
      </c>
      <c r="Y93" s="1101">
        <v>2</v>
      </c>
      <c r="Z93" s="1101">
        <v>2</v>
      </c>
      <c r="AA93" s="732">
        <v>1</v>
      </c>
      <c r="AB93" s="698">
        <f>+'1.Informe Seguimiento POA 2022'!O98</f>
        <v>0</v>
      </c>
      <c r="AC93" s="698">
        <f>+'1.Informe Seguimiento POA 2022'!P98</f>
        <v>0</v>
      </c>
      <c r="AD93" s="698">
        <f>+'1.Informe Seguimiento POA 2022'!Q98</f>
        <v>1</v>
      </c>
      <c r="AE93" s="698">
        <f>+'1.Informe Seguimiento POA 2022'!R98</f>
        <v>0</v>
      </c>
      <c r="AF93" s="698">
        <f>+'1.Informe Seguimiento POA 2022'!S98</f>
        <v>0</v>
      </c>
      <c r="AG93" s="698">
        <f>+'1.Informe Seguimiento POA 2022'!T98</f>
        <v>0</v>
      </c>
      <c r="AH93" s="698">
        <f>+'1.Informe Seguimiento POA 2022'!U98</f>
        <v>1</v>
      </c>
      <c r="AI93" s="698">
        <f>+'1.Informe Seguimiento POA 2022'!V98</f>
        <v>0</v>
      </c>
      <c r="AJ93" s="723">
        <f>+'1.Informe Seguimiento POA 2022'!W98</f>
        <v>2</v>
      </c>
      <c r="AK93" s="723">
        <f>+'1.Informe Seguimiento POA 2022'!X98</f>
        <v>0</v>
      </c>
      <c r="AL93" s="732">
        <f>+'1.Informe Seguimiento POA 2022'!Y98</f>
        <v>0</v>
      </c>
      <c r="AM93" s="797"/>
      <c r="AN93" s="797"/>
      <c r="AO93" s="797"/>
      <c r="AP93" s="797"/>
      <c r="AQ93" s="797"/>
      <c r="AR93" s="797"/>
      <c r="AS93" s="797"/>
      <c r="AT93" s="797"/>
      <c r="AU93" s="723">
        <f t="shared" si="43"/>
        <v>3</v>
      </c>
      <c r="AV93" s="723"/>
      <c r="AW93" s="797"/>
      <c r="AX93" s="797"/>
      <c r="AY93" s="797"/>
      <c r="AZ93" s="797"/>
      <c r="BA93" s="797"/>
      <c r="BB93" s="797"/>
      <c r="BC93" s="797"/>
      <c r="BD93" s="797"/>
      <c r="BE93" s="797"/>
      <c r="BF93" s="723">
        <f t="shared" si="44"/>
        <v>1</v>
      </c>
      <c r="BG93" s="723"/>
      <c r="BH93" s="797"/>
      <c r="BI93" s="800">
        <f t="shared" si="42"/>
        <v>2</v>
      </c>
      <c r="BJ93" s="800">
        <f t="shared" si="42"/>
        <v>0</v>
      </c>
      <c r="BK93" s="700">
        <f t="shared" ref="BK93:BK94" si="45">IF(AND(BI93&gt;0),BJ93/BI93,"No programado")</f>
        <v>0</v>
      </c>
      <c r="BL93" s="700">
        <f>IF(AND(AK93&gt;0,$J93&gt;0),AK93/$J93,0)</f>
        <v>0</v>
      </c>
      <c r="BM93" s="739">
        <f t="shared" si="38"/>
        <v>0</v>
      </c>
      <c r="BN93" s="818">
        <f>+BM93</f>
        <v>0</v>
      </c>
      <c r="BO93" s="1215"/>
      <c r="BP93" s="826"/>
      <c r="BQ93" s="826"/>
    </row>
    <row r="94" spans="2:69" ht="124.5" customHeight="1" thickBot="1">
      <c r="B94" s="1171"/>
      <c r="C94" s="741" t="str">
        <f>+'Matriz PEI 2021-2024'!C29</f>
        <v xml:space="preserve">5.3 Desarrollar el 100% de espacios y mecanismos para la difusión del conocimiento, mediante la creación de alianzas efectivas y apropiación de la memoria institucional a través del proceso de enseñanza-aprendizaje organizacional. </v>
      </c>
      <c r="D94" s="738">
        <f>+'Matriz PEI 2021-2024'!E29</f>
        <v>1</v>
      </c>
      <c r="E94" s="738">
        <f>+'Matriz PEI 2021-2024'!D29</f>
        <v>0.3</v>
      </c>
      <c r="F94" s="783" t="s">
        <v>968</v>
      </c>
      <c r="G94" s="741" t="s">
        <v>969</v>
      </c>
      <c r="H94" s="734" t="str">
        <f>+'1.Informe Seguimiento POA 2022'!D99</f>
        <v>5.3.1 Desarrollar ochenta (80) actividades de apropiación social del conocimiento para la creación de la cultura de la investigación e innovación.</v>
      </c>
      <c r="I94" s="733">
        <f>+'1.Informe Seguimiento POA 2022'!E99</f>
        <v>1</v>
      </c>
      <c r="J94" s="697">
        <f>+'1.Informe Seguimiento POA 2022'!F99</f>
        <v>80</v>
      </c>
      <c r="K94" s="787" t="str">
        <f>+'1.Informe Seguimiento POA 2022'!I99</f>
        <v xml:space="preserve">Gestión del Conocimiento e Innovación </v>
      </c>
      <c r="L94" s="787" t="str">
        <f>+'1.Informe Seguimiento POA 2022'!J99</f>
        <v xml:space="preserve">Dirección de Gestión del Conocimiento e Innovación </v>
      </c>
      <c r="M94" s="723">
        <f>+'1.Informe Seguimiento POA 2022'!K99</f>
        <v>3</v>
      </c>
      <c r="N94" s="723">
        <f>+'1.Informe Seguimiento POA 2022'!L99</f>
        <v>38</v>
      </c>
      <c r="O94" s="723">
        <f>+'1.Informe Seguimiento POA 2022'!M99</f>
        <v>39</v>
      </c>
      <c r="P94" s="723">
        <f>+'1.Informe Seguimiento POA 2022'!N99</f>
        <v>0</v>
      </c>
      <c r="Q94" s="901">
        <v>0</v>
      </c>
      <c r="R94" s="901">
        <v>1</v>
      </c>
      <c r="S94" s="901">
        <v>1</v>
      </c>
      <c r="T94" s="901">
        <v>2</v>
      </c>
      <c r="U94" s="901">
        <v>1</v>
      </c>
      <c r="V94" s="901">
        <v>0</v>
      </c>
      <c r="W94" s="901">
        <v>1</v>
      </c>
      <c r="X94" s="901">
        <v>0</v>
      </c>
      <c r="Y94" s="1101">
        <v>3</v>
      </c>
      <c r="Z94" s="1101">
        <v>3</v>
      </c>
      <c r="AA94" s="732">
        <v>1</v>
      </c>
      <c r="AB94" s="698">
        <f>+'1.Informe Seguimiento POA 2022'!O99</f>
        <v>6</v>
      </c>
      <c r="AC94" s="698">
        <f>+'1.Informe Seguimiento POA 2022'!P99</f>
        <v>9</v>
      </c>
      <c r="AD94" s="698">
        <f>+'1.Informe Seguimiento POA 2022'!Q99</f>
        <v>12</v>
      </c>
      <c r="AE94" s="698">
        <f>+'1.Informe Seguimiento POA 2022'!R99</f>
        <v>0</v>
      </c>
      <c r="AF94" s="698">
        <f>+'1.Informe Seguimiento POA 2022'!S99</f>
        <v>12</v>
      </c>
      <c r="AG94" s="698">
        <f>+'1.Informe Seguimiento POA 2022'!T99</f>
        <v>0</v>
      </c>
      <c r="AH94" s="698">
        <f>+'1.Informe Seguimiento POA 2022'!U99</f>
        <v>8</v>
      </c>
      <c r="AI94" s="698">
        <f>+'1.Informe Seguimiento POA 2022'!V99</f>
        <v>0</v>
      </c>
      <c r="AJ94" s="723">
        <f>+'1.Informe Seguimiento POA 2022'!W99</f>
        <v>38</v>
      </c>
      <c r="AK94" s="723">
        <f>+'1.Informe Seguimiento POA 2022'!X99</f>
        <v>9</v>
      </c>
      <c r="AL94" s="732">
        <f>+'1.Informe Seguimiento POA 2022'!Y99</f>
        <v>0.23684210526315788</v>
      </c>
      <c r="AM94" s="797"/>
      <c r="AN94" s="797"/>
      <c r="AO94" s="797"/>
      <c r="AP94" s="797"/>
      <c r="AQ94" s="797"/>
      <c r="AR94" s="797"/>
      <c r="AS94" s="797"/>
      <c r="AT94" s="797"/>
      <c r="AU94" s="723">
        <f t="shared" si="43"/>
        <v>39</v>
      </c>
      <c r="AV94" s="723"/>
      <c r="AW94" s="797"/>
      <c r="AX94" s="797"/>
      <c r="AY94" s="797"/>
      <c r="AZ94" s="797"/>
      <c r="BA94" s="797"/>
      <c r="BB94" s="797"/>
      <c r="BC94" s="797"/>
      <c r="BD94" s="797"/>
      <c r="BE94" s="797"/>
      <c r="BF94" s="723">
        <f t="shared" si="44"/>
        <v>0</v>
      </c>
      <c r="BG94" s="723"/>
      <c r="BH94" s="797"/>
      <c r="BI94" s="800">
        <f t="shared" si="42"/>
        <v>38</v>
      </c>
      <c r="BJ94" s="800">
        <f t="shared" si="42"/>
        <v>9</v>
      </c>
      <c r="BK94" s="700">
        <f t="shared" si="45"/>
        <v>0.23684210526315788</v>
      </c>
      <c r="BL94" s="700">
        <f>IF(AND(AK94&gt;0,$J94&gt;0),AK94/$J94,0)</f>
        <v>0.1125</v>
      </c>
      <c r="BM94" s="739">
        <f t="shared" si="38"/>
        <v>0.1125</v>
      </c>
      <c r="BN94" s="818">
        <f>+BM94</f>
        <v>0.1125</v>
      </c>
      <c r="BO94" s="1216"/>
      <c r="BP94" s="826"/>
      <c r="BQ94" s="826"/>
    </row>
    <row r="95" spans="2:69" ht="18" thickBot="1">
      <c r="B95" s="742"/>
      <c r="C95" s="743"/>
      <c r="D95" s="743"/>
      <c r="E95" s="744"/>
      <c r="F95" s="744"/>
      <c r="G95" s="744"/>
      <c r="H95" s="743"/>
      <c r="I95" s="743"/>
      <c r="J95" s="743"/>
      <c r="K95" s="743"/>
      <c r="L95" s="743"/>
      <c r="M95" s="743"/>
      <c r="N95" s="743"/>
      <c r="O95" s="743"/>
      <c r="P95" s="743"/>
      <c r="Q95" s="743"/>
      <c r="R95" s="743"/>
      <c r="S95" s="743"/>
      <c r="T95" s="743"/>
      <c r="U95" s="743"/>
      <c r="V95" s="743"/>
      <c r="W95" s="743"/>
      <c r="X95" s="743"/>
      <c r="Y95" s="743"/>
      <c r="Z95" s="743"/>
      <c r="AA95" s="743"/>
      <c r="AB95" s="745"/>
      <c r="AC95" s="745"/>
      <c r="AD95" s="745"/>
      <c r="AE95" s="745"/>
      <c r="AF95" s="745"/>
      <c r="AG95" s="745"/>
      <c r="AH95" s="745"/>
      <c r="AI95" s="745"/>
      <c r="AJ95" s="745"/>
      <c r="AK95" s="745"/>
      <c r="AL95" s="745"/>
      <c r="AM95" s="745"/>
      <c r="AN95" s="745"/>
      <c r="AO95" s="745"/>
      <c r="AP95" s="745"/>
      <c r="AQ95" s="745"/>
      <c r="AR95" s="745"/>
      <c r="AS95" s="745"/>
      <c r="AT95" s="745"/>
      <c r="AU95" s="745"/>
      <c r="AV95" s="745"/>
      <c r="AW95" s="745"/>
      <c r="AX95" s="745"/>
      <c r="AY95" s="745"/>
      <c r="AZ95" s="745"/>
      <c r="BA95" s="745"/>
      <c r="BB95" s="745"/>
      <c r="BC95" s="745"/>
      <c r="BD95" s="745"/>
      <c r="BE95" s="745"/>
      <c r="BF95" s="745"/>
      <c r="BG95" s="745"/>
      <c r="BH95" s="745"/>
      <c r="BI95" s="745"/>
      <c r="BJ95" s="745"/>
      <c r="BK95" s="745"/>
      <c r="BL95" s="834">
        <f>AVERAGE(BL9:BL94)</f>
        <v>5.208558191689347E-2</v>
      </c>
      <c r="BM95" s="743"/>
      <c r="BN95" s="835">
        <f>AVERAGE(BN9:BN94)</f>
        <v>4.2286545687339867E-2</v>
      </c>
      <c r="BO95" s="834">
        <f>AVERAGE(BO9:BO94)</f>
        <v>4.267315602795195E-2</v>
      </c>
      <c r="BP95" s="827"/>
      <c r="BQ95" s="827"/>
    </row>
    <row r="96" spans="2:69" ht="13.5" customHeight="1">
      <c r="B96" s="43"/>
      <c r="C96" s="43"/>
      <c r="D96" s="43"/>
      <c r="E96" s="44"/>
      <c r="F96" s="44"/>
      <c r="G96" s="44"/>
      <c r="H96" s="43"/>
      <c r="I96" s="44"/>
      <c r="J96" s="44"/>
      <c r="K96" s="43"/>
      <c r="L96" s="43"/>
      <c r="M96" s="43"/>
      <c r="N96" s="43"/>
      <c r="O96" s="43"/>
      <c r="P96" s="43"/>
      <c r="Q96" s="43"/>
      <c r="R96" s="43"/>
      <c r="S96" s="43"/>
      <c r="T96" s="43"/>
      <c r="U96" s="43"/>
      <c r="V96" s="43"/>
      <c r="W96" s="43"/>
      <c r="X96" s="43"/>
      <c r="Y96" s="43"/>
    </row>
    <row r="97" spans="2:25" ht="15" customHeight="1">
      <c r="B97" s="43"/>
      <c r="C97" s="43"/>
      <c r="D97" s="43"/>
      <c r="E97" s="44"/>
      <c r="F97" s="44"/>
      <c r="G97" s="44"/>
      <c r="H97" s="43"/>
      <c r="I97" s="44"/>
      <c r="J97" s="44"/>
      <c r="K97" s="43"/>
      <c r="L97" s="43"/>
      <c r="M97" s="43"/>
      <c r="N97" s="43"/>
      <c r="O97" s="43"/>
      <c r="P97" s="43"/>
      <c r="Q97" s="43"/>
      <c r="R97" s="43"/>
      <c r="S97" s="43"/>
      <c r="T97" s="43"/>
      <c r="U97" s="43"/>
      <c r="V97" s="43"/>
      <c r="W97" s="43"/>
      <c r="X97" s="43"/>
      <c r="Y97" s="43"/>
    </row>
    <row r="98" spans="2:25" ht="15" customHeight="1">
      <c r="B98" s="43"/>
      <c r="C98" s="43"/>
      <c r="D98" s="43"/>
      <c r="E98" s="44"/>
      <c r="F98" s="44"/>
      <c r="G98" s="44"/>
      <c r="H98" s="43"/>
      <c r="I98" s="44"/>
      <c r="J98" s="44"/>
      <c r="K98" s="671"/>
      <c r="L98" s="671"/>
      <c r="M98" s="671"/>
      <c r="N98" s="671"/>
      <c r="O98" s="671"/>
      <c r="P98" s="671"/>
      <c r="Q98" s="671"/>
      <c r="R98" s="671"/>
      <c r="S98" s="671"/>
      <c r="T98" s="671"/>
      <c r="U98" s="671"/>
      <c r="V98" s="671"/>
      <c r="W98" s="671"/>
      <c r="X98" s="671"/>
      <c r="Y98" s="671"/>
    </row>
    <row r="99" spans="2:25" ht="15" customHeight="1">
      <c r="B99" s="43"/>
      <c r="C99" s="43" t="s">
        <v>1035</v>
      </c>
      <c r="D99" s="43"/>
      <c r="E99" s="44"/>
      <c r="F99" s="44"/>
      <c r="G99" s="44"/>
      <c r="H99" s="43"/>
      <c r="I99" s="44"/>
      <c r="J99" s="44"/>
      <c r="K99" s="43"/>
      <c r="L99" s="43"/>
      <c r="M99" s="43"/>
      <c r="N99" s="43"/>
      <c r="O99" s="43"/>
      <c r="P99" s="43"/>
      <c r="Q99" s="43"/>
      <c r="R99" s="43"/>
      <c r="S99" s="43"/>
      <c r="T99" s="43"/>
      <c r="U99" s="43"/>
      <c r="V99" s="43"/>
      <c r="W99" s="43"/>
      <c r="X99" s="43"/>
      <c r="Y99" s="43"/>
    </row>
    <row r="100" spans="2:25" ht="15" customHeight="1">
      <c r="B100" s="43"/>
      <c r="C100" s="43"/>
      <c r="D100" s="43"/>
      <c r="E100" s="44"/>
      <c r="F100" s="44"/>
      <c r="G100" s="44"/>
      <c r="H100" s="43"/>
      <c r="I100" s="44"/>
      <c r="J100" s="44"/>
      <c r="K100" s="671"/>
      <c r="L100" s="671"/>
      <c r="M100" s="671"/>
      <c r="N100" s="671"/>
      <c r="O100" s="671"/>
      <c r="P100" s="671"/>
      <c r="Q100" s="671"/>
      <c r="R100" s="671"/>
      <c r="S100" s="671"/>
      <c r="T100" s="671"/>
      <c r="U100" s="671"/>
      <c r="V100" s="671"/>
      <c r="W100" s="671"/>
      <c r="X100" s="671"/>
      <c r="Y100" s="671"/>
    </row>
  </sheetData>
  <mergeCells count="158">
    <mergeCell ref="BO92:BO94"/>
    <mergeCell ref="BO7:BO8"/>
    <mergeCell ref="BI6:BO6"/>
    <mergeCell ref="BO9:BO28"/>
    <mergeCell ref="BN29:BN30"/>
    <mergeCell ref="BN31:BN32"/>
    <mergeCell ref="BN33:BN35"/>
    <mergeCell ref="BO29:BO35"/>
    <mergeCell ref="BO36:BO43"/>
    <mergeCell ref="BO44:BO91"/>
    <mergeCell ref="BM7:BM8"/>
    <mergeCell ref="BN7:BN8"/>
    <mergeCell ref="BI7:BJ7"/>
    <mergeCell ref="BN20:BN25"/>
    <mergeCell ref="BM80:BM82"/>
    <mergeCell ref="BN65:BN82"/>
    <mergeCell ref="BN36:BN37"/>
    <mergeCell ref="BN38:BN39"/>
    <mergeCell ref="BN41:BN43"/>
    <mergeCell ref="F89:F90"/>
    <mergeCell ref="G89:G90"/>
    <mergeCell ref="BN83:BN88"/>
    <mergeCell ref="G44:G50"/>
    <mergeCell ref="BN44:BN50"/>
    <mergeCell ref="F60:F63"/>
    <mergeCell ref="G60:G63"/>
    <mergeCell ref="F65:F66"/>
    <mergeCell ref="G65:G66"/>
    <mergeCell ref="F67:F69"/>
    <mergeCell ref="G67:G69"/>
    <mergeCell ref="G73:G74"/>
    <mergeCell ref="M6:P6"/>
    <mergeCell ref="Q6:AA6"/>
    <mergeCell ref="AB6:AL6"/>
    <mergeCell ref="AB7:AC7"/>
    <mergeCell ref="AD7:AE7"/>
    <mergeCell ref="AF7:AG7"/>
    <mergeCell ref="AH7:AI7"/>
    <mergeCell ref="AL7:AL8"/>
    <mergeCell ref="AM7:AN7"/>
    <mergeCell ref="AM6:AW6"/>
    <mergeCell ref="B6:B8"/>
    <mergeCell ref="C6:C8"/>
    <mergeCell ref="D6:D8"/>
    <mergeCell ref="E6:E8"/>
    <mergeCell ref="F6:F8"/>
    <mergeCell ref="G6:G8"/>
    <mergeCell ref="H6:H8"/>
    <mergeCell ref="I6:I8"/>
    <mergeCell ref="J6:J8"/>
    <mergeCell ref="AX6:BH6"/>
    <mergeCell ref="Q7:R7"/>
    <mergeCell ref="S7:T7"/>
    <mergeCell ref="U7:V7"/>
    <mergeCell ref="W7:X7"/>
    <mergeCell ref="Y7:Y8"/>
    <mergeCell ref="Z7:Z8"/>
    <mergeCell ref="AA7:AA8"/>
    <mergeCell ref="AO7:AP7"/>
    <mergeCell ref="AQ7:AR7"/>
    <mergeCell ref="E9:E19"/>
    <mergeCell ref="F9:F18"/>
    <mergeCell ref="G9:G18"/>
    <mergeCell ref="BN9:BN19"/>
    <mergeCell ref="C20:C25"/>
    <mergeCell ref="BB7:BC7"/>
    <mergeCell ref="BD7:BE7"/>
    <mergeCell ref="BF7:BF8"/>
    <mergeCell ref="BG7:BG8"/>
    <mergeCell ref="BH7:BH8"/>
    <mergeCell ref="BL7:BL8"/>
    <mergeCell ref="AS7:AT7"/>
    <mergeCell ref="AU7:AU8"/>
    <mergeCell ref="AV7:AV8"/>
    <mergeCell ref="AW7:AW8"/>
    <mergeCell ref="AX7:AY7"/>
    <mergeCell ref="AZ7:BA7"/>
    <mergeCell ref="AJ7:AJ8"/>
    <mergeCell ref="AK7:AK8"/>
    <mergeCell ref="E20:E25"/>
    <mergeCell ref="F20:F25"/>
    <mergeCell ref="G20:G25"/>
    <mergeCell ref="K6:K8"/>
    <mergeCell ref="L6:L8"/>
    <mergeCell ref="B29:B35"/>
    <mergeCell ref="C29:C30"/>
    <mergeCell ref="E29:E30"/>
    <mergeCell ref="D29:D30"/>
    <mergeCell ref="D31:D32"/>
    <mergeCell ref="D33:D35"/>
    <mergeCell ref="C33:C35"/>
    <mergeCell ref="E33:E35"/>
    <mergeCell ref="C31:C32"/>
    <mergeCell ref="E31:E32"/>
    <mergeCell ref="D65:D82"/>
    <mergeCell ref="H80:H82"/>
    <mergeCell ref="D51:D56"/>
    <mergeCell ref="D57:D64"/>
    <mergeCell ref="C83:C88"/>
    <mergeCell ref="I80:I82"/>
    <mergeCell ref="F73:F74"/>
    <mergeCell ref="B36:B43"/>
    <mergeCell ref="C36:C37"/>
    <mergeCell ref="D36:D37"/>
    <mergeCell ref="E36:E37"/>
    <mergeCell ref="C38:C39"/>
    <mergeCell ref="D38:D39"/>
    <mergeCell ref="E65:E82"/>
    <mergeCell ref="F83:F88"/>
    <mergeCell ref="G83:G88"/>
    <mergeCell ref="C89:C90"/>
    <mergeCell ref="D89:D90"/>
    <mergeCell ref="BN89:BN90"/>
    <mergeCell ref="F75:F79"/>
    <mergeCell ref="G75:G79"/>
    <mergeCell ref="F80:F82"/>
    <mergeCell ref="G80:G82"/>
    <mergeCell ref="B9:B28"/>
    <mergeCell ref="B92:B94"/>
    <mergeCell ref="D83:D88"/>
    <mergeCell ref="E83:E88"/>
    <mergeCell ref="E89:E90"/>
    <mergeCell ref="C57:C64"/>
    <mergeCell ref="BN57:BN64"/>
    <mergeCell ref="H78:H79"/>
    <mergeCell ref="I78:I79"/>
    <mergeCell ref="BM78:BM79"/>
    <mergeCell ref="E57:E64"/>
    <mergeCell ref="B44:B91"/>
    <mergeCell ref="C44:C50"/>
    <mergeCell ref="D44:D50"/>
    <mergeCell ref="E44:E50"/>
    <mergeCell ref="F44:F50"/>
    <mergeCell ref="C65:C82"/>
    <mergeCell ref="C2:L2"/>
    <mergeCell ref="C51:C56"/>
    <mergeCell ref="BN51:BN56"/>
    <mergeCell ref="E51:E56"/>
    <mergeCell ref="E38:E39"/>
    <mergeCell ref="C41:C43"/>
    <mergeCell ref="D41:D43"/>
    <mergeCell ref="E41:E43"/>
    <mergeCell ref="F41:F43"/>
    <mergeCell ref="C26:C28"/>
    <mergeCell ref="E26:E28"/>
    <mergeCell ref="F26:F28"/>
    <mergeCell ref="G26:G28"/>
    <mergeCell ref="BN26:BN28"/>
    <mergeCell ref="D20:D25"/>
    <mergeCell ref="G33:G35"/>
    <mergeCell ref="F29:F30"/>
    <mergeCell ref="G29:G30"/>
    <mergeCell ref="D26:D28"/>
    <mergeCell ref="F33:F35"/>
    <mergeCell ref="F31:F32"/>
    <mergeCell ref="G31:G32"/>
    <mergeCell ref="C9:C19"/>
    <mergeCell ref="D9:D19"/>
  </mergeCells>
  <conditionalFormatting sqref="BK9:BK28">
    <cfRule type="expression" dxfId="1025" priority="31">
      <formula>#REF!="Pesos ($)"</formula>
    </cfRule>
    <cfRule type="expression" dxfId="1024" priority="32">
      <formula>OR(LEFT(#REF!,9)="Número de",#REF!="Otra")</formula>
    </cfRule>
    <cfRule type="expression" dxfId="1023" priority="33">
      <formula>#REF!="Porcentaje"</formula>
    </cfRule>
  </conditionalFormatting>
  <conditionalFormatting sqref="BK92:BK94">
    <cfRule type="expression" dxfId="1022" priority="1">
      <formula>#REF!="Pesos ($)"</formula>
    </cfRule>
    <cfRule type="expression" dxfId="1021" priority="2">
      <formula>OR(LEFT(#REF!,9)="Número de",#REF!="Otra")</formula>
    </cfRule>
    <cfRule type="expression" dxfId="1020" priority="3">
      <formula>#REF!="Porcentaje"</formula>
    </cfRule>
  </conditionalFormatting>
  <conditionalFormatting sqref="BK36">
    <cfRule type="expression" dxfId="1019" priority="28">
      <formula>#REF!="Pesos ($)"</formula>
    </cfRule>
    <cfRule type="expression" dxfId="1018" priority="29">
      <formula>OR(LEFT(#REF!,9)="Número de",#REF!="Otra")</formula>
    </cfRule>
    <cfRule type="expression" dxfId="1017" priority="30">
      <formula>#REF!="Porcentaje"</formula>
    </cfRule>
  </conditionalFormatting>
  <conditionalFormatting sqref="BK37">
    <cfRule type="expression" dxfId="1016" priority="25">
      <formula>#REF!="Pesos ($)"</formula>
    </cfRule>
    <cfRule type="expression" dxfId="1015" priority="26">
      <formula>OR(LEFT(#REF!,9)="Número de",#REF!="Otra")</formula>
    </cfRule>
    <cfRule type="expression" dxfId="1014" priority="27">
      <formula>#REF!="Porcentaje"</formula>
    </cfRule>
  </conditionalFormatting>
  <conditionalFormatting sqref="BK38:BK43">
    <cfRule type="expression" dxfId="1013" priority="22">
      <formula>#REF!="Pesos ($)"</formula>
    </cfRule>
    <cfRule type="expression" dxfId="1012" priority="23">
      <formula>OR(LEFT(#REF!,9)="Número de",#REF!="Otra")</formula>
    </cfRule>
    <cfRule type="expression" dxfId="1011" priority="24">
      <formula>#REF!="Porcentaje"</formula>
    </cfRule>
  </conditionalFormatting>
  <conditionalFormatting sqref="BK51:BK56">
    <cfRule type="expression" dxfId="1010" priority="19">
      <formula>#REF!="Pesos ($)"</formula>
    </cfRule>
    <cfRule type="expression" dxfId="1009" priority="20">
      <formula>OR(LEFT(#REF!,9)="Número de",#REF!="Otra")</formula>
    </cfRule>
    <cfRule type="expression" dxfId="1008" priority="21">
      <formula>#REF!="Porcentaje"</formula>
    </cfRule>
  </conditionalFormatting>
  <conditionalFormatting sqref="BK65:BK72">
    <cfRule type="expression" dxfId="1007" priority="16">
      <formula>#REF!="Pesos ($)"</formula>
    </cfRule>
    <cfRule type="expression" dxfId="1006" priority="17">
      <formula>OR(LEFT(#REF!,9)="Número de",#REF!="Otra")</formula>
    </cfRule>
    <cfRule type="expression" dxfId="1005" priority="18">
      <formula>#REF!="Porcentaje"</formula>
    </cfRule>
  </conditionalFormatting>
  <conditionalFormatting sqref="BK73:BK74">
    <cfRule type="expression" dxfId="1004" priority="13">
      <formula>#REF!="Pesos ($)"</formula>
    </cfRule>
    <cfRule type="expression" dxfId="1003" priority="14">
      <formula>OR(LEFT(#REF!,9)="Número de",#REF!="Otra")</formula>
    </cfRule>
    <cfRule type="expression" dxfId="1002" priority="15">
      <formula>#REF!="Porcentaje"</formula>
    </cfRule>
  </conditionalFormatting>
  <conditionalFormatting sqref="BK75:BK78">
    <cfRule type="expression" dxfId="1001" priority="10">
      <formula>#REF!="Pesos ($)"</formula>
    </cfRule>
    <cfRule type="expression" dxfId="1000" priority="11">
      <formula>OR(LEFT(#REF!,9)="Número de",#REF!="Otra")</formula>
    </cfRule>
    <cfRule type="expression" dxfId="999" priority="12">
      <formula>#REF!="Porcentaje"</formula>
    </cfRule>
  </conditionalFormatting>
  <conditionalFormatting sqref="BK79:BK82">
    <cfRule type="expression" dxfId="998" priority="7">
      <formula>#REF!="Pesos ($)"</formula>
    </cfRule>
    <cfRule type="expression" dxfId="997" priority="8">
      <formula>OR(LEFT(#REF!,9)="Número de",#REF!="Otra")</formula>
    </cfRule>
    <cfRule type="expression" dxfId="996" priority="9">
      <formula>#REF!="Porcentaje"</formula>
    </cfRule>
  </conditionalFormatting>
  <conditionalFormatting sqref="BK89:BK90">
    <cfRule type="expression" dxfId="995" priority="4">
      <formula>#REF!="Pesos ($)"</formula>
    </cfRule>
    <cfRule type="expression" dxfId="994" priority="5">
      <formula>OR(LEFT(#REF!,9)="Número de",#REF!="Otra")</formula>
    </cfRule>
    <cfRule type="expression" dxfId="993" priority="6">
      <formula>#REF!="Porcentaje"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B9764-1B2B-49AA-B427-DA9EAA569A99}">
  <sheetPr>
    <tabColor rgb="FF00B0F0"/>
  </sheetPr>
  <dimension ref="B2:N38"/>
  <sheetViews>
    <sheetView topLeftCell="A4" zoomScale="55" zoomScaleNormal="55" workbookViewId="0">
      <selection activeCell="M12" sqref="M12"/>
    </sheetView>
  </sheetViews>
  <sheetFormatPr baseColWidth="10" defaultColWidth="11.44140625" defaultRowHeight="15"/>
  <cols>
    <col min="1" max="1" width="4.6640625" style="748" customWidth="1"/>
    <col min="2" max="2" width="38.5546875" style="748" customWidth="1"/>
    <col min="3" max="3" width="47.88671875" style="748" customWidth="1"/>
    <col min="4" max="4" width="21.5546875" style="748" customWidth="1"/>
    <col min="5" max="5" width="19.44140625" style="748" customWidth="1"/>
    <col min="6" max="6" width="12.44140625" style="748" customWidth="1"/>
    <col min="7" max="7" width="36.88671875" style="748" customWidth="1"/>
    <col min="8" max="8" width="19" style="748" customWidth="1"/>
    <col min="9" max="9" width="18.6640625" style="748" customWidth="1"/>
    <col min="10" max="10" width="18" style="748" customWidth="1"/>
    <col min="11" max="11" width="18.88671875" style="748" customWidth="1"/>
    <col min="12" max="12" width="16.6640625" style="748" hidden="1" customWidth="1"/>
    <col min="13" max="13" width="31.88671875" style="748" customWidth="1"/>
    <col min="14" max="14" width="30.109375" style="748" customWidth="1"/>
    <col min="15" max="85" width="15.6640625" style="748" customWidth="1"/>
    <col min="86" max="16384" width="11.44140625" style="748"/>
  </cols>
  <sheetData>
    <row r="2" spans="2:14" ht="15.6" customHeight="1">
      <c r="B2" s="1361" t="s">
        <v>686</v>
      </c>
      <c r="C2" s="1367" t="s">
        <v>971</v>
      </c>
      <c r="D2" s="1368"/>
      <c r="E2" s="1368"/>
      <c r="F2" s="1368"/>
      <c r="G2" s="1368"/>
      <c r="H2" s="1368"/>
      <c r="I2" s="1368"/>
      <c r="J2" s="1368"/>
      <c r="K2" s="1368"/>
      <c r="L2" s="956"/>
      <c r="M2" s="771" t="s">
        <v>986</v>
      </c>
      <c r="N2" s="961" t="s">
        <v>987</v>
      </c>
    </row>
    <row r="3" spans="2:14" ht="31.2">
      <c r="B3" s="1362"/>
      <c r="C3" s="1369"/>
      <c r="D3" s="1370"/>
      <c r="E3" s="1370"/>
      <c r="F3" s="1370"/>
      <c r="G3" s="1370"/>
      <c r="H3" s="1370"/>
      <c r="I3" s="1370"/>
      <c r="J3" s="1370"/>
      <c r="K3" s="1370"/>
      <c r="L3" s="957"/>
      <c r="M3" s="772" t="s">
        <v>1061</v>
      </c>
      <c r="N3" s="772" t="s">
        <v>988</v>
      </c>
    </row>
    <row r="4" spans="2:14" ht="15.6" customHeight="1">
      <c r="B4" s="1362"/>
      <c r="C4" s="1369"/>
      <c r="D4" s="1370"/>
      <c r="E4" s="1370"/>
      <c r="F4" s="1370"/>
      <c r="G4" s="1370"/>
      <c r="H4" s="1370"/>
      <c r="I4" s="1370"/>
      <c r="J4" s="1370"/>
      <c r="K4" s="1370"/>
      <c r="L4" s="957"/>
      <c r="M4" s="1365" t="s">
        <v>30</v>
      </c>
      <c r="N4" s="1366"/>
    </row>
    <row r="5" spans="2:14" ht="22.8">
      <c r="B5" s="1363"/>
      <c r="C5" s="1371" t="s">
        <v>972</v>
      </c>
      <c r="D5" s="1372"/>
      <c r="E5" s="1372"/>
      <c r="F5" s="1372"/>
      <c r="G5" s="1372"/>
      <c r="H5" s="1372"/>
      <c r="I5" s="1372"/>
      <c r="J5" s="1372"/>
      <c r="K5" s="1372"/>
      <c r="L5" s="958"/>
      <c r="M5" s="959">
        <v>44561</v>
      </c>
      <c r="N5" s="960"/>
    </row>
    <row r="6" spans="2:14">
      <c r="H6" s="1364"/>
      <c r="I6" s="1364"/>
      <c r="J6" s="1364"/>
      <c r="K6" s="1364"/>
      <c r="L6" s="1364"/>
    </row>
    <row r="7" spans="2:14" ht="27.6" customHeight="1">
      <c r="B7" s="1308" t="s">
        <v>0</v>
      </c>
      <c r="C7" s="1308" t="s">
        <v>973</v>
      </c>
      <c r="D7" s="1309" t="s">
        <v>974</v>
      </c>
      <c r="E7" s="1308" t="s">
        <v>936</v>
      </c>
      <c r="F7" s="1309" t="s">
        <v>989</v>
      </c>
      <c r="G7" s="1309" t="s">
        <v>976</v>
      </c>
      <c r="H7" s="1359" t="s">
        <v>977</v>
      </c>
      <c r="I7" s="1359"/>
      <c r="J7" s="1359"/>
      <c r="K7" s="1359"/>
      <c r="L7" s="1359"/>
      <c r="M7" s="1309" t="s">
        <v>978</v>
      </c>
      <c r="N7" s="963" t="s">
        <v>979</v>
      </c>
    </row>
    <row r="8" spans="2:14" ht="27.6" customHeight="1">
      <c r="B8" s="1308"/>
      <c r="C8" s="1308"/>
      <c r="D8" s="1310"/>
      <c r="E8" s="1308"/>
      <c r="F8" s="1310"/>
      <c r="G8" s="1310"/>
      <c r="H8" s="940" t="s">
        <v>59</v>
      </c>
      <c r="I8" s="940" t="s">
        <v>59</v>
      </c>
      <c r="J8" s="940" t="s">
        <v>59</v>
      </c>
      <c r="K8" s="940" t="s">
        <v>59</v>
      </c>
      <c r="L8" s="940" t="s">
        <v>59</v>
      </c>
      <c r="M8" s="1360"/>
      <c r="N8" s="1352" t="s">
        <v>980</v>
      </c>
    </row>
    <row r="9" spans="2:14" ht="61.95" customHeight="1">
      <c r="B9" s="1308"/>
      <c r="C9" s="1309"/>
      <c r="D9" s="1311"/>
      <c r="E9" s="1308"/>
      <c r="F9" s="1311"/>
      <c r="G9" s="1311"/>
      <c r="H9" s="749">
        <v>2021</v>
      </c>
      <c r="I9" s="749">
        <v>2022</v>
      </c>
      <c r="J9" s="749">
        <v>2023</v>
      </c>
      <c r="K9" s="749">
        <v>2024</v>
      </c>
      <c r="L9" s="749" t="s">
        <v>17</v>
      </c>
      <c r="M9" s="573" t="s">
        <v>864</v>
      </c>
      <c r="N9" s="1353"/>
    </row>
    <row r="10" spans="2:14" ht="83.25" customHeight="1">
      <c r="B10" s="1354" t="s">
        <v>130</v>
      </c>
      <c r="C10" s="753" t="str">
        <f>+'01-FR-03 POA INSTITUCIONAL'!C13</f>
        <v>1.1. Realizar 884.203 acciones que promuevan la defensa, garantía y restablecimiento de los derechos de las personas en el Distrito Capital.</v>
      </c>
      <c r="D10" s="754">
        <v>0.7</v>
      </c>
      <c r="E10" s="750">
        <v>879078</v>
      </c>
      <c r="F10" s="761" t="s">
        <v>156</v>
      </c>
      <c r="G10" s="751" t="s">
        <v>88</v>
      </c>
      <c r="H10" s="937">
        <v>239732</v>
      </c>
      <c r="I10" s="937">
        <v>257290</v>
      </c>
      <c r="J10" s="937">
        <v>257090</v>
      </c>
      <c r="K10" s="937">
        <v>124966</v>
      </c>
      <c r="L10" s="752"/>
      <c r="M10" s="752">
        <f>+'3-Grado Cump Metas Estratégicas'!D11</f>
        <v>8.302771187591157E-2</v>
      </c>
      <c r="N10" s="1355">
        <f>+'4-Grado Cum Objetivos Est &amp; Cal'!C11</f>
        <v>7.4921202643780424E-2</v>
      </c>
    </row>
    <row r="11" spans="2:14" ht="102" customHeight="1">
      <c r="B11" s="1354"/>
      <c r="C11" s="753" t="str">
        <f>+'01-FR-03 POA INSTITUCIONAL'!C24</f>
        <v>1.2. Realizar 260.709 acciones que propendan por la efectiva defensa y garantía de los derechos de los sujetos de especial protección constitucional, con énfasis en las personas mayores, mujeres y la población migrante en el Distrito Capital.</v>
      </c>
      <c r="D11" s="754">
        <v>0.2</v>
      </c>
      <c r="E11" s="750">
        <v>245514</v>
      </c>
      <c r="F11" s="761" t="s">
        <v>156</v>
      </c>
      <c r="G11" s="751" t="s">
        <v>88</v>
      </c>
      <c r="H11" s="937">
        <v>76600</v>
      </c>
      <c r="I11" s="937">
        <v>70424</v>
      </c>
      <c r="J11" s="937">
        <v>70424</v>
      </c>
      <c r="K11" s="937">
        <v>28066</v>
      </c>
      <c r="L11" s="752"/>
      <c r="M11" s="752">
        <f>+'3-Grado Cump Metas Estratégicas'!D12</f>
        <v>8.4009021653211627E-2</v>
      </c>
      <c r="N11" s="1356"/>
    </row>
    <row r="12" spans="2:14" ht="75" customHeight="1">
      <c r="B12" s="1354"/>
      <c r="C12" s="753" t="str">
        <f>+'01-FR-03 POA INSTITUCIONAL'!C30</f>
        <v>1.3. Construir e Implementar 35 estrategias que permitan incrementar la oferta y cobertura de los servicios prestados por la Entidad.</v>
      </c>
      <c r="D12" s="754">
        <v>0.1</v>
      </c>
      <c r="E12" s="755">
        <v>36</v>
      </c>
      <c r="F12" s="761" t="s">
        <v>156</v>
      </c>
      <c r="G12" s="751" t="s">
        <v>88</v>
      </c>
      <c r="H12" s="937">
        <v>6</v>
      </c>
      <c r="I12" s="937">
        <v>13</v>
      </c>
      <c r="J12" s="937">
        <v>12</v>
      </c>
      <c r="K12" s="937">
        <v>5</v>
      </c>
      <c r="L12" s="752"/>
      <c r="M12" s="752">
        <f>+'3-Grado Cump Metas Estratégicas'!D13</f>
        <v>0</v>
      </c>
      <c r="N12" s="1357"/>
    </row>
    <row r="13" spans="2:14" ht="78" customHeight="1">
      <c r="B13" s="1358" t="s">
        <v>134</v>
      </c>
      <c r="C13" s="756" t="str">
        <f>+'01-FR-03 POA INSTITUCIONAL'!C33</f>
        <v>2.1. Realizar 22 acciones de prevención y control a la función pública en medio ambiente, agua, protección y bienestar animal y desarrollo urbano.</v>
      </c>
      <c r="D13" s="758">
        <v>0.3</v>
      </c>
      <c r="E13" s="757">
        <v>22</v>
      </c>
      <c r="F13" s="764" t="s">
        <v>156</v>
      </c>
      <c r="G13" s="759" t="s">
        <v>89</v>
      </c>
      <c r="H13" s="938">
        <v>3</v>
      </c>
      <c r="I13" s="938">
        <v>8</v>
      </c>
      <c r="J13" s="938">
        <v>9</v>
      </c>
      <c r="K13" s="938">
        <v>2</v>
      </c>
      <c r="L13" s="752"/>
      <c r="M13" s="752">
        <f>+'3-Grado Cump Metas Estratégicas'!D14</f>
        <v>0</v>
      </c>
      <c r="N13" s="1346">
        <f>+'4-Grado Cum Objetivos Est &amp; Cal'!C12</f>
        <v>2.2781201848998459E-2</v>
      </c>
    </row>
    <row r="14" spans="2:14" ht="65.25" customHeight="1">
      <c r="B14" s="1358"/>
      <c r="C14" s="756" t="str">
        <f>+'01-FR-03 POA INSTITUCIONAL'!C35</f>
        <v>2.2. Fortalecer la moralidad publica realizando  952 acciones de prevención y control a la función pública.</v>
      </c>
      <c r="D14" s="758">
        <v>0.6</v>
      </c>
      <c r="E14" s="757">
        <v>888</v>
      </c>
      <c r="F14" s="764" t="s">
        <v>156</v>
      </c>
      <c r="G14" s="759" t="s">
        <v>89</v>
      </c>
      <c r="H14" s="938">
        <v>228</v>
      </c>
      <c r="I14" s="938">
        <v>289</v>
      </c>
      <c r="J14" s="938">
        <v>289</v>
      </c>
      <c r="K14" s="938">
        <v>82</v>
      </c>
      <c r="L14" s="752"/>
      <c r="M14" s="752">
        <f>+'3-Grado Cump Metas Estratégicas'!D15</f>
        <v>2.0454545454545454E-2</v>
      </c>
      <c r="N14" s="1347"/>
    </row>
    <row r="15" spans="2:14" ht="63.75" customHeight="1">
      <c r="B15" s="1358"/>
      <c r="C15" s="756" t="str">
        <f>+'01-FR-03 POA INSTITUCIONAL'!C37</f>
        <v>2.3. Fortalecer 320 espacios de participación ciudadana en la Personería de Bogotá</v>
      </c>
      <c r="D15" s="758">
        <v>0.1</v>
      </c>
      <c r="E15" s="757">
        <v>300</v>
      </c>
      <c r="F15" s="764" t="s">
        <v>156</v>
      </c>
      <c r="G15" s="759" t="s">
        <v>89</v>
      </c>
      <c r="H15" s="938">
        <v>72</v>
      </c>
      <c r="I15" s="938">
        <v>101</v>
      </c>
      <c r="J15" s="938">
        <v>103</v>
      </c>
      <c r="K15" s="938">
        <v>24</v>
      </c>
      <c r="L15" s="752"/>
      <c r="M15" s="752">
        <f>+'3-Grado Cump Metas Estratégicas'!D16</f>
        <v>0.10508474576271187</v>
      </c>
      <c r="N15" s="1348"/>
    </row>
    <row r="16" spans="2:14" ht="69.75" customHeight="1">
      <c r="B16" s="1343" t="s">
        <v>138</v>
      </c>
      <c r="C16" s="753" t="str">
        <f>+'01-FR-03 POA INSTITUCIONAL'!C40</f>
        <v>3.1. Descongestionar 6.700 procesos disciplinarios con criterios de calidad, efectividad y garantía del debido proceso.</v>
      </c>
      <c r="D16" s="754">
        <v>0.4</v>
      </c>
      <c r="E16" s="755">
        <v>6700</v>
      </c>
      <c r="F16" s="755">
        <v>6287</v>
      </c>
      <c r="G16" s="751" t="s">
        <v>90</v>
      </c>
      <c r="H16" s="937">
        <v>1600</v>
      </c>
      <c r="I16" s="937">
        <v>1800</v>
      </c>
      <c r="J16" s="937">
        <v>1800</v>
      </c>
      <c r="K16" s="937">
        <v>1500</v>
      </c>
      <c r="L16" s="752"/>
      <c r="M16" s="752">
        <f>+'3-Grado Cump Metas Estratégicas'!D17</f>
        <v>4.2911815920398014E-2</v>
      </c>
      <c r="N16" s="1346">
        <f>+'4-Grado Cum Objetivos Est &amp; Cal'!C13</f>
        <v>2.9764726368159206E-2</v>
      </c>
    </row>
    <row r="17" spans="2:14" ht="91.5" customHeight="1">
      <c r="B17" s="1344"/>
      <c r="C17" s="753" t="str">
        <f>+'01-FR-03 POA INSTITUCIONAL'!C42</f>
        <v xml:space="preserve">3.2. Identificar el 100% de los hechos constitutivos de faltas disciplinarias para ejercer el poder preferente en las Oficinas de Control Interno Disciplinario, en temas de interés e impacto para el Distrito Capital. </v>
      </c>
      <c r="D17" s="754">
        <v>0.15</v>
      </c>
      <c r="E17" s="761">
        <v>1</v>
      </c>
      <c r="F17" s="761">
        <v>1</v>
      </c>
      <c r="G17" s="751" t="s">
        <v>90</v>
      </c>
      <c r="H17" s="752">
        <v>1</v>
      </c>
      <c r="I17" s="752">
        <v>1</v>
      </c>
      <c r="J17" s="752">
        <v>1</v>
      </c>
      <c r="K17" s="752">
        <v>1</v>
      </c>
      <c r="L17" s="752"/>
      <c r="M17" s="752">
        <f>+'3-Grado Cump Metas Estratégicas'!D18</f>
        <v>0</v>
      </c>
      <c r="N17" s="1347"/>
    </row>
    <row r="18" spans="2:14" ht="105" customHeight="1">
      <c r="B18" s="1344"/>
      <c r="C18" s="753" t="str">
        <f>+'01-FR-03 POA INSTITUCIONAL'!C44</f>
        <v>3.3. Generar 8 escenarios que fortalezcan el conocimiento y las competencias del operador disciplinario, que apoya el cumplimiento de la labor misional, extendiendo el alcance a los jueces naturales en el Distrito Capital.</v>
      </c>
      <c r="D18" s="754">
        <v>0.1</v>
      </c>
      <c r="E18" s="755">
        <v>8</v>
      </c>
      <c r="F18" s="755">
        <v>8</v>
      </c>
      <c r="G18" s="751" t="s">
        <v>90</v>
      </c>
      <c r="H18" s="760">
        <v>2</v>
      </c>
      <c r="I18" s="760">
        <v>2</v>
      </c>
      <c r="J18" s="760">
        <v>2</v>
      </c>
      <c r="K18" s="760">
        <v>2</v>
      </c>
      <c r="L18" s="752"/>
      <c r="M18" s="752">
        <f>+'3-Grado Cump Metas Estratégicas'!D19</f>
        <v>0</v>
      </c>
      <c r="N18" s="1347"/>
    </row>
    <row r="19" spans="2:14" ht="63" customHeight="1">
      <c r="B19" s="1345"/>
      <c r="C19" s="753" t="str">
        <f>+'01-FR-03 POA INSTITUCIONAL'!C45</f>
        <v>3.4. Implementar al 100% tres soluciones informáticas propias para la ejecución y gestión de la Potestad Disciplinaria.</v>
      </c>
      <c r="D19" s="754">
        <v>0.35</v>
      </c>
      <c r="E19" s="761">
        <v>1</v>
      </c>
      <c r="F19" s="755">
        <v>3</v>
      </c>
      <c r="G19" s="751" t="s">
        <v>90</v>
      </c>
      <c r="H19" s="752">
        <v>0.3</v>
      </c>
      <c r="I19" s="752">
        <v>0.4</v>
      </c>
      <c r="J19" s="752">
        <v>0.25</v>
      </c>
      <c r="K19" s="752">
        <v>0.05</v>
      </c>
      <c r="L19" s="752"/>
      <c r="M19" s="752">
        <f>+'3-Grado Cump Metas Estratégicas'!D20</f>
        <v>3.6000000000000004E-2</v>
      </c>
      <c r="N19" s="1348"/>
    </row>
    <row r="20" spans="2:14" ht="91.5" customHeight="1">
      <c r="B20" s="1349" t="s">
        <v>141</v>
      </c>
      <c r="C20" s="756" t="str">
        <f>+'01-FR-03 POA INSTITUCIONAL'!C48</f>
        <v>4.1. Implementar el 100% de las acciones que impulsen el crecimiento del Modelo de Madurez de Transformación Digital de la Entidad, aplicando los principios , lineamientos y normas que lo enmarcan.</v>
      </c>
      <c r="D20" s="762">
        <v>0.15</v>
      </c>
      <c r="E20" s="758">
        <v>1</v>
      </c>
      <c r="F20" s="764" t="s">
        <v>156</v>
      </c>
      <c r="G20" s="759" t="s">
        <v>81</v>
      </c>
      <c r="H20" s="764">
        <v>0.3</v>
      </c>
      <c r="I20" s="764">
        <v>0.4</v>
      </c>
      <c r="J20" s="764">
        <v>0.25</v>
      </c>
      <c r="K20" s="764">
        <v>0.05</v>
      </c>
      <c r="L20" s="764"/>
      <c r="M20" s="752">
        <f>+'3-Grado Cump Metas Estratégicas'!D21</f>
        <v>7.0000000000000007E-2</v>
      </c>
      <c r="N20" s="1351">
        <f>+'4-Grado Cum Objetivos Est &amp; Cal'!C14</f>
        <v>5.2148649278821679E-2</v>
      </c>
    </row>
    <row r="21" spans="2:14" ht="108" customHeight="1">
      <c r="B21" s="1349"/>
      <c r="C21" s="756" t="str">
        <f>+'01-FR-03 POA INSTITUCIONAL'!C55</f>
        <v>4.2. Consolidar el 90% del Modelo Integrado de Planeación y Gestión –MIPG- y sus sistemas de gestión articulados, como compromiso con la Calidad, la Excelencia, la Responsabilidad Ambiental y la Mejora en la prestación del Servicio.</v>
      </c>
      <c r="D21" s="758">
        <v>0.15</v>
      </c>
      <c r="E21" s="764">
        <v>0.9</v>
      </c>
      <c r="F21" s="764">
        <v>0.62</v>
      </c>
      <c r="G21" s="759" t="s">
        <v>983</v>
      </c>
      <c r="H21" s="764">
        <v>0.3</v>
      </c>
      <c r="I21" s="764">
        <v>0.3</v>
      </c>
      <c r="J21" s="764">
        <v>0.2</v>
      </c>
      <c r="K21" s="764">
        <v>0.1</v>
      </c>
      <c r="L21" s="764"/>
      <c r="M21" s="752">
        <f>+'3-Grado Cump Metas Estratégicas'!D22</f>
        <v>8.0461904761904762E-2</v>
      </c>
      <c r="N21" s="1351"/>
    </row>
    <row r="22" spans="2:14" ht="91.5" customHeight="1">
      <c r="B22" s="1349"/>
      <c r="C22" s="756" t="str">
        <f>+'01-FR-03 POA INSTITUCIONAL'!C61</f>
        <v xml:space="preserve">4.3. Realizar el 100% de las actividades relacionadas con la Gestión del Talento Humano, que permita su fortalecimiento y el desarrollo de sus conocimientos, su competencia y bienestar. </v>
      </c>
      <c r="D22" s="758">
        <v>0.14000000000000001</v>
      </c>
      <c r="E22" s="764">
        <v>1</v>
      </c>
      <c r="F22" s="764" t="s">
        <v>156</v>
      </c>
      <c r="G22" s="759" t="s">
        <v>91</v>
      </c>
      <c r="H22" s="764">
        <v>1</v>
      </c>
      <c r="I22" s="764">
        <v>1</v>
      </c>
      <c r="J22" s="764">
        <v>1</v>
      </c>
      <c r="K22" s="764">
        <v>1</v>
      </c>
      <c r="L22" s="764"/>
      <c r="M22" s="752">
        <f>+'3-Grado Cump Metas Estratégicas'!D23</f>
        <v>6.1175947390203524E-2</v>
      </c>
      <c r="N22" s="1351"/>
    </row>
    <row r="23" spans="2:14" ht="90" customHeight="1">
      <c r="B23" s="1349"/>
      <c r="C23" s="756" t="str">
        <f>+'01-FR-03 POA INSTITUCIONAL'!C69</f>
        <v>4.4. Implementar el 100% de las acciones necesarias para la modernización de la gestión institucional a través de los procesos de apoyo, que permita una mejor prestación del servicio.</v>
      </c>
      <c r="D23" s="758">
        <v>0.14000000000000001</v>
      </c>
      <c r="E23" s="764">
        <v>1</v>
      </c>
      <c r="F23" s="764" t="s">
        <v>156</v>
      </c>
      <c r="G23" s="759" t="s">
        <v>984</v>
      </c>
      <c r="H23" s="764">
        <v>1</v>
      </c>
      <c r="I23" s="764">
        <v>1</v>
      </c>
      <c r="J23" s="764">
        <v>1</v>
      </c>
      <c r="K23" s="764">
        <v>1</v>
      </c>
      <c r="L23" s="764"/>
      <c r="M23" s="752">
        <f>+'3-Grado Cump Metas Estratégicas'!D24</f>
        <v>4.4063554261243761E-2</v>
      </c>
      <c r="N23" s="1351"/>
    </row>
    <row r="24" spans="2:14" ht="73.5" customHeight="1">
      <c r="B24" s="1349"/>
      <c r="C24" s="756" t="str">
        <f>+'01-FR-03 POA INSTITUCIONAL'!C87</f>
        <v>4.5. Desarrollar el 100% de las acciones relacionadas con el fomento de la Cultura del Autocontrol, la Autorregulación y la Autogestión institucional.</v>
      </c>
      <c r="D24" s="758">
        <v>0.14000000000000001</v>
      </c>
      <c r="E24" s="764">
        <v>1</v>
      </c>
      <c r="F24" s="764" t="s">
        <v>156</v>
      </c>
      <c r="G24" s="759" t="s">
        <v>985</v>
      </c>
      <c r="H24" s="764">
        <v>1</v>
      </c>
      <c r="I24" s="764">
        <v>1</v>
      </c>
      <c r="J24" s="764">
        <v>1</v>
      </c>
      <c r="K24" s="764">
        <v>1</v>
      </c>
      <c r="L24" s="764"/>
      <c r="M24" s="752">
        <f>+'3-Grado Cump Metas Estratégicas'!D25</f>
        <v>7.4791666666666673E-2</v>
      </c>
      <c r="N24" s="1351"/>
    </row>
    <row r="25" spans="2:14" ht="94.5" customHeight="1">
      <c r="B25" s="1349"/>
      <c r="C25" s="756" t="str">
        <f>+'01-FR-03 POA INSTITUCIONAL'!C93</f>
        <v>4.6. Desarrollar el 100% de las estrategias de comunicación organizacional y de medios que contribuyan al logro de los objetivos institucionales y al posicionamiento de la Entidad.</v>
      </c>
      <c r="D25" s="758">
        <v>0.14000000000000001</v>
      </c>
      <c r="E25" s="764">
        <v>1</v>
      </c>
      <c r="F25" s="764">
        <v>1</v>
      </c>
      <c r="G25" s="759" t="s">
        <v>86</v>
      </c>
      <c r="H25" s="764">
        <v>1</v>
      </c>
      <c r="I25" s="764">
        <v>1</v>
      </c>
      <c r="J25" s="764">
        <v>1</v>
      </c>
      <c r="K25" s="764">
        <v>1</v>
      </c>
      <c r="L25" s="764"/>
      <c r="M25" s="752">
        <f>+'3-Grado Cump Metas Estratégicas'!D26</f>
        <v>3.125E-2</v>
      </c>
      <c r="N25" s="1351"/>
    </row>
    <row r="26" spans="2:14" ht="92.25" customHeight="1">
      <c r="B26" s="1350"/>
      <c r="C26" s="756" t="str">
        <f>+'01-FR-03 POA INSTITUCIONAL'!C95</f>
        <v>4.7. Articular el 100% de las acciones de trabajo interinstitucional y cooperación nacional e internacional que permita aunar esfuerzos para el cumplimiento de la misión institucional.</v>
      </c>
      <c r="D26" s="758">
        <v>0.14000000000000001</v>
      </c>
      <c r="E26" s="764">
        <v>1</v>
      </c>
      <c r="F26" s="764" t="s">
        <v>156</v>
      </c>
      <c r="G26" s="759" t="s">
        <v>87</v>
      </c>
      <c r="H26" s="763">
        <v>0.33333333333333337</v>
      </c>
      <c r="I26" s="763">
        <v>0.33333333333333337</v>
      </c>
      <c r="J26" s="763">
        <v>0.33333333333333337</v>
      </c>
      <c r="K26" s="764">
        <v>0</v>
      </c>
      <c r="L26" s="773"/>
      <c r="M26" s="752">
        <f>+'3-Grado Cump Metas Estratégicas'!D27</f>
        <v>0</v>
      </c>
      <c r="N26" s="1351"/>
    </row>
    <row r="27" spans="2:14" ht="88.5" customHeight="1">
      <c r="B27" s="1343" t="s">
        <v>149</v>
      </c>
      <c r="C27" s="765" t="str">
        <f>+'01-FR-03 POA INSTITUCIONAL'!C96</f>
        <v>5.1 Generar el 100% de productos de nuevo conocimiento o transformar los existentes, alineados con proyectos resultados de la investigación, desarrollo e innovación (I+D+I) en la Entidad.</v>
      </c>
      <c r="D27" s="754">
        <v>0.4</v>
      </c>
      <c r="E27" s="761">
        <v>1</v>
      </c>
      <c r="F27" s="761" t="s">
        <v>156</v>
      </c>
      <c r="G27" s="751" t="s">
        <v>80</v>
      </c>
      <c r="H27" s="752">
        <v>0.25</v>
      </c>
      <c r="I27" s="752">
        <v>0.25</v>
      </c>
      <c r="J27" s="752">
        <v>0.25</v>
      </c>
      <c r="K27" s="752">
        <v>0.25</v>
      </c>
      <c r="L27" s="760"/>
      <c r="M27" s="752">
        <f>+'3-Grado Cump Metas Estratégicas'!D28</f>
        <v>0</v>
      </c>
      <c r="N27" s="1351">
        <f>+'4-Grado Cum Objetivos Est &amp; Cal'!C15</f>
        <v>3.3750000000000002E-2</v>
      </c>
    </row>
    <row r="28" spans="2:14" ht="98.25" customHeight="1">
      <c r="B28" s="1344"/>
      <c r="C28" s="751" t="str">
        <f>+'01-FR-03 POA INSTITUCIONAL'!C98</f>
        <v>5.2 Formular el 100% de herramientas y acciones que permitan categorizar, preservar y utilizar el conocimiento para la toma de decisiones y compartir fácilmente los datos y la información de la Entidad.</v>
      </c>
      <c r="D28" s="754">
        <v>0.3</v>
      </c>
      <c r="E28" s="752">
        <v>1</v>
      </c>
      <c r="F28" s="761" t="s">
        <v>156</v>
      </c>
      <c r="G28" s="751" t="s">
        <v>80</v>
      </c>
      <c r="H28" s="752">
        <v>0.25</v>
      </c>
      <c r="I28" s="752">
        <v>0.25</v>
      </c>
      <c r="J28" s="752">
        <v>0.25</v>
      </c>
      <c r="K28" s="752">
        <v>0.25</v>
      </c>
      <c r="L28" s="760"/>
      <c r="M28" s="752">
        <f>+'3-Grado Cump Metas Estratégicas'!D29</f>
        <v>0</v>
      </c>
      <c r="N28" s="1351"/>
    </row>
    <row r="29" spans="2:14" ht="120" customHeight="1">
      <c r="B29" s="1345"/>
      <c r="C29" s="766" t="str">
        <f>+'01-FR-03 POA INSTITUCIONAL'!C99</f>
        <v xml:space="preserve">5.3 Desarrollar el 100% de espacios y mecanismos para la difusión del conocimiento, mediante la creación de alianzas efectivas y apropiación de la memoria institucional a través del proceso de enseñanza-aprendizaje organizacional. </v>
      </c>
      <c r="D29" s="754">
        <v>0.3</v>
      </c>
      <c r="E29" s="767">
        <v>1</v>
      </c>
      <c r="F29" s="761" t="s">
        <v>156</v>
      </c>
      <c r="G29" s="766" t="s">
        <v>80</v>
      </c>
      <c r="H29" s="752">
        <v>0.25</v>
      </c>
      <c r="I29" s="752">
        <v>0.25</v>
      </c>
      <c r="J29" s="752">
        <v>0.25</v>
      </c>
      <c r="K29" s="752">
        <v>0.25</v>
      </c>
      <c r="L29" s="760"/>
      <c r="M29" s="752">
        <f>+'3-Grado Cump Metas Estratégicas'!D30</f>
        <v>0.1125</v>
      </c>
      <c r="N29" s="1351"/>
    </row>
    <row r="30" spans="2:14" ht="17.399999999999999">
      <c r="B30" s="768"/>
      <c r="C30" s="769"/>
      <c r="D30" s="769"/>
      <c r="E30" s="769"/>
      <c r="F30" s="769"/>
      <c r="G30" s="769"/>
      <c r="H30" s="768"/>
      <c r="I30" s="768"/>
      <c r="J30" s="768"/>
      <c r="K30" s="768"/>
      <c r="L30" s="768"/>
      <c r="M30" s="962">
        <f>AVERAGE(M10:M29)</f>
        <v>4.2286545687339867E-2</v>
      </c>
      <c r="N30" s="962">
        <f>AVERAGE(N10:N29)</f>
        <v>4.267315602795195E-2</v>
      </c>
    </row>
    <row r="31" spans="2:14">
      <c r="M31" s="770"/>
    </row>
    <row r="33" spans="2:7">
      <c r="B33" s="774" t="s">
        <v>37</v>
      </c>
      <c r="C33" s="775">
        <v>44224</v>
      </c>
      <c r="D33" s="776"/>
      <c r="E33" s="776"/>
      <c r="F33" s="776"/>
      <c r="G33" s="776"/>
    </row>
    <row r="35" spans="2:7">
      <c r="B35" s="774" t="s">
        <v>82</v>
      </c>
      <c r="C35" s="777"/>
    </row>
    <row r="38" spans="2:7">
      <c r="B38" s="606" t="s">
        <v>924</v>
      </c>
    </row>
  </sheetData>
  <sheetProtection algorithmName="SHA-512" hashValue="+GgUUrejl9lzs+8gAbP0hCIzuMeikatqtAbLfF6NOnJYIoC6dksdg1umCBmRw158eE8dN5O+1kTy0vwfJsF9yA==" saltValue="Ve1F9G3lqB+TMhKRRXdZBQ==" spinCount="100000" sheet="1" objects="1" scenarios="1"/>
  <mergeCells count="24">
    <mergeCell ref="B2:B5"/>
    <mergeCell ref="H6:L6"/>
    <mergeCell ref="M4:N4"/>
    <mergeCell ref="C2:K4"/>
    <mergeCell ref="C5:K5"/>
    <mergeCell ref="N8:N9"/>
    <mergeCell ref="B10:B12"/>
    <mergeCell ref="N10:N12"/>
    <mergeCell ref="B13:B15"/>
    <mergeCell ref="N13:N15"/>
    <mergeCell ref="G7:G9"/>
    <mergeCell ref="H7:L7"/>
    <mergeCell ref="M7:M8"/>
    <mergeCell ref="B7:B9"/>
    <mergeCell ref="C7:C9"/>
    <mergeCell ref="D7:D9"/>
    <mergeCell ref="E7:E9"/>
    <mergeCell ref="F7:F9"/>
    <mergeCell ref="B16:B19"/>
    <mergeCell ref="N16:N19"/>
    <mergeCell ref="B20:B26"/>
    <mergeCell ref="N20:N26"/>
    <mergeCell ref="B27:B29"/>
    <mergeCell ref="N27:N29"/>
  </mergeCells>
  <conditionalFormatting sqref="H21:L22 H26:L29">
    <cfRule type="expression" dxfId="992" priority="163">
      <formula>#REF!="Pesos ($)"</formula>
    </cfRule>
    <cfRule type="expression" dxfId="991" priority="164">
      <formula>OR(LEFT(#REF!,9)="Número de",#REF!="Otra")</formula>
    </cfRule>
    <cfRule type="expression" dxfId="990" priority="165">
      <formula>#REF!="Porcentaje"</formula>
    </cfRule>
  </conditionalFormatting>
  <conditionalFormatting sqref="H23:L23">
    <cfRule type="expression" dxfId="989" priority="146">
      <formula>#REF!="Pesos ($)"</formula>
    </cfRule>
    <cfRule type="expression" dxfId="988" priority="147">
      <formula>OR(LEFT(#REF!,9)="Número de",#REF!="Otra")</formula>
    </cfRule>
    <cfRule type="expression" dxfId="987" priority="148">
      <formula>#REF!="Porcentaje"</formula>
    </cfRule>
  </conditionalFormatting>
  <conditionalFormatting sqref="H25:L25">
    <cfRule type="expression" dxfId="986" priority="143">
      <formula>#REF!="Pesos ($)"</formula>
    </cfRule>
    <cfRule type="expression" dxfId="985" priority="144">
      <formula>OR(LEFT(#REF!,9)="Número de",#REF!="Otra")</formula>
    </cfRule>
    <cfRule type="expression" dxfId="984" priority="145">
      <formula>#REF!="Porcentaje"</formula>
    </cfRule>
  </conditionalFormatting>
  <conditionalFormatting sqref="H24:L24 H17:K19 H12 I10:K15">
    <cfRule type="expression" dxfId="983" priority="140">
      <formula>#REF!="Pesos ($)"</formula>
    </cfRule>
    <cfRule type="expression" dxfId="982" priority="141">
      <formula>OR(LEFT(#REF!,9)="Número de",#REF!="Otra")</formula>
    </cfRule>
    <cfRule type="expression" dxfId="981" priority="142">
      <formula>#REF!="Porcentaje"</formula>
    </cfRule>
  </conditionalFormatting>
  <conditionalFormatting sqref="L10:L19">
    <cfRule type="expression" dxfId="980" priority="137">
      <formula>#REF!="Pesos ($)"</formula>
    </cfRule>
    <cfRule type="expression" dxfId="979" priority="138">
      <formula>OR(LEFT(#REF!,9)="Número de",#REF!="Otra")</formula>
    </cfRule>
    <cfRule type="expression" dxfId="978" priority="139">
      <formula>#REF!="Porcentaje"</formula>
    </cfRule>
  </conditionalFormatting>
  <conditionalFormatting sqref="I20:L20">
    <cfRule type="expression" dxfId="977" priority="127">
      <formula>#REF!="Pesos ($)"</formula>
    </cfRule>
    <cfRule type="expression" dxfId="976" priority="128">
      <formula>OR(LEFT(#REF!,9)="Número de",#REF!="Otra")</formula>
    </cfRule>
    <cfRule type="expression" dxfId="975" priority="129">
      <formula>#REF!="Porcentaje"</formula>
    </cfRule>
  </conditionalFormatting>
  <conditionalFormatting sqref="H20">
    <cfRule type="expression" dxfId="974" priority="124">
      <formula>#REF!="Pesos ($)"</formula>
    </cfRule>
    <cfRule type="expression" dxfId="973" priority="125">
      <formula>OR(LEFT(#REF!,9)="Número de",#REF!="Otra")</formula>
    </cfRule>
    <cfRule type="expression" dxfId="972" priority="126">
      <formula>#REF!="Porcentaje"</formula>
    </cfRule>
  </conditionalFormatting>
  <conditionalFormatting sqref="H13:H15">
    <cfRule type="expression" dxfId="971" priority="22">
      <formula>#REF!="Pesos ($)"</formula>
    </cfRule>
    <cfRule type="expression" dxfId="970" priority="23">
      <formula>OR(LEFT(#REF!,9)="Número de",#REF!="Otra")</formula>
    </cfRule>
    <cfRule type="expression" dxfId="969" priority="24">
      <formula>#REF!="Porcentaje"</formula>
    </cfRule>
  </conditionalFormatting>
  <conditionalFormatting sqref="H10:H11">
    <cfRule type="expression" dxfId="968" priority="13">
      <formula>#REF!="Pesos ($)"</formula>
    </cfRule>
    <cfRule type="expression" dxfId="967" priority="14">
      <formula>OR(LEFT(#REF!,9)="Número de",#REF!="Otra")</formula>
    </cfRule>
    <cfRule type="expression" dxfId="966" priority="15">
      <formula>#REF!="Porcentaje"</formula>
    </cfRule>
  </conditionalFormatting>
  <conditionalFormatting sqref="H16">
    <cfRule type="expression" dxfId="965" priority="10">
      <formula>#REF!="Pesos ($)"</formula>
    </cfRule>
    <cfRule type="expression" dxfId="964" priority="11">
      <formula>OR(LEFT(#REF!,9)="Número de",#REF!="Otra")</formula>
    </cfRule>
    <cfRule type="expression" dxfId="963" priority="12">
      <formula>#REF!="Porcentaje"</formula>
    </cfRule>
  </conditionalFormatting>
  <conditionalFormatting sqref="I16">
    <cfRule type="expression" dxfId="962" priority="7">
      <formula>#REF!="Pesos ($)"</formula>
    </cfRule>
    <cfRule type="expression" dxfId="961" priority="8">
      <formula>OR(LEFT(#REF!,9)="Número de",#REF!="Otra")</formula>
    </cfRule>
    <cfRule type="expression" dxfId="960" priority="9">
      <formula>#REF!="Porcentaje"</formula>
    </cfRule>
  </conditionalFormatting>
  <conditionalFormatting sqref="J16">
    <cfRule type="expression" dxfId="959" priority="4">
      <formula>#REF!="Pesos ($)"</formula>
    </cfRule>
    <cfRule type="expression" dxfId="958" priority="5">
      <formula>OR(LEFT(#REF!,9)="Número de",#REF!="Otra")</formula>
    </cfRule>
    <cfRule type="expression" dxfId="957" priority="6">
      <formula>#REF!="Porcentaje"</formula>
    </cfRule>
  </conditionalFormatting>
  <conditionalFormatting sqref="K16">
    <cfRule type="expression" dxfId="956" priority="1">
      <formula>#REF!="Pesos ($)"</formula>
    </cfRule>
    <cfRule type="expression" dxfId="955" priority="2">
      <formula>OR(LEFT(#REF!,9)="Número de",#REF!="Otra")</formula>
    </cfRule>
    <cfRule type="expression" dxfId="954" priority="3">
      <formula>#REF!="Porcentaje"</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42FED-B871-4A7A-B967-061E54B0236B}">
  <sheetPr>
    <tabColor rgb="FF00B0F0"/>
  </sheetPr>
  <dimension ref="B1:P40"/>
  <sheetViews>
    <sheetView showGridLines="0" workbookViewId="0">
      <selection activeCell="B23" sqref="B23:O23"/>
    </sheetView>
  </sheetViews>
  <sheetFormatPr baseColWidth="10" defaultColWidth="11.44140625" defaultRowHeight="13.2"/>
  <cols>
    <col min="1" max="1" width="4.33203125" style="340" customWidth="1"/>
    <col min="2" max="2" width="28.5546875" style="340" customWidth="1"/>
    <col min="3" max="13" width="7.109375" style="340" customWidth="1"/>
    <col min="14" max="14" width="14.33203125" style="340" customWidth="1"/>
    <col min="15" max="15" width="14.44140625" style="340" customWidth="1"/>
    <col min="16" max="16" width="6.6640625" style="340" customWidth="1"/>
    <col min="17" max="17" width="9.5546875" style="340" customWidth="1"/>
    <col min="18" max="18" width="17.109375" style="340" customWidth="1"/>
    <col min="19" max="16384" width="11.44140625" style="340"/>
  </cols>
  <sheetData>
    <row r="1" spans="2:16" s="7" customFormat="1" ht="7.5" customHeight="1" thickBot="1">
      <c r="B1" s="338"/>
      <c r="C1" s="338"/>
      <c r="D1" s="338"/>
      <c r="E1" s="338"/>
      <c r="F1" s="338"/>
      <c r="G1" s="338"/>
      <c r="H1" s="338"/>
      <c r="I1" s="338"/>
      <c r="J1" s="338"/>
      <c r="K1" s="338"/>
      <c r="L1" s="338"/>
      <c r="M1" s="338"/>
      <c r="N1" s="338"/>
      <c r="O1" s="338"/>
      <c r="P1" s="338"/>
    </row>
    <row r="2" spans="2:16" s="7" customFormat="1" ht="15.6">
      <c r="B2" s="1374" t="s">
        <v>686</v>
      </c>
      <c r="C2" s="1377" t="s">
        <v>971</v>
      </c>
      <c r="D2" s="1378"/>
      <c r="E2" s="1378"/>
      <c r="F2" s="1378"/>
      <c r="G2" s="1378"/>
      <c r="H2" s="1378"/>
      <c r="I2" s="1378"/>
      <c r="J2" s="1378"/>
      <c r="K2" s="1378"/>
      <c r="L2" s="1378"/>
      <c r="M2" s="1378"/>
      <c r="N2" s="1383" t="s">
        <v>1062</v>
      </c>
      <c r="O2" s="1384"/>
      <c r="P2" s="338"/>
    </row>
    <row r="3" spans="2:16" s="7" customFormat="1" ht="15.6">
      <c r="B3" s="1375"/>
      <c r="C3" s="1379"/>
      <c r="D3" s="1380"/>
      <c r="E3" s="1380"/>
      <c r="F3" s="1380"/>
      <c r="G3" s="1380"/>
      <c r="H3" s="1380"/>
      <c r="I3" s="1380"/>
      <c r="J3" s="1380"/>
      <c r="K3" s="1380"/>
      <c r="L3" s="1380"/>
      <c r="M3" s="1380"/>
      <c r="N3" s="964" t="s">
        <v>28</v>
      </c>
      <c r="O3" s="965" t="s">
        <v>29</v>
      </c>
      <c r="P3" s="338"/>
    </row>
    <row r="4" spans="2:16" s="7" customFormat="1" ht="15.75" customHeight="1">
      <c r="B4" s="1375"/>
      <c r="C4" s="1379"/>
      <c r="D4" s="1380"/>
      <c r="E4" s="1380"/>
      <c r="F4" s="1380"/>
      <c r="G4" s="1380"/>
      <c r="H4" s="1380"/>
      <c r="I4" s="1380"/>
      <c r="J4" s="1380"/>
      <c r="K4" s="1380"/>
      <c r="L4" s="1380"/>
      <c r="M4" s="1380"/>
      <c r="N4" s="966">
        <v>7</v>
      </c>
      <c r="O4" s="967" t="s">
        <v>1063</v>
      </c>
      <c r="P4" s="338"/>
    </row>
    <row r="5" spans="2:16" s="7" customFormat="1" ht="15.6">
      <c r="B5" s="1375"/>
      <c r="C5" s="1379"/>
      <c r="D5" s="1380"/>
      <c r="E5" s="1380"/>
      <c r="F5" s="1380"/>
      <c r="G5" s="1380"/>
      <c r="H5" s="1380"/>
      <c r="I5" s="1380"/>
      <c r="J5" s="1380"/>
      <c r="K5" s="1380"/>
      <c r="L5" s="1380"/>
      <c r="M5" s="1380"/>
      <c r="N5" s="1385" t="s">
        <v>30</v>
      </c>
      <c r="O5" s="1386"/>
      <c r="P5" s="338"/>
    </row>
    <row r="6" spans="2:16" s="7" customFormat="1" ht="15.6" customHeight="1" thickBot="1">
      <c r="B6" s="1376"/>
      <c r="C6" s="1381"/>
      <c r="D6" s="1382"/>
      <c r="E6" s="1382"/>
      <c r="F6" s="1382"/>
      <c r="G6" s="1382"/>
      <c r="H6" s="1382"/>
      <c r="I6" s="1382"/>
      <c r="J6" s="1382"/>
      <c r="K6" s="1382"/>
      <c r="L6" s="1382"/>
      <c r="M6" s="1382"/>
      <c r="N6" s="1387">
        <v>44561</v>
      </c>
      <c r="O6" s="1388"/>
      <c r="P6" s="338"/>
    </row>
    <row r="7" spans="2:16" s="7" customFormat="1" ht="13.8" thickBot="1">
      <c r="B7" s="338"/>
      <c r="C7" s="338"/>
      <c r="D7" s="338"/>
      <c r="E7" s="338"/>
      <c r="F7" s="339">
        <f>D11</f>
        <v>0</v>
      </c>
      <c r="G7" s="338"/>
      <c r="H7" s="338"/>
      <c r="I7" s="338"/>
      <c r="J7" s="338"/>
      <c r="K7" s="338"/>
      <c r="L7" s="338"/>
      <c r="M7" s="338"/>
      <c r="N7" s="338"/>
      <c r="O7" s="338"/>
      <c r="P7" s="338"/>
    </row>
    <row r="8" spans="2:16" s="7" customFormat="1" ht="15.6">
      <c r="B8" s="1389" t="s">
        <v>1064</v>
      </c>
      <c r="C8" s="1390"/>
      <c r="D8" s="1390"/>
      <c r="E8" s="1390"/>
      <c r="F8" s="1390"/>
      <c r="G8" s="1390"/>
      <c r="H8" s="1390"/>
      <c r="I8" s="1390"/>
      <c r="J8" s="1390"/>
      <c r="K8" s="1390"/>
      <c r="L8" s="1390"/>
      <c r="M8" s="1390"/>
      <c r="N8" s="1390"/>
      <c r="O8" s="1391"/>
      <c r="P8" s="338"/>
    </row>
    <row r="9" spans="2:16" s="7" customFormat="1">
      <c r="B9" s="338"/>
      <c r="C9" s="338"/>
      <c r="D9" s="338"/>
      <c r="E9" s="338"/>
      <c r="F9" s="339"/>
      <c r="G9" s="338"/>
      <c r="H9" s="338"/>
      <c r="I9" s="338"/>
      <c r="J9" s="338"/>
      <c r="K9" s="338"/>
      <c r="L9" s="338"/>
      <c r="M9" s="338"/>
      <c r="N9" s="338"/>
      <c r="O9" s="338"/>
      <c r="P9" s="338"/>
    </row>
    <row r="10" spans="2:16" s="7" customFormat="1" ht="15.6">
      <c r="B10" s="968" t="s">
        <v>32</v>
      </c>
      <c r="C10" s="1392" t="s">
        <v>33</v>
      </c>
      <c r="D10" s="1392"/>
      <c r="E10" s="1392"/>
      <c r="F10" s="1392"/>
      <c r="G10" s="1392"/>
      <c r="H10" s="1392"/>
      <c r="I10" s="1392"/>
      <c r="J10" s="1392"/>
      <c r="K10" s="1392"/>
      <c r="L10" s="1392"/>
      <c r="M10" s="1392"/>
      <c r="N10" s="1392"/>
      <c r="O10" s="1392"/>
      <c r="P10" s="338"/>
    </row>
    <row r="11" spans="2:16" s="7" customFormat="1" ht="55.2" customHeight="1">
      <c r="B11" s="22" t="s">
        <v>1065</v>
      </c>
      <c r="C11" s="1373" t="s">
        <v>1066</v>
      </c>
      <c r="D11" s="1373"/>
      <c r="E11" s="1373"/>
      <c r="F11" s="1373"/>
      <c r="G11" s="1373"/>
      <c r="H11" s="1373"/>
      <c r="I11" s="1373"/>
      <c r="J11" s="1373"/>
      <c r="K11" s="1373"/>
      <c r="L11" s="1373"/>
      <c r="M11" s="1373"/>
      <c r="N11" s="1373"/>
      <c r="O11" s="1373"/>
    </row>
    <row r="12" spans="2:16" s="7" customFormat="1" ht="55.2" customHeight="1">
      <c r="B12" s="23" t="s">
        <v>1067</v>
      </c>
      <c r="C12" s="1373" t="s">
        <v>1068</v>
      </c>
      <c r="D12" s="1373"/>
      <c r="E12" s="1373"/>
      <c r="F12" s="1373"/>
      <c r="G12" s="1373"/>
      <c r="H12" s="1373"/>
      <c r="I12" s="1373"/>
      <c r="J12" s="1373"/>
      <c r="K12" s="1373"/>
      <c r="L12" s="1373"/>
      <c r="M12" s="1373"/>
      <c r="N12" s="1373"/>
      <c r="O12" s="1373"/>
    </row>
    <row r="13" spans="2:16" s="7" customFormat="1" ht="55.2" customHeight="1">
      <c r="B13" s="22" t="s">
        <v>974</v>
      </c>
      <c r="C13" s="1373" t="s">
        <v>1069</v>
      </c>
      <c r="D13" s="1373"/>
      <c r="E13" s="1373"/>
      <c r="F13" s="1373"/>
      <c r="G13" s="1373"/>
      <c r="H13" s="1373"/>
      <c r="I13" s="1373"/>
      <c r="J13" s="1373"/>
      <c r="K13" s="1373"/>
      <c r="L13" s="1373"/>
      <c r="M13" s="1373"/>
      <c r="N13" s="1373"/>
      <c r="O13" s="1373"/>
    </row>
    <row r="14" spans="2:16" s="7" customFormat="1" ht="55.2" customHeight="1">
      <c r="B14" s="22" t="s">
        <v>1070</v>
      </c>
      <c r="C14" s="1373" t="s">
        <v>1071</v>
      </c>
      <c r="D14" s="1373"/>
      <c r="E14" s="1373"/>
      <c r="F14" s="1373"/>
      <c r="G14" s="1373"/>
      <c r="H14" s="1373"/>
      <c r="I14" s="1373"/>
      <c r="J14" s="1373"/>
      <c r="K14" s="1373"/>
      <c r="L14" s="1373"/>
      <c r="M14" s="1373"/>
      <c r="N14" s="1373"/>
      <c r="O14" s="1373"/>
    </row>
    <row r="15" spans="2:16" s="7" customFormat="1" ht="55.2" customHeight="1">
      <c r="B15" s="22" t="s">
        <v>69</v>
      </c>
      <c r="C15" s="1373" t="s">
        <v>1072</v>
      </c>
      <c r="D15" s="1373"/>
      <c r="E15" s="1373"/>
      <c r="F15" s="1373"/>
      <c r="G15" s="1373"/>
      <c r="H15" s="1373"/>
      <c r="I15" s="1373"/>
      <c r="J15" s="1373"/>
      <c r="K15" s="1373"/>
      <c r="L15" s="1373"/>
      <c r="M15" s="1373"/>
      <c r="N15" s="1373"/>
      <c r="O15" s="1373"/>
    </row>
    <row r="16" spans="2:16" s="7" customFormat="1" ht="55.2" customHeight="1">
      <c r="B16" s="16" t="s">
        <v>1073</v>
      </c>
      <c r="C16" s="1373" t="s">
        <v>1074</v>
      </c>
      <c r="D16" s="1373"/>
      <c r="E16" s="1373"/>
      <c r="F16" s="1373"/>
      <c r="G16" s="1373"/>
      <c r="H16" s="1373"/>
      <c r="I16" s="1373"/>
      <c r="J16" s="1373"/>
      <c r="K16" s="1373"/>
      <c r="L16" s="1373"/>
      <c r="M16" s="1373"/>
      <c r="N16" s="1373"/>
      <c r="O16" s="1373"/>
    </row>
    <row r="17" spans="2:15" s="7" customFormat="1" ht="76.2" customHeight="1">
      <c r="B17" s="16" t="s">
        <v>977</v>
      </c>
      <c r="C17" s="1373" t="s">
        <v>1075</v>
      </c>
      <c r="D17" s="1373"/>
      <c r="E17" s="1373"/>
      <c r="F17" s="1373"/>
      <c r="G17" s="1373"/>
      <c r="H17" s="1373"/>
      <c r="I17" s="1373"/>
      <c r="J17" s="1373"/>
      <c r="K17" s="1373"/>
      <c r="L17" s="1373"/>
      <c r="M17" s="1373"/>
      <c r="N17" s="1373"/>
      <c r="O17" s="1373"/>
    </row>
    <row r="18" spans="2:15" s="7" customFormat="1" ht="55.2" customHeight="1">
      <c r="B18" s="16" t="s">
        <v>978</v>
      </c>
      <c r="C18" s="1394" t="s">
        <v>1076</v>
      </c>
      <c r="D18" s="1394"/>
      <c r="E18" s="1394"/>
      <c r="F18" s="1394"/>
      <c r="G18" s="1394"/>
      <c r="H18" s="1394"/>
      <c r="I18" s="1394"/>
      <c r="J18" s="1394"/>
      <c r="K18" s="1394"/>
      <c r="L18" s="1394"/>
      <c r="M18" s="1394"/>
      <c r="N18" s="1394"/>
      <c r="O18" s="1394"/>
    </row>
    <row r="19" spans="2:15" s="7" customFormat="1" ht="55.2" customHeight="1">
      <c r="B19" s="16" t="s">
        <v>1077</v>
      </c>
      <c r="C19" s="1394" t="s">
        <v>1078</v>
      </c>
      <c r="D19" s="1394"/>
      <c r="E19" s="1394"/>
      <c r="F19" s="1394"/>
      <c r="G19" s="1394"/>
      <c r="H19" s="1394"/>
      <c r="I19" s="1394"/>
      <c r="J19" s="1394"/>
      <c r="K19" s="1394"/>
      <c r="L19" s="1394"/>
      <c r="M19" s="1394"/>
      <c r="N19" s="1394"/>
      <c r="O19" s="1394"/>
    </row>
    <row r="20" spans="2:15" s="7" customFormat="1" ht="55.2" customHeight="1">
      <c r="B20" s="16" t="s">
        <v>37</v>
      </c>
      <c r="C20" s="1373" t="s">
        <v>83</v>
      </c>
      <c r="D20" s="1373"/>
      <c r="E20" s="1373"/>
      <c r="F20" s="1373"/>
      <c r="G20" s="1373"/>
      <c r="H20" s="1373"/>
      <c r="I20" s="1373"/>
      <c r="J20" s="1373"/>
      <c r="K20" s="1373"/>
      <c r="L20" s="1373"/>
      <c r="M20" s="1373"/>
      <c r="N20" s="1373"/>
      <c r="O20" s="1373"/>
    </row>
    <row r="21" spans="2:15" s="7" customFormat="1" ht="55.2" customHeight="1">
      <c r="B21" s="16" t="s">
        <v>82</v>
      </c>
      <c r="C21" s="1373" t="s">
        <v>84</v>
      </c>
      <c r="D21" s="1373"/>
      <c r="E21" s="1373"/>
      <c r="F21" s="1373"/>
      <c r="G21" s="1373"/>
      <c r="H21" s="1373"/>
      <c r="I21" s="1373"/>
      <c r="J21" s="1373"/>
      <c r="K21" s="1373"/>
      <c r="L21" s="1373"/>
      <c r="M21" s="1373"/>
      <c r="N21" s="1373"/>
      <c r="O21" s="1373"/>
    </row>
    <row r="22" spans="2:15" ht="12.75" customHeight="1"/>
    <row r="23" spans="2:15" ht="12.75" customHeight="1">
      <c r="B23" s="1393" t="s">
        <v>924</v>
      </c>
      <c r="C23" s="1393"/>
      <c r="D23" s="1393"/>
      <c r="E23" s="1393"/>
      <c r="F23" s="1393"/>
      <c r="G23" s="1393"/>
      <c r="H23" s="1393"/>
      <c r="I23" s="1393"/>
      <c r="J23" s="1393"/>
      <c r="K23" s="1393"/>
      <c r="L23" s="1393"/>
      <c r="M23" s="1393"/>
      <c r="N23" s="1393"/>
      <c r="O23" s="1393"/>
    </row>
    <row r="24" spans="2:15" ht="12.75" customHeight="1"/>
    <row r="25" spans="2:15" ht="12.75" customHeight="1"/>
    <row r="26" spans="2:15" ht="12.75" customHeight="1"/>
    <row r="27" spans="2:15" ht="12.75" customHeight="1"/>
    <row r="28" spans="2:15" ht="12.75" customHeight="1"/>
    <row r="29" spans="2:15" ht="12.75" customHeight="1"/>
    <row r="30" spans="2:15" ht="12.75" customHeight="1"/>
    <row r="31" spans="2:15" ht="12.75" customHeight="1"/>
    <row r="32" spans="2:15" ht="12.75" customHeight="1"/>
    <row r="33" ht="12.75" customHeight="1"/>
    <row r="34" ht="12.75" customHeight="1"/>
    <row r="35" ht="12.75" customHeight="1"/>
    <row r="36" ht="12.75" customHeight="1"/>
    <row r="37" ht="12.75" customHeight="1"/>
    <row r="38" ht="12.75" customHeight="1"/>
    <row r="39" ht="12.75" customHeight="1"/>
    <row r="40" ht="12.75" customHeight="1"/>
  </sheetData>
  <sheetProtection algorithmName="SHA-512" hashValue="5Jwf0bnBeyMDubuOUh9hfgxyaXwIAs4zfrKtZGOoPyNGp8H8ai3/vBt3bv8pp3t/pCN1e7lqTbqWY7UYypfg1A==" saltValue="Yw4RKSG62dmxT4LW8P6ifw==" spinCount="100000" sheet="1" objects="1" scenarios="1"/>
  <mergeCells count="19">
    <mergeCell ref="B23:O23"/>
    <mergeCell ref="C16:O16"/>
    <mergeCell ref="C17:O17"/>
    <mergeCell ref="C18:O18"/>
    <mergeCell ref="C19:O19"/>
    <mergeCell ref="C20:O20"/>
    <mergeCell ref="C21:O21"/>
    <mergeCell ref="C15:O15"/>
    <mergeCell ref="B2:B6"/>
    <mergeCell ref="C2:M6"/>
    <mergeCell ref="N2:O2"/>
    <mergeCell ref="N5:O5"/>
    <mergeCell ref="N6:O6"/>
    <mergeCell ref="B8:O8"/>
    <mergeCell ref="C10:O10"/>
    <mergeCell ref="C11:O11"/>
    <mergeCell ref="C12:O12"/>
    <mergeCell ref="C13:O13"/>
    <mergeCell ref="C14:O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7BCC9-9A22-4BCC-9C97-4D230845B0A5}">
  <sheetPr>
    <tabColor rgb="FF00FF99"/>
  </sheetPr>
  <dimension ref="B1:R84"/>
  <sheetViews>
    <sheetView showGridLines="0" zoomScale="85" zoomScaleNormal="85" workbookViewId="0">
      <selection activeCell="F39" sqref="F39"/>
    </sheetView>
  </sheetViews>
  <sheetFormatPr baseColWidth="10" defaultColWidth="11.44140625" defaultRowHeight="15"/>
  <cols>
    <col min="1" max="1" width="3.6640625" style="517" customWidth="1"/>
    <col min="2" max="2" width="52.44140625" style="517" customWidth="1"/>
    <col min="3" max="5" width="18.44140625" style="519" customWidth="1"/>
    <col min="6" max="7" width="18.44140625" style="517" customWidth="1"/>
    <col min="8" max="8" width="6.109375" style="519" customWidth="1"/>
    <col min="9" max="9" width="11.44140625" style="517" customWidth="1"/>
    <col min="10" max="16" width="11.44140625" style="517"/>
    <col min="17" max="17" width="62.44140625" style="517" bestFit="1" customWidth="1"/>
    <col min="18" max="18" width="40" style="517" customWidth="1"/>
    <col min="19" max="16356" width="11.44140625" style="517"/>
    <col min="16357" max="16357" width="1.44140625" style="517" customWidth="1"/>
    <col min="16358" max="16384" width="2.88671875" style="517" customWidth="1"/>
  </cols>
  <sheetData>
    <row r="1" spans="2:18">
      <c r="C1" s="518"/>
      <c r="D1" s="518"/>
      <c r="E1" s="518"/>
    </row>
    <row r="2" spans="2:18" ht="15.6">
      <c r="B2" s="1395" t="s">
        <v>891</v>
      </c>
      <c r="C2" s="1396" t="s">
        <v>896</v>
      </c>
      <c r="D2" s="1397"/>
      <c r="E2" s="1397"/>
      <c r="F2" s="1397"/>
      <c r="G2" s="1398"/>
      <c r="H2" s="566"/>
    </row>
    <row r="3" spans="2:18" ht="17.399999999999999">
      <c r="B3" s="1395"/>
      <c r="C3" s="1399" t="str">
        <f>+'3.Resum Desemp Procesos POA T1'!C3</f>
        <v>PLAN OPERATIVO ANUAL 2022</v>
      </c>
      <c r="D3" s="1400"/>
      <c r="E3" s="1400"/>
      <c r="F3" s="1400"/>
      <c r="G3" s="1401"/>
      <c r="H3" s="566"/>
    </row>
    <row r="4" spans="2:18" ht="9.75" customHeight="1">
      <c r="B4" s="1410"/>
      <c r="C4" s="1410"/>
      <c r="D4" s="1410"/>
      <c r="E4" s="1410"/>
      <c r="F4" s="1410"/>
      <c r="G4" s="612"/>
      <c r="H4" s="539"/>
    </row>
    <row r="5" spans="2:18" ht="19.5" customHeight="1">
      <c r="B5" s="517" t="str">
        <f>+'3.Resum Desemp Procesos POA T1'!B5</f>
        <v xml:space="preserve">Fecha de corte: </v>
      </c>
      <c r="C5" s="1089">
        <f>+'3.Resum Desemp Procesos POA T4 '!C5</f>
        <v>44926</v>
      </c>
    </row>
    <row r="6" spans="2:18" ht="19.5" customHeight="1">
      <c r="B6" s="520"/>
    </row>
    <row r="7" spans="2:18" s="529" customFormat="1" ht="31.5" customHeight="1">
      <c r="B7" s="1359" t="s">
        <v>718</v>
      </c>
      <c r="C7" s="1411" t="s">
        <v>1060</v>
      </c>
      <c r="D7" s="1412"/>
      <c r="E7" s="1412"/>
      <c r="F7" s="1412"/>
      <c r="G7" s="1413"/>
      <c r="H7" s="530"/>
      <c r="Q7" s="517"/>
      <c r="R7" s="517"/>
    </row>
    <row r="8" spans="2:18" s="529" customFormat="1" ht="74.400000000000006" customHeight="1">
      <c r="B8" s="1359"/>
      <c r="C8" s="613" t="s">
        <v>897</v>
      </c>
      <c r="D8" s="613" t="s">
        <v>898</v>
      </c>
      <c r="E8" s="613" t="s">
        <v>899</v>
      </c>
      <c r="F8" s="613" t="s">
        <v>906</v>
      </c>
      <c r="G8" s="571" t="s">
        <v>925</v>
      </c>
      <c r="H8" s="530"/>
      <c r="Q8" s="517"/>
      <c r="R8" s="517"/>
    </row>
    <row r="9" spans="2:18">
      <c r="B9" s="522" t="s">
        <v>725</v>
      </c>
      <c r="C9" s="618">
        <f>+'4.Segto Medición POA 2022 T4'!C64</f>
        <v>4</v>
      </c>
      <c r="D9" s="542">
        <f>COUNTIF('2.Infor Detallado Desempeño POA'!AL12:AL15,"=100%")</f>
        <v>0</v>
      </c>
      <c r="E9" s="543">
        <f>COUNTIF('2.Infor Detallado Desempeño POA'!AL12:AL15,"&gt;100%")</f>
        <v>0</v>
      </c>
      <c r="F9" s="616">
        <f>COUNTIF('2.Infor Detallado Desempeño POA'!AL12:AL15,"&lt;100%")</f>
        <v>3</v>
      </c>
      <c r="G9" s="614">
        <f>COUNTIF('2.Infor Detallado Desempeño POA'!AL12:AL15,"=No programado")</f>
        <v>1</v>
      </c>
      <c r="H9" s="540">
        <f>SUM(D9:G9)</f>
        <v>4</v>
      </c>
      <c r="I9" s="541">
        <f t="shared" ref="I9:I25" si="0">C9-H9</f>
        <v>0</v>
      </c>
    </row>
    <row r="10" spans="2:18">
      <c r="B10" s="522" t="s">
        <v>727</v>
      </c>
      <c r="C10" s="618">
        <f>+'4.Segto Medición POA 2022 T4'!C65</f>
        <v>4</v>
      </c>
      <c r="D10" s="542">
        <f>COUNTIF('2.Infor Detallado Desempeño POA'!AL21:AL24,"=100%")</f>
        <v>0</v>
      </c>
      <c r="E10" s="543">
        <f>COUNTIF('2.Infor Detallado Desempeño POA'!AL21:AL24,"&gt;100%")</f>
        <v>0</v>
      </c>
      <c r="F10" s="616">
        <f>COUNTIF('2.Infor Detallado Desempeño POA'!AL21:AL24,"&lt;100%")</f>
        <v>4</v>
      </c>
      <c r="G10" s="614">
        <f>COUNTIF('2.Infor Detallado Desempeño POA'!AL21:AL24,"=No programado")</f>
        <v>0</v>
      </c>
      <c r="H10" s="540">
        <f t="shared" ref="H10:H24" si="1">SUM(D10:G10)</f>
        <v>4</v>
      </c>
      <c r="I10" s="541">
        <f t="shared" si="0"/>
        <v>0</v>
      </c>
    </row>
    <row r="11" spans="2:18">
      <c r="B11" s="522" t="s">
        <v>728</v>
      </c>
      <c r="C11" s="618">
        <f>+'4.Segto Medición POA 2022 T4'!C66</f>
        <v>7</v>
      </c>
      <c r="D11" s="542">
        <f>COUNTIF('2.Infor Detallado Desempeño POA'!AL30:AL36,"=100%")</f>
        <v>0</v>
      </c>
      <c r="E11" s="543">
        <f>COUNTIF('2.Infor Detallado Desempeño POA'!AL30:AL36,"&gt;100%")</f>
        <v>0</v>
      </c>
      <c r="F11" s="616">
        <f>COUNTIF('2.Infor Detallado Desempeño POA'!AL30:AL36,"&lt;100%")</f>
        <v>7</v>
      </c>
      <c r="G11" s="614">
        <f>COUNTIF('2.Infor Detallado Desempeño POA'!AL30:AL36,"=No programado")</f>
        <v>0</v>
      </c>
      <c r="H11" s="540">
        <f t="shared" si="1"/>
        <v>7</v>
      </c>
      <c r="I11" s="541">
        <f t="shared" si="0"/>
        <v>0</v>
      </c>
    </row>
    <row r="12" spans="2:18">
      <c r="B12" s="522" t="s">
        <v>729</v>
      </c>
      <c r="C12" s="618">
        <f>+'4.Segto Medición POA 2022 T4'!C67</f>
        <v>2</v>
      </c>
      <c r="D12" s="542">
        <f>COUNTIF('2.Infor Detallado Desempeño POA'!AL42:AL43,"=100%")</f>
        <v>0</v>
      </c>
      <c r="E12" s="543">
        <f>COUNTIF('2.Infor Detallado Desempeño POA'!AL42:AL43,"&gt;100%")</f>
        <v>0</v>
      </c>
      <c r="F12" s="616">
        <f>COUNTIF('2.Infor Detallado Desempeño POA'!AL42:AL43,"&lt;100%")</f>
        <v>2</v>
      </c>
      <c r="G12" s="614">
        <f>COUNTIF('2.Infor Detallado Desempeño POA'!AL42:AL43,"=No programado")</f>
        <v>0</v>
      </c>
      <c r="H12" s="540">
        <f>SUM(D12:G12)</f>
        <v>2</v>
      </c>
      <c r="I12" s="541">
        <f t="shared" si="0"/>
        <v>0</v>
      </c>
    </row>
    <row r="13" spans="2:18">
      <c r="B13" s="522" t="s">
        <v>740</v>
      </c>
      <c r="C13" s="618">
        <f>+'4.Segto Medición POA 2022 T4'!C68</f>
        <v>3</v>
      </c>
      <c r="D13" s="542">
        <f>COUNTIF('2.Infor Detallado Desempeño POA'!AL49:AL51,"=100%")</f>
        <v>0</v>
      </c>
      <c r="E13" s="543">
        <f>COUNTIF('2.Infor Detallado Desempeño POA'!AL49:AL51,"&gt;100%")</f>
        <v>0</v>
      </c>
      <c r="F13" s="616">
        <f>COUNTIF('2.Infor Detallado Desempeño POA'!AL49:AL51,"&lt;100%")</f>
        <v>2</v>
      </c>
      <c r="G13" s="614">
        <f>COUNTIF('2.Infor Detallado Desempeño POA'!AL49:AL51,"=No programado")</f>
        <v>1</v>
      </c>
      <c r="H13" s="540">
        <f t="shared" si="1"/>
        <v>3</v>
      </c>
      <c r="I13" s="541">
        <f t="shared" si="0"/>
        <v>0</v>
      </c>
    </row>
    <row r="14" spans="2:18">
      <c r="B14" s="522" t="s">
        <v>730</v>
      </c>
      <c r="C14" s="618">
        <f>+'4.Segto Medición POA 2022 T4'!C69</f>
        <v>20</v>
      </c>
      <c r="D14" s="542">
        <f>COUNTIF('2.Infor Detallado Desempeño POA'!AL57:AL76,"=100%")</f>
        <v>0</v>
      </c>
      <c r="E14" s="543">
        <f>COUNTIF('2.Infor Detallado Desempeño POA'!AL57:AL76,"&gt;100%")</f>
        <v>0</v>
      </c>
      <c r="F14" s="616">
        <f>COUNTIF('2.Infor Detallado Desempeño POA'!AL57:AL76,"&lt;100%")</f>
        <v>18</v>
      </c>
      <c r="G14" s="614">
        <f>COUNTIF('2.Infor Detallado Desempeño POA'!AL57:AL76,"=No programado")</f>
        <v>2</v>
      </c>
      <c r="H14" s="540">
        <f t="shared" si="1"/>
        <v>20</v>
      </c>
      <c r="I14" s="541">
        <f t="shared" si="0"/>
        <v>0</v>
      </c>
    </row>
    <row r="15" spans="2:18">
      <c r="B15" s="522" t="s">
        <v>865</v>
      </c>
      <c r="C15" s="618">
        <f>+'4.Segto Medición POA 2022 T4'!C70</f>
        <v>7</v>
      </c>
      <c r="D15" s="542">
        <f>COUNTIF('2.Infor Detallado Desempeño POA'!AL82:AL88,"=100%")</f>
        <v>0</v>
      </c>
      <c r="E15" s="543">
        <f>COUNTIF('2.Infor Detallado Desempeño POA'!AL82:AL88,"&gt;100%")</f>
        <v>0</v>
      </c>
      <c r="F15" s="616">
        <f>COUNTIF('2.Infor Detallado Desempeño POA'!AL82:AL88,"&lt;100%")</f>
        <v>5</v>
      </c>
      <c r="G15" s="614">
        <f>COUNTIF('2.Infor Detallado Desempeño POA'!AL82:AL88,"=No programado")</f>
        <v>2</v>
      </c>
      <c r="H15" s="540">
        <f t="shared" si="1"/>
        <v>7</v>
      </c>
      <c r="I15" s="541">
        <f t="shared" si="0"/>
        <v>0</v>
      </c>
    </row>
    <row r="16" spans="2:18">
      <c r="B16" s="522" t="s">
        <v>733</v>
      </c>
      <c r="C16" s="618">
        <f>+'4.Segto Medición POA 2022 T4'!C71</f>
        <v>8</v>
      </c>
      <c r="D16" s="542">
        <f>COUNTIF('2.Infor Detallado Desempeño POA'!AL94:AL101,"=100%")</f>
        <v>0</v>
      </c>
      <c r="E16" s="543">
        <f>COUNTIF('2.Infor Detallado Desempeño POA'!AL94:AL101,"&gt;100%")</f>
        <v>0</v>
      </c>
      <c r="F16" s="616">
        <f>COUNTIF('2.Infor Detallado Desempeño POA'!AL94:AL101,"&lt;100%")</f>
        <v>7</v>
      </c>
      <c r="G16" s="614">
        <f>COUNTIF('2.Infor Detallado Desempeño POA'!AL94:AL101,"=No programado")</f>
        <v>1</v>
      </c>
      <c r="H16" s="540">
        <f t="shared" si="1"/>
        <v>8</v>
      </c>
      <c r="I16" s="541">
        <f t="shared" si="0"/>
        <v>0</v>
      </c>
    </row>
    <row r="17" spans="2:9">
      <c r="B17" s="522" t="s">
        <v>734</v>
      </c>
      <c r="C17" s="618">
        <f>+'4.Segto Medición POA 2022 T4'!C72</f>
        <v>8</v>
      </c>
      <c r="D17" s="542">
        <f>COUNTIF('2.Infor Detallado Desempeño POA'!AL107:AL114,"=100%")</f>
        <v>0</v>
      </c>
      <c r="E17" s="543">
        <f>COUNTIF('2.Infor Detallado Desempeño POA'!AL107:AL114,"&gt;100%")</f>
        <v>0</v>
      </c>
      <c r="F17" s="616">
        <f>COUNTIF('2.Infor Detallado Desempeño POA'!AL107:AL114,"&lt;100%")</f>
        <v>7</v>
      </c>
      <c r="G17" s="614">
        <f>COUNTIF('2.Infor Detallado Desempeño POA'!AL107:AL114,"=No programado")</f>
        <v>1</v>
      </c>
      <c r="H17" s="540">
        <f t="shared" si="1"/>
        <v>8</v>
      </c>
      <c r="I17" s="541">
        <f t="shared" si="0"/>
        <v>0</v>
      </c>
    </row>
    <row r="18" spans="2:9" ht="16.5" customHeight="1">
      <c r="B18" s="522" t="s">
        <v>735</v>
      </c>
      <c r="C18" s="618">
        <f>+'4.Segto Medición POA 2022 T4'!C73</f>
        <v>2</v>
      </c>
      <c r="D18" s="542">
        <f>COUNTIF('2.Infor Detallado Desempeño POA'!AL120:AL121,"=100%")</f>
        <v>0</v>
      </c>
      <c r="E18" s="543">
        <f>COUNTIF('2.Infor Detallado Desempeño POA'!AL120:AL121,"&gt;100%")</f>
        <v>0</v>
      </c>
      <c r="F18" s="616">
        <f>COUNTIF('2.Infor Detallado Desempeño POA'!AL120:AL121,"&lt;100%")</f>
        <v>2</v>
      </c>
      <c r="G18" s="614">
        <f>COUNTIF('2.Infor Detallado Desempeño POA'!AL120:AL121,"=No programado")</f>
        <v>0</v>
      </c>
      <c r="H18" s="540">
        <f t="shared" si="1"/>
        <v>2</v>
      </c>
      <c r="I18" s="541">
        <f t="shared" si="0"/>
        <v>0</v>
      </c>
    </row>
    <row r="19" spans="2:9">
      <c r="B19" s="522" t="s">
        <v>736</v>
      </c>
      <c r="C19" s="618">
        <f>+'4.Segto Medición POA 2022 T4'!C74</f>
        <v>3</v>
      </c>
      <c r="D19" s="542">
        <f>COUNTIF('2.Infor Detallado Desempeño POA'!AL127:AL129,"=100%")</f>
        <v>0</v>
      </c>
      <c r="E19" s="543">
        <f>COUNTIF('2.Infor Detallado Desempeño POA'!AL127:AL129,"&gt;100%")</f>
        <v>0</v>
      </c>
      <c r="F19" s="616">
        <f>COUNTIF('2.Infor Detallado Desempeño POA'!AL127:AL129,"&lt;100%")</f>
        <v>3</v>
      </c>
      <c r="G19" s="614">
        <f>COUNTIF('2.Infor Detallado Desempeño POA'!AL127:AL129,"=No programado")</f>
        <v>0</v>
      </c>
      <c r="H19" s="540">
        <f t="shared" si="1"/>
        <v>3</v>
      </c>
      <c r="I19" s="541">
        <f t="shared" si="0"/>
        <v>0</v>
      </c>
    </row>
    <row r="20" spans="2:9">
      <c r="B20" s="522" t="s">
        <v>737</v>
      </c>
      <c r="C20" s="618">
        <f>+'4.Segto Medición POA 2022 T4'!C75</f>
        <v>4</v>
      </c>
      <c r="D20" s="542">
        <f>COUNTIF('2.Infor Detallado Desempeño POA'!AL135:AL138,"=100%")</f>
        <v>0</v>
      </c>
      <c r="E20" s="543">
        <f>COUNTIF('2.Infor Detallado Desempeño POA'!AL135:AL138,"&gt;100%")</f>
        <v>0</v>
      </c>
      <c r="F20" s="616">
        <f>COUNTIF('2.Infor Detallado Desempeño POA'!AL135:AL138,"&lt;100%")</f>
        <v>4</v>
      </c>
      <c r="G20" s="614">
        <f>COUNTIF('2.Infor Detallado Desempeño POA'!AL135:AL138,"=No programado")</f>
        <v>0</v>
      </c>
      <c r="H20" s="540">
        <f t="shared" si="1"/>
        <v>4</v>
      </c>
      <c r="I20" s="541">
        <f t="shared" si="0"/>
        <v>0</v>
      </c>
    </row>
    <row r="21" spans="2:9">
      <c r="B21" s="522" t="s">
        <v>738</v>
      </c>
      <c r="C21" s="618">
        <f>+'4.Segto Medición POA 2022 T4'!C76</f>
        <v>4</v>
      </c>
      <c r="D21" s="542">
        <f>COUNTIF('2.Infor Detallado Desempeño POA'!AL144:AL147,"=100%")</f>
        <v>0</v>
      </c>
      <c r="E21" s="543">
        <f>COUNTIF('2.Infor Detallado Desempeño POA'!AL144:AL147,"&gt;100%")</f>
        <v>0</v>
      </c>
      <c r="F21" s="616">
        <f>COUNTIF('2.Infor Detallado Desempeño POA'!AL144:AL147,"&lt;100%")</f>
        <v>4</v>
      </c>
      <c r="G21" s="614">
        <f>COUNTIF('2.Infor Detallado Desempeño POA'!AL144:AL147,"=No programado")</f>
        <v>0</v>
      </c>
      <c r="H21" s="540">
        <f t="shared" si="1"/>
        <v>4</v>
      </c>
      <c r="I21" s="541">
        <f t="shared" si="0"/>
        <v>0</v>
      </c>
    </row>
    <row r="22" spans="2:9">
      <c r="B22" s="522" t="s">
        <v>739</v>
      </c>
      <c r="C22" s="618">
        <f>+'4.Segto Medición POA 2022 T4'!C77</f>
        <v>5</v>
      </c>
      <c r="D22" s="542">
        <f>COUNTIF('2.Infor Detallado Desempeño POA'!AL153:AL157,"=100%")</f>
        <v>0</v>
      </c>
      <c r="E22" s="543">
        <f>COUNTIF('2.Infor Detallado Desempeño POA'!AL153:AL157,"&gt;100%")</f>
        <v>0</v>
      </c>
      <c r="F22" s="616">
        <f>COUNTIF('2.Infor Detallado Desempeño POA'!AL153:AL157,"&lt;100%")</f>
        <v>5</v>
      </c>
      <c r="G22" s="614">
        <f>COUNTIF('2.Infor Detallado Desempeño POA'!AL153:AL157,"=No programado")</f>
        <v>0</v>
      </c>
      <c r="H22" s="540">
        <f t="shared" si="1"/>
        <v>5</v>
      </c>
      <c r="I22" s="541">
        <f t="shared" si="0"/>
        <v>0</v>
      </c>
    </row>
    <row r="23" spans="2:9">
      <c r="B23" s="522" t="s">
        <v>741</v>
      </c>
      <c r="C23" s="618">
        <f>+'4.Segto Medición POA 2022 T4'!C78</f>
        <v>3</v>
      </c>
      <c r="D23" s="542">
        <f>COUNTIF('2.Infor Detallado Desempeño POA'!AL163:AL165,"=100%")</f>
        <v>0</v>
      </c>
      <c r="E23" s="543">
        <f>COUNTIF('2.Infor Detallado Desempeño POA'!AL163:AL165,"&gt;100%")</f>
        <v>0</v>
      </c>
      <c r="F23" s="616">
        <f>COUNTIF('2.Infor Detallado Desempeño POA'!AL163:AL165,"&lt;100%")</f>
        <v>3</v>
      </c>
      <c r="G23" s="614">
        <f>COUNTIF('2.Infor Detallado Desempeño POA'!AL163:AL165,"=No programado")</f>
        <v>0</v>
      </c>
      <c r="H23" s="540">
        <f t="shared" si="1"/>
        <v>3</v>
      </c>
      <c r="I23" s="541">
        <f t="shared" si="0"/>
        <v>0</v>
      </c>
    </row>
    <row r="24" spans="2:9">
      <c r="B24" s="522" t="s">
        <v>742</v>
      </c>
      <c r="C24" s="618">
        <f>+'4.Segto Medición POA 2022 T4'!C79</f>
        <v>3</v>
      </c>
      <c r="D24" s="542">
        <f>COUNTIF('2.Infor Detallado Desempeño POA'!AL171:AL173,"=100%")</f>
        <v>0</v>
      </c>
      <c r="E24" s="543">
        <f>COUNTIF('2.Infor Detallado Desempeño POA'!AL171:AL173,"&gt;100%")</f>
        <v>0</v>
      </c>
      <c r="F24" s="616">
        <f>COUNTIF('2.Infor Detallado Desempeño POA'!AL171:AL173,"&lt;100%")</f>
        <v>2</v>
      </c>
      <c r="G24" s="614">
        <f>COUNTIF('2.Infor Detallado Desempeño POA'!AL171:AL173,"=No programado")</f>
        <v>1</v>
      </c>
      <c r="H24" s="540">
        <f t="shared" si="1"/>
        <v>3</v>
      </c>
      <c r="I24" s="541">
        <f t="shared" si="0"/>
        <v>0</v>
      </c>
    </row>
    <row r="25" spans="2:9" ht="19.5" customHeight="1">
      <c r="B25" s="555" t="s">
        <v>895</v>
      </c>
      <c r="C25" s="556">
        <f>SUM(C9:C24)</f>
        <v>87</v>
      </c>
      <c r="D25" s="557">
        <f t="shared" ref="D25:E25" si="2">SUM(D9:D24)</f>
        <v>0</v>
      </c>
      <c r="E25" s="558">
        <f t="shared" si="2"/>
        <v>0</v>
      </c>
      <c r="F25" s="617">
        <f>SUM(F9:F24)</f>
        <v>78</v>
      </c>
      <c r="G25" s="615">
        <f>SUM(G9:G24)</f>
        <v>9</v>
      </c>
      <c r="H25" s="540">
        <f>SUM(D25:G25)</f>
        <v>87</v>
      </c>
      <c r="I25" s="541">
        <f t="shared" si="0"/>
        <v>0</v>
      </c>
    </row>
    <row r="27" spans="2:9" s="624" customFormat="1" ht="2.4" customHeight="1">
      <c r="C27" s="628"/>
      <c r="D27" s="920" t="str">
        <f>+D8</f>
        <v>No de Indicadores con Meta Cumplida según programación</v>
      </c>
      <c r="E27" s="921">
        <f>+D25</f>
        <v>0</v>
      </c>
      <c r="H27" s="625"/>
    </row>
    <row r="28" spans="2:9" s="624" customFormat="1" ht="2.4" customHeight="1">
      <c r="C28" s="628"/>
      <c r="D28" s="920" t="str">
        <f>+E8</f>
        <v xml:space="preserve">No de Indicadores con ejecución superior a la programada </v>
      </c>
      <c r="E28" s="921">
        <f>+E25</f>
        <v>0</v>
      </c>
      <c r="H28" s="625"/>
    </row>
    <row r="29" spans="2:9" s="624" customFormat="1" ht="2.4" customHeight="1">
      <c r="C29" s="628"/>
      <c r="D29" s="920" t="str">
        <f>+F8</f>
        <v xml:space="preserve">No de Indicadores con ejecución menor a la programada </v>
      </c>
      <c r="E29" s="921">
        <f>+F25</f>
        <v>78</v>
      </c>
      <c r="H29" s="625"/>
    </row>
    <row r="30" spans="2:9" s="624" customFormat="1" ht="2.4" customHeight="1">
      <c r="C30" s="628"/>
      <c r="D30" s="920" t="str">
        <f>+G8</f>
        <v>No de indicadores sin programar en el periodo</v>
      </c>
      <c r="E30" s="921">
        <f>+G25</f>
        <v>9</v>
      </c>
      <c r="H30" s="625"/>
    </row>
    <row r="31" spans="2:9" s="624" customFormat="1">
      <c r="C31" s="625"/>
      <c r="D31" s="625"/>
      <c r="E31" s="625"/>
      <c r="H31" s="625"/>
    </row>
    <row r="32" spans="2:9" s="624" customFormat="1">
      <c r="C32" s="625"/>
      <c r="D32" s="625"/>
      <c r="E32" s="625"/>
      <c r="H32" s="625"/>
    </row>
    <row r="33" spans="2:9" s="624" customFormat="1" hidden="1">
      <c r="C33" s="625"/>
      <c r="D33" s="625"/>
      <c r="E33" s="625"/>
      <c r="H33" s="625"/>
    </row>
    <row r="34" spans="2:9" s="627" customFormat="1" ht="10.199999999999999" hidden="1" customHeight="1">
      <c r="C34" s="628"/>
      <c r="D34" s="1409" t="str">
        <f>+C7</f>
        <v>CUMPLIMIENTO PROGRAMACIÓN EN EL PERIODO 
Cuarto Trimestre de 2021</v>
      </c>
      <c r="E34" s="1409"/>
      <c r="H34" s="628"/>
    </row>
    <row r="35" spans="2:9" s="627" customFormat="1" ht="28.2" customHeight="1">
      <c r="B35" s="1359" t="s">
        <v>718</v>
      </c>
      <c r="C35" s="1414" t="s">
        <v>1166</v>
      </c>
      <c r="D35" s="1415"/>
      <c r="E35" s="1415"/>
      <c r="F35" s="1415"/>
      <c r="G35" s="1416"/>
      <c r="H35" s="628"/>
    </row>
    <row r="36" spans="2:9" s="627" customFormat="1" ht="29.4" customHeight="1">
      <c r="B36" s="1359"/>
      <c r="C36" s="1090"/>
      <c r="D36" s="1092" t="s">
        <v>1167</v>
      </c>
      <c r="E36" s="1417">
        <f>C5</f>
        <v>44926</v>
      </c>
      <c r="F36" s="1417"/>
      <c r="G36" s="1091"/>
      <c r="H36" s="628"/>
    </row>
    <row r="37" spans="2:9" s="627" customFormat="1" ht="72.599999999999994" customHeight="1">
      <c r="B37" s="1359"/>
      <c r="C37" s="613" t="s">
        <v>897</v>
      </c>
      <c r="D37" s="613" t="s">
        <v>898</v>
      </c>
      <c r="E37" s="613" t="s">
        <v>899</v>
      </c>
      <c r="F37" s="613" t="s">
        <v>906</v>
      </c>
      <c r="G37" s="571" t="s">
        <v>925</v>
      </c>
      <c r="H37" s="628"/>
    </row>
    <row r="38" spans="2:9" s="627" customFormat="1" ht="19.95" customHeight="1">
      <c r="B38" s="522" t="s">
        <v>725</v>
      </c>
      <c r="C38" s="618">
        <f>+C64</f>
        <v>4</v>
      </c>
      <c r="D38" s="542">
        <f>COUNTIF('2.Infor Detallado Desempeño POA'!AM12:AM15,"&gt;=99%")-COUNTIF('2.Infor Detallado Desempeño POA'!AM12:AM15,"&gt;100%")</f>
        <v>0</v>
      </c>
      <c r="E38" s="543">
        <f>COUNTIF('2.Infor Detallado Desempeño POA'!AM12:AM15,"&gt;100%")</f>
        <v>0</v>
      </c>
      <c r="F38" s="616">
        <f>COUNTIF('2.Infor Detallado Desempeño POA'!AM12:AM15,"&lt;99%")</f>
        <v>4</v>
      </c>
      <c r="G38" s="614">
        <f>COUNTIF('2.Infor Detallado Desempeño POA'!AM12:AM15,"=No programado")</f>
        <v>0</v>
      </c>
      <c r="H38" s="540">
        <f>SUM(D38:G38)</f>
        <v>4</v>
      </c>
      <c r="I38" s="541">
        <f t="shared" ref="I38:I54" si="3">C38-H38</f>
        <v>0</v>
      </c>
    </row>
    <row r="39" spans="2:9" s="627" customFormat="1" ht="19.95" customHeight="1">
      <c r="B39" s="522" t="s">
        <v>727</v>
      </c>
      <c r="C39" s="618">
        <f t="shared" ref="C39:C53" si="4">+C65</f>
        <v>4</v>
      </c>
      <c r="D39" s="542">
        <f>COUNTIF('2.Infor Detallado Desempeño POA'!AM21:AM24,"&gt;=99%")-COUNTIF('2.Infor Detallado Desempeño POA'!AM21:AM24,"&gt;100%")</f>
        <v>0</v>
      </c>
      <c r="E39" s="543">
        <f>COUNTIF('2.Infor Detallado Desempeño POA'!AM21:AM24,"&gt;100%")</f>
        <v>0</v>
      </c>
      <c r="F39" s="616">
        <f>COUNTIF('2.Infor Detallado Desempeño POA'!AM21:AM24,"&lt;99%")</f>
        <v>4</v>
      </c>
      <c r="G39" s="614">
        <f>COUNTIF('2.Infor Detallado Desempeño POA'!AM21:AM24,"=No programado")</f>
        <v>0</v>
      </c>
      <c r="H39" s="540">
        <f t="shared" ref="H39:H40" si="5">SUM(D39:G39)</f>
        <v>4</v>
      </c>
      <c r="I39" s="541">
        <f t="shared" si="3"/>
        <v>0</v>
      </c>
    </row>
    <row r="40" spans="2:9" s="627" customFormat="1" ht="19.95" customHeight="1">
      <c r="B40" s="522" t="s">
        <v>728</v>
      </c>
      <c r="C40" s="618">
        <f t="shared" si="4"/>
        <v>7</v>
      </c>
      <c r="D40" s="542">
        <f>COUNTIF('2.Infor Detallado Desempeño POA'!AM30:AM36,"&gt;=99%")-COUNTIF('2.Infor Detallado Desempeño POA'!AM30:AM36,"&gt;100%")</f>
        <v>0</v>
      </c>
      <c r="E40" s="543">
        <f>COUNTIF('2.Infor Detallado Desempeño POA'!AM30:AM36,"&gt;100%")</f>
        <v>0</v>
      </c>
      <c r="F40" s="616">
        <f>COUNTIF('2.Infor Detallado Desempeño POA'!AM30:AM36,"&lt;99%")</f>
        <v>7</v>
      </c>
      <c r="G40" s="614">
        <f>COUNTIF('2.Infor Detallado Desempeño POA'!AM30:AM36,"=No programado")</f>
        <v>0</v>
      </c>
      <c r="H40" s="540">
        <f t="shared" si="5"/>
        <v>7</v>
      </c>
      <c r="I40" s="541">
        <f t="shared" si="3"/>
        <v>0</v>
      </c>
    </row>
    <row r="41" spans="2:9" s="627" customFormat="1" ht="19.95" customHeight="1">
      <c r="B41" s="522" t="s">
        <v>729</v>
      </c>
      <c r="C41" s="618">
        <f t="shared" si="4"/>
        <v>2</v>
      </c>
      <c r="D41" s="542">
        <f>COUNTIF('2.Infor Detallado Desempeño POA'!AM42:AM43,"&gt;=99%")-COUNTIF('2.Infor Detallado Desempeño POA'!AM42:AM43,"&gt;100%")</f>
        <v>0</v>
      </c>
      <c r="E41" s="543">
        <f>COUNTIF('2.Infor Detallado Desempeño POA'!AM42:AM43,"&gt;100%")</f>
        <v>0</v>
      </c>
      <c r="F41" s="616">
        <f>COUNTIF('2.Infor Detallado Desempeño POA'!AM42:AM43,"&lt;99%")</f>
        <v>2</v>
      </c>
      <c r="G41" s="614">
        <f>COUNTIF('2.Infor Detallado Desempeño POA'!AM42:AM43,"=No programado")</f>
        <v>0</v>
      </c>
      <c r="H41" s="540">
        <f>SUM(D41:G41)</f>
        <v>2</v>
      </c>
      <c r="I41" s="541">
        <f t="shared" si="3"/>
        <v>0</v>
      </c>
    </row>
    <row r="42" spans="2:9" s="627" customFormat="1" ht="19.95" customHeight="1">
      <c r="B42" s="522" t="s">
        <v>740</v>
      </c>
      <c r="C42" s="618">
        <f t="shared" si="4"/>
        <v>3</v>
      </c>
      <c r="D42" s="542">
        <f>COUNTIF('2.Infor Detallado Desempeño POA'!AM49:AM51,"&gt;=99%")-COUNTIF('2.Infor Detallado Desempeño POA'!AM49:AM51,"&gt;100%")</f>
        <v>0</v>
      </c>
      <c r="E42" s="543">
        <f>COUNTIF('2.Infor Detallado Desempeño POA'!AM49:AM51,"&gt;100%")</f>
        <v>0</v>
      </c>
      <c r="F42" s="616">
        <f>COUNTIF('2.Infor Detallado Desempeño POA'!AM49:AM51,"&lt;99%")</f>
        <v>3</v>
      </c>
      <c r="G42" s="614">
        <f>COUNTIF('2.Infor Detallado Desempeño POA'!AM49:AM51,"=No programado")</f>
        <v>0</v>
      </c>
      <c r="H42" s="540">
        <f t="shared" ref="H42:H53" si="6">SUM(D42:G42)</f>
        <v>3</v>
      </c>
      <c r="I42" s="541">
        <f t="shared" si="3"/>
        <v>0</v>
      </c>
    </row>
    <row r="43" spans="2:9" s="627" customFormat="1" ht="19.95" customHeight="1">
      <c r="B43" s="522" t="s">
        <v>730</v>
      </c>
      <c r="C43" s="618">
        <f t="shared" si="4"/>
        <v>20</v>
      </c>
      <c r="D43" s="542">
        <f>COUNTIF('2.Infor Detallado Desempeño POA'!AM57:AM76,"&gt;=99%")-COUNTIF('2.Infor Detallado Desempeño POA'!AM57:AM76,"&gt;100%")</f>
        <v>0</v>
      </c>
      <c r="E43" s="543">
        <f>COUNTIF('2.Infor Detallado Desempeño POA'!AM57:AM76,"&gt;100%")</f>
        <v>0</v>
      </c>
      <c r="F43" s="616">
        <f>COUNTIF('2.Infor Detallado Desempeño POA'!AM57:AM76,"&lt;99%")</f>
        <v>19</v>
      </c>
      <c r="G43" s="614">
        <f>COUNTIF('2.Infor Detallado Desempeño POA'!AM57:AM76,"=No programado")</f>
        <v>1</v>
      </c>
      <c r="H43" s="540">
        <f t="shared" si="6"/>
        <v>20</v>
      </c>
      <c r="I43" s="541">
        <f t="shared" si="3"/>
        <v>0</v>
      </c>
    </row>
    <row r="44" spans="2:9" s="627" customFormat="1" ht="19.95" customHeight="1">
      <c r="B44" s="522" t="s">
        <v>865</v>
      </c>
      <c r="C44" s="618">
        <f t="shared" si="4"/>
        <v>7</v>
      </c>
      <c r="D44" s="542">
        <f>COUNTIF('2.Infor Detallado Desempeño POA'!AM82:AM88,"&gt;=99%")-COUNTIF('2.Infor Detallado Desempeño POA'!AM82:AM88,"&gt;100%")</f>
        <v>0</v>
      </c>
      <c r="E44" s="543">
        <f>COUNTIF('2.Infor Detallado Desempeño POA'!AM82:AM88,"&gt;100%")</f>
        <v>0</v>
      </c>
      <c r="F44" s="616">
        <f>COUNTIF('2.Infor Detallado Desempeño POA'!AM82:AM88,"&lt;99%")</f>
        <v>7</v>
      </c>
      <c r="G44" s="614">
        <f>COUNTIF('2.Infor Detallado Desempeño POA'!AM82:AM88,"=No programado")</f>
        <v>0</v>
      </c>
      <c r="H44" s="540">
        <f t="shared" si="6"/>
        <v>7</v>
      </c>
      <c r="I44" s="541">
        <f t="shared" si="3"/>
        <v>0</v>
      </c>
    </row>
    <row r="45" spans="2:9" s="627" customFormat="1" ht="19.95" customHeight="1">
      <c r="B45" s="522" t="s">
        <v>733</v>
      </c>
      <c r="C45" s="618">
        <f t="shared" si="4"/>
        <v>8</v>
      </c>
      <c r="D45" s="542">
        <f>COUNTIF('2.Infor Detallado Desempeño POA'!AM94:AM101,"&gt;=99%")-COUNTIF('2.Infor Detallado Desempeño POA'!AM94:AM101,"&gt;100%")</f>
        <v>0</v>
      </c>
      <c r="E45" s="543">
        <f>COUNTIF('2.Infor Detallado Desempeño POA'!AM94:AM101,"&gt;100%")</f>
        <v>0</v>
      </c>
      <c r="F45" s="616">
        <f>COUNTIF('2.Infor Detallado Desempeño POA'!AM94:AM101,"&lt;99%")</f>
        <v>8</v>
      </c>
      <c r="G45" s="614">
        <f>COUNTIF('2.Infor Detallado Desempeño POA'!AM94:AM101,"=No programado")</f>
        <v>0</v>
      </c>
      <c r="H45" s="540">
        <f t="shared" si="6"/>
        <v>8</v>
      </c>
      <c r="I45" s="541">
        <f t="shared" si="3"/>
        <v>0</v>
      </c>
    </row>
    <row r="46" spans="2:9" s="627" customFormat="1" ht="19.95" customHeight="1">
      <c r="B46" s="522" t="s">
        <v>734</v>
      </c>
      <c r="C46" s="618">
        <f t="shared" si="4"/>
        <v>8</v>
      </c>
      <c r="D46" s="542">
        <f>COUNTIF('2.Infor Detallado Desempeño POA'!AM107:AM114,"&gt;=99%")-COUNTIF('2.Infor Detallado Desempeño POA'!AM107:AM114,"&gt;100%")</f>
        <v>0</v>
      </c>
      <c r="E46" s="543">
        <f>COUNTIF('2.Infor Detallado Desempeño POA'!AM107:AM114,"&gt;100%")</f>
        <v>0</v>
      </c>
      <c r="F46" s="616">
        <f>COUNTIF('2.Infor Detallado Desempeño POA'!AM107:AM114,"&lt;99%")</f>
        <v>8</v>
      </c>
      <c r="G46" s="614">
        <f>COUNTIF('2.Infor Detallado Desempeño POA'!AM107:AM114,"=No programado")</f>
        <v>0</v>
      </c>
      <c r="H46" s="540">
        <f t="shared" si="6"/>
        <v>8</v>
      </c>
      <c r="I46" s="541">
        <f t="shared" si="3"/>
        <v>0</v>
      </c>
    </row>
    <row r="47" spans="2:9" s="627" customFormat="1" ht="19.95" customHeight="1">
      <c r="B47" s="522" t="s">
        <v>735</v>
      </c>
      <c r="C47" s="618">
        <f t="shared" si="4"/>
        <v>2</v>
      </c>
      <c r="D47" s="542">
        <f>COUNTIF('2.Infor Detallado Desempeño POA'!AM120:AM121,"&gt;=99%")-COUNTIF('2.Infor Detallado Desempeño POA'!AM120:AM121,"&gt;100%")</f>
        <v>0</v>
      </c>
      <c r="E47" s="543">
        <f>COUNTIF('2.Infor Detallado Desempeño POA'!AM120:AM121,"&gt;100%")</f>
        <v>0</v>
      </c>
      <c r="F47" s="616">
        <f>COUNTIF('2.Infor Detallado Desempeño POA'!AM120:AM121,"&lt;99%")</f>
        <v>2</v>
      </c>
      <c r="G47" s="614">
        <f>COUNTIF('2.Infor Detallado Desempeño POA'!AM120:AM121,"=No programado")</f>
        <v>0</v>
      </c>
      <c r="H47" s="540">
        <f t="shared" si="6"/>
        <v>2</v>
      </c>
      <c r="I47" s="541">
        <f t="shared" si="3"/>
        <v>0</v>
      </c>
    </row>
    <row r="48" spans="2:9" s="627" customFormat="1" ht="19.95" customHeight="1">
      <c r="B48" s="522" t="s">
        <v>736</v>
      </c>
      <c r="C48" s="618">
        <f t="shared" si="4"/>
        <v>3</v>
      </c>
      <c r="D48" s="542">
        <f>COUNTIF('2.Infor Detallado Desempeño POA'!AM127:AM129,"&gt;=99%")-COUNTIF('2.Infor Detallado Desempeño POA'!AM127:AM129,"&gt;100%")</f>
        <v>0</v>
      </c>
      <c r="E48" s="543">
        <f>COUNTIF('2.Infor Detallado Desempeño POA'!AM127:AM129,"&gt;100%")</f>
        <v>0</v>
      </c>
      <c r="F48" s="616">
        <f>COUNTIF('2.Infor Detallado Desempeño POA'!AM127:AM129,"&lt;99%")</f>
        <v>3</v>
      </c>
      <c r="G48" s="614">
        <f>COUNTIF('2.Infor Detallado Desempeño POA'!AM127:AM129,"=No programado")</f>
        <v>0</v>
      </c>
      <c r="H48" s="540">
        <f t="shared" si="6"/>
        <v>3</v>
      </c>
      <c r="I48" s="541">
        <f t="shared" si="3"/>
        <v>0</v>
      </c>
    </row>
    <row r="49" spans="2:17" s="627" customFormat="1" ht="19.95" customHeight="1">
      <c r="B49" s="522" t="s">
        <v>737</v>
      </c>
      <c r="C49" s="618">
        <f t="shared" si="4"/>
        <v>4</v>
      </c>
      <c r="D49" s="542">
        <f>COUNTIF('2.Infor Detallado Desempeño POA'!AM135:AM138,"&gt;=99%")-COUNTIF('2.Infor Detallado Desempeño POA'!AM135:AM138,"&gt;100%")</f>
        <v>0</v>
      </c>
      <c r="E49" s="543">
        <f>COUNTIF('2.Infor Detallado Desempeño POA'!AM135:AM138,"&gt;100%")</f>
        <v>0</v>
      </c>
      <c r="F49" s="616">
        <f>COUNTIF('2.Infor Detallado Desempeño POA'!AM135:AM138,"&lt;99%")</f>
        <v>4</v>
      </c>
      <c r="G49" s="614">
        <f>COUNTIF('2.Infor Detallado Desempeño POA'!AM135:AM138,"=No programado")</f>
        <v>0</v>
      </c>
      <c r="H49" s="540">
        <f t="shared" si="6"/>
        <v>4</v>
      </c>
      <c r="I49" s="541">
        <f t="shared" si="3"/>
        <v>0</v>
      </c>
    </row>
    <row r="50" spans="2:17" s="627" customFormat="1" ht="19.95" customHeight="1">
      <c r="B50" s="522" t="s">
        <v>738</v>
      </c>
      <c r="C50" s="618">
        <f t="shared" si="4"/>
        <v>4</v>
      </c>
      <c r="D50" s="542">
        <f>COUNTIF('2.Infor Detallado Desempeño POA'!AM144:AM147,"&gt;=99%")-COUNTIF('2.Infor Detallado Desempeño POA'!AM144:AM147,"&gt;100%")</f>
        <v>0</v>
      </c>
      <c r="E50" s="543">
        <f>COUNTIF('2.Infor Detallado Desempeño POA'!AM144:AM147,"&gt;100%")</f>
        <v>0</v>
      </c>
      <c r="F50" s="616">
        <f>COUNTIF('2.Infor Detallado Desempeño POA'!AM144:AM147,"&lt;99%")</f>
        <v>4</v>
      </c>
      <c r="G50" s="614">
        <f>COUNTIF('2.Infor Detallado Desempeño POA'!AM144:AM147,"=No programado")</f>
        <v>0</v>
      </c>
      <c r="H50" s="540">
        <f t="shared" si="6"/>
        <v>4</v>
      </c>
      <c r="I50" s="541">
        <f t="shared" si="3"/>
        <v>0</v>
      </c>
    </row>
    <row r="51" spans="2:17" s="627" customFormat="1" ht="19.95" customHeight="1">
      <c r="B51" s="522" t="s">
        <v>739</v>
      </c>
      <c r="C51" s="618">
        <f t="shared" si="4"/>
        <v>5</v>
      </c>
      <c r="D51" s="542">
        <f>COUNTIF('2.Infor Detallado Desempeño POA'!AM153:AM157,"&gt;=99%")-COUNTIF('2.Infor Detallado Desempeño POA'!AM153:AM157,"&gt;100%")</f>
        <v>0</v>
      </c>
      <c r="E51" s="543">
        <f>COUNTIF('2.Infor Detallado Desempeño POA'!AM153:AM157,"&gt;100%")</f>
        <v>0</v>
      </c>
      <c r="F51" s="616">
        <f>COUNTIF('2.Infor Detallado Desempeño POA'!AM153:AM157,"&lt;99%")</f>
        <v>5</v>
      </c>
      <c r="G51" s="614">
        <f>COUNTIF('2.Infor Detallado Desempeño POA'!AM153:AM157,"=No programado")</f>
        <v>0</v>
      </c>
      <c r="H51" s="540">
        <f t="shared" si="6"/>
        <v>5</v>
      </c>
      <c r="I51" s="541">
        <f t="shared" si="3"/>
        <v>0</v>
      </c>
    </row>
    <row r="52" spans="2:17" s="627" customFormat="1" ht="19.95" customHeight="1">
      <c r="B52" s="522" t="s">
        <v>741</v>
      </c>
      <c r="C52" s="618">
        <f t="shared" si="4"/>
        <v>3</v>
      </c>
      <c r="D52" s="542">
        <f>COUNTIF('2.Infor Detallado Desempeño POA'!AM163:AM165,"&gt;=99%")-COUNTIF('2.Infor Detallado Desempeño POA'!AM163:AM165,"&gt;100%")</f>
        <v>0</v>
      </c>
      <c r="E52" s="543">
        <f>COUNTIF('2.Infor Detallado Desempeño POA'!AM163:AM165,"&gt;100%")</f>
        <v>1</v>
      </c>
      <c r="F52" s="616">
        <f>COUNTIF('2.Infor Detallado Desempeño POA'!AM163:AM165,"&lt;99%")</f>
        <v>2</v>
      </c>
      <c r="G52" s="614">
        <f>COUNTIF('2.Infor Detallado Desempeño POA'!AM163:AM165,"=No programado")</f>
        <v>0</v>
      </c>
      <c r="H52" s="540">
        <f t="shared" si="6"/>
        <v>3</v>
      </c>
      <c r="I52" s="541">
        <f t="shared" si="3"/>
        <v>0</v>
      </c>
    </row>
    <row r="53" spans="2:17" s="627" customFormat="1" ht="19.95" customHeight="1">
      <c r="B53" s="522" t="s">
        <v>742</v>
      </c>
      <c r="C53" s="618">
        <f t="shared" si="4"/>
        <v>3</v>
      </c>
      <c r="D53" s="542">
        <f>COUNTIF('2.Infor Detallado Desempeño POA'!AM171:AM173,"&gt;=99%")-COUNTIF('2.Infor Detallado Desempeño POA'!AM171:AM173,"&gt;100%")</f>
        <v>0</v>
      </c>
      <c r="E53" s="543">
        <f>COUNTIF('2.Infor Detallado Desempeño POA'!AM171:AM173,"&gt;100%")</f>
        <v>0</v>
      </c>
      <c r="F53" s="616">
        <f>COUNTIF('2.Infor Detallado Desempeño POA'!AM171:AM173,"&lt;99%")</f>
        <v>3</v>
      </c>
      <c r="G53" s="614">
        <f>COUNTIF('2.Infor Detallado Desempeño POA'!AM171:AM173,"=No programado")</f>
        <v>0</v>
      </c>
      <c r="H53" s="540">
        <f t="shared" si="6"/>
        <v>3</v>
      </c>
      <c r="I53" s="541">
        <f t="shared" si="3"/>
        <v>0</v>
      </c>
    </row>
    <row r="54" spans="2:17" s="627" customFormat="1" ht="19.95" customHeight="1">
      <c r="B54" s="555" t="s">
        <v>895</v>
      </c>
      <c r="C54" s="556">
        <f>SUM(C38:C53)</f>
        <v>87</v>
      </c>
      <c r="D54" s="557">
        <f t="shared" ref="D54:E54" si="7">SUM(D38:D53)</f>
        <v>0</v>
      </c>
      <c r="E54" s="558">
        <f t="shared" si="7"/>
        <v>1</v>
      </c>
      <c r="F54" s="617">
        <f>SUM(F38:F53)</f>
        <v>85</v>
      </c>
      <c r="G54" s="615">
        <f>SUM(G38:G53)</f>
        <v>1</v>
      </c>
      <c r="H54" s="540">
        <f>SUM(D54:G54)</f>
        <v>87</v>
      </c>
      <c r="I54" s="541">
        <f t="shared" si="3"/>
        <v>0</v>
      </c>
    </row>
    <row r="55" spans="2:17" s="627" customFormat="1" ht="19.95" customHeight="1">
      <c r="B55" s="917"/>
      <c r="C55" s="919"/>
      <c r="D55" s="919"/>
      <c r="E55" s="919"/>
      <c r="F55" s="919"/>
      <c r="G55" s="919"/>
      <c r="H55" s="918"/>
      <c r="I55" s="541"/>
    </row>
    <row r="56" spans="2:17" s="627" customFormat="1" ht="3" customHeight="1">
      <c r="C56" s="922"/>
      <c r="D56" s="920" t="str">
        <f>+D37</f>
        <v>No de Indicadores con Meta Cumplida según programación</v>
      </c>
      <c r="E56" s="921">
        <f>+D54</f>
        <v>0</v>
      </c>
      <c r="F56" s="923"/>
      <c r="G56" s="924"/>
      <c r="H56" s="628"/>
    </row>
    <row r="57" spans="2:17" s="627" customFormat="1" ht="3" customHeight="1">
      <c r="C57" s="922"/>
      <c r="D57" s="920" t="str">
        <f>+E37</f>
        <v xml:space="preserve">No de Indicadores con ejecución superior a la programada </v>
      </c>
      <c r="E57" s="921">
        <f>+E54</f>
        <v>1</v>
      </c>
      <c r="F57" s="923"/>
      <c r="G57" s="924"/>
      <c r="H57" s="628"/>
    </row>
    <row r="58" spans="2:17" s="627" customFormat="1" ht="3" customHeight="1">
      <c r="C58" s="922"/>
      <c r="D58" s="920" t="str">
        <f>+F37</f>
        <v xml:space="preserve">No de Indicadores con ejecución menor a la programada </v>
      </c>
      <c r="E58" s="921">
        <f>+F54</f>
        <v>85</v>
      </c>
      <c r="F58" s="923"/>
      <c r="G58" s="924"/>
      <c r="H58" s="628"/>
    </row>
    <row r="59" spans="2:17" s="627" customFormat="1" ht="3" customHeight="1">
      <c r="C59" s="922"/>
      <c r="D59" s="920" t="str">
        <f>+G37</f>
        <v>No de indicadores sin programar en el periodo</v>
      </c>
      <c r="E59" s="921">
        <f>+G54</f>
        <v>1</v>
      </c>
      <c r="F59" s="923"/>
      <c r="G59" s="924"/>
      <c r="H59" s="628"/>
    </row>
    <row r="60" spans="2:17" s="627" customFormat="1" ht="10.199999999999999" customHeight="1">
      <c r="C60" s="628"/>
      <c r="D60" s="628"/>
      <c r="E60" s="629">
        <f>SUM(E27:E30)</f>
        <v>87</v>
      </c>
      <c r="F60" s="626"/>
      <c r="H60" s="628"/>
    </row>
    <row r="61" spans="2:17" ht="15.6" thickBot="1"/>
    <row r="62" spans="2:17" s="529" customFormat="1" ht="15.6">
      <c r="B62" s="1402" t="s">
        <v>751</v>
      </c>
      <c r="C62" s="1404" t="s">
        <v>893</v>
      </c>
      <c r="D62" s="1406" t="s">
        <v>894</v>
      </c>
      <c r="E62" s="1407"/>
      <c r="F62" s="1408"/>
      <c r="P62" s="517"/>
      <c r="Q62" s="517"/>
    </row>
    <row r="63" spans="2:17" ht="33" customHeight="1">
      <c r="B63" s="1403"/>
      <c r="C63" s="1405"/>
      <c r="D63" s="567" t="s">
        <v>760</v>
      </c>
      <c r="E63" s="567" t="s">
        <v>764</v>
      </c>
      <c r="F63" s="532" t="s">
        <v>768</v>
      </c>
      <c r="H63" s="517"/>
    </row>
    <row r="64" spans="2:17">
      <c r="B64" s="533" t="s">
        <v>725</v>
      </c>
      <c r="C64" s="534">
        <f>+'3.Resum Desemp Procesos POA T1'!C41</f>
        <v>4</v>
      </c>
      <c r="D64" s="534">
        <f>+'Rango indicadores'!E111</f>
        <v>4</v>
      </c>
      <c r="E64" s="534">
        <f>+'Rango indicadores'!F111</f>
        <v>0</v>
      </c>
      <c r="F64" s="535">
        <f>+'Rango indicadores'!G111</f>
        <v>0</v>
      </c>
      <c r="H64" s="517"/>
    </row>
    <row r="65" spans="2:8">
      <c r="B65" s="533" t="s">
        <v>727</v>
      </c>
      <c r="C65" s="534">
        <f>+'3.Resum Desemp Procesos POA T1'!C42</f>
        <v>4</v>
      </c>
      <c r="D65" s="534">
        <f>+'Rango indicadores'!E112</f>
        <v>4</v>
      </c>
      <c r="E65" s="534">
        <f>+'Rango indicadores'!F112</f>
        <v>0</v>
      </c>
      <c r="F65" s="535">
        <f>+'Rango indicadores'!G112</f>
        <v>0</v>
      </c>
      <c r="H65" s="517"/>
    </row>
    <row r="66" spans="2:8">
      <c r="B66" s="533" t="s">
        <v>728</v>
      </c>
      <c r="C66" s="534">
        <f>+'3.Resum Desemp Procesos POA T1'!C43</f>
        <v>7</v>
      </c>
      <c r="D66" s="534">
        <f>+'Rango indicadores'!E113</f>
        <v>7</v>
      </c>
      <c r="E66" s="534">
        <f>+'Rango indicadores'!F113</f>
        <v>0</v>
      </c>
      <c r="F66" s="535">
        <f>+'Rango indicadores'!G113</f>
        <v>0</v>
      </c>
      <c r="H66" s="517"/>
    </row>
    <row r="67" spans="2:8">
      <c r="B67" s="533" t="s">
        <v>729</v>
      </c>
      <c r="C67" s="534">
        <f>+'3.Resum Desemp Procesos POA T1'!C44</f>
        <v>2</v>
      </c>
      <c r="D67" s="534">
        <f>+'Rango indicadores'!E114</f>
        <v>2</v>
      </c>
      <c r="E67" s="534">
        <f>+'Rango indicadores'!F114</f>
        <v>0</v>
      </c>
      <c r="F67" s="535">
        <f>+'Rango indicadores'!G114</f>
        <v>0</v>
      </c>
      <c r="H67" s="517"/>
    </row>
    <row r="68" spans="2:8">
      <c r="B68" s="533" t="s">
        <v>740</v>
      </c>
      <c r="C68" s="534">
        <f>+'3.Resum Desemp Procesos POA T1'!C45</f>
        <v>3</v>
      </c>
      <c r="D68" s="534">
        <f>+'Rango indicadores'!E115</f>
        <v>21</v>
      </c>
      <c r="E68" s="534">
        <f>+'Rango indicadores'!F115</f>
        <v>0</v>
      </c>
      <c r="F68" s="535">
        <f>+'Rango indicadores'!G115</f>
        <v>0</v>
      </c>
      <c r="H68" s="517"/>
    </row>
    <row r="69" spans="2:8">
      <c r="B69" s="533" t="s">
        <v>730</v>
      </c>
      <c r="C69" s="534">
        <f>+'3.Resum Desemp Procesos POA T1'!C47</f>
        <v>20</v>
      </c>
      <c r="D69" s="534">
        <f>+'Rango indicadores'!E116</f>
        <v>7</v>
      </c>
      <c r="E69" s="534">
        <f>+'Rango indicadores'!F116</f>
        <v>0</v>
      </c>
      <c r="F69" s="535">
        <f>+'Rango indicadores'!G116</f>
        <v>0</v>
      </c>
      <c r="H69" s="517"/>
    </row>
    <row r="70" spans="2:8">
      <c r="B70" s="533" t="s">
        <v>865</v>
      </c>
      <c r="C70" s="534">
        <f>+'3.Resum Desemp Procesos POA T1'!C48</f>
        <v>7</v>
      </c>
      <c r="D70" s="534">
        <f>+'Rango indicadores'!E117</f>
        <v>8</v>
      </c>
      <c r="E70" s="534">
        <f>+'Rango indicadores'!F117</f>
        <v>0</v>
      </c>
      <c r="F70" s="535">
        <f>+'Rango indicadores'!G117</f>
        <v>0</v>
      </c>
      <c r="H70" s="517"/>
    </row>
    <row r="71" spans="2:8">
      <c r="B71" s="533" t="s">
        <v>733</v>
      </c>
      <c r="C71" s="534">
        <f>+'3.Resum Desemp Procesos POA T1'!C49</f>
        <v>8</v>
      </c>
      <c r="D71" s="534">
        <f>+'Rango indicadores'!E118</f>
        <v>7</v>
      </c>
      <c r="E71" s="534">
        <f>+'Rango indicadores'!F118</f>
        <v>0</v>
      </c>
      <c r="F71" s="535">
        <f>+'Rango indicadores'!G118</f>
        <v>1</v>
      </c>
      <c r="H71" s="517"/>
    </row>
    <row r="72" spans="2:8">
      <c r="B72" s="533" t="s">
        <v>734</v>
      </c>
      <c r="C72" s="534">
        <f>+'3.Resum Desemp Procesos POA T1'!C51</f>
        <v>8</v>
      </c>
      <c r="D72" s="534">
        <f>+'Rango indicadores'!E119</f>
        <v>2</v>
      </c>
      <c r="E72" s="534">
        <f>+'Rango indicadores'!F119</f>
        <v>0</v>
      </c>
      <c r="F72" s="535">
        <f>+'Rango indicadores'!G119</f>
        <v>0</v>
      </c>
      <c r="H72" s="517"/>
    </row>
    <row r="73" spans="2:8">
      <c r="B73" s="533" t="s">
        <v>735</v>
      </c>
      <c r="C73" s="534">
        <f>+'3.Resum Desemp Procesos POA T1'!C52</f>
        <v>2</v>
      </c>
      <c r="D73" s="534">
        <f>+'Rango indicadores'!E120</f>
        <v>3</v>
      </c>
      <c r="E73" s="534">
        <f>+'Rango indicadores'!F120</f>
        <v>0</v>
      </c>
      <c r="F73" s="535">
        <f>+'Rango indicadores'!G120</f>
        <v>0</v>
      </c>
      <c r="H73" s="517"/>
    </row>
    <row r="74" spans="2:8">
      <c r="B74" s="533" t="s">
        <v>736</v>
      </c>
      <c r="C74" s="534">
        <f>+'3.Resum Desemp Procesos POA T1'!C53</f>
        <v>3</v>
      </c>
      <c r="D74" s="534">
        <f>+'Rango indicadores'!E121</f>
        <v>1</v>
      </c>
      <c r="E74" s="534">
        <f>+'Rango indicadores'!F121</f>
        <v>3</v>
      </c>
      <c r="F74" s="535">
        <f>+'Rango indicadores'!G121</f>
        <v>0</v>
      </c>
      <c r="H74" s="517"/>
    </row>
    <row r="75" spans="2:8">
      <c r="B75" s="533" t="s">
        <v>737</v>
      </c>
      <c r="C75" s="534">
        <f>+'3.Resum Desemp Procesos POA T1'!C54</f>
        <v>4</v>
      </c>
      <c r="D75" s="534">
        <f>+'Rango indicadores'!E122</f>
        <v>3</v>
      </c>
      <c r="E75" s="534">
        <f>+'Rango indicadores'!F122</f>
        <v>1</v>
      </c>
      <c r="F75" s="535">
        <f>+'Rango indicadores'!G122</f>
        <v>0</v>
      </c>
      <c r="H75" s="517"/>
    </row>
    <row r="76" spans="2:8">
      <c r="B76" s="533" t="s">
        <v>738</v>
      </c>
      <c r="C76" s="534">
        <f>+'3.Resum Desemp Procesos POA T1'!C55</f>
        <v>4</v>
      </c>
      <c r="D76" s="534">
        <f>+'Rango indicadores'!E123</f>
        <v>5</v>
      </c>
      <c r="E76" s="534">
        <f>+'Rango indicadores'!F123</f>
        <v>0</v>
      </c>
      <c r="F76" s="535">
        <f>+'Rango indicadores'!G123</f>
        <v>0</v>
      </c>
      <c r="H76" s="517"/>
    </row>
    <row r="77" spans="2:8">
      <c r="B77" s="533" t="s">
        <v>739</v>
      </c>
      <c r="C77" s="534">
        <f>+'3.Resum Desemp Procesos POA T1'!C56</f>
        <v>5</v>
      </c>
      <c r="D77" s="534">
        <f>+'Rango indicadores'!E124</f>
        <v>3</v>
      </c>
      <c r="E77" s="534">
        <f>+'Rango indicadores'!F124</f>
        <v>0</v>
      </c>
      <c r="F77" s="535">
        <f>+'Rango indicadores'!G124</f>
        <v>0</v>
      </c>
      <c r="H77" s="517"/>
    </row>
    <row r="78" spans="2:8">
      <c r="B78" s="533" t="s">
        <v>741</v>
      </c>
      <c r="C78" s="534">
        <f>+'3.Resum Desemp Procesos POA T1'!C58</f>
        <v>3</v>
      </c>
      <c r="D78" s="534">
        <f>+'Rango indicadores'!E125</f>
        <v>3</v>
      </c>
      <c r="E78" s="534">
        <f>+'Rango indicadores'!F125</f>
        <v>0</v>
      </c>
      <c r="F78" s="535">
        <f>+'Rango indicadores'!G125</f>
        <v>0</v>
      </c>
      <c r="H78" s="517"/>
    </row>
    <row r="79" spans="2:8">
      <c r="B79" s="533" t="s">
        <v>742</v>
      </c>
      <c r="C79" s="534">
        <f>+'3.Resum Desemp Procesos POA T1'!C59</f>
        <v>3</v>
      </c>
      <c r="D79" s="534">
        <f>+'Rango indicadores'!E126</f>
        <v>3</v>
      </c>
      <c r="E79" s="534">
        <f>+'Rango indicadores'!F126</f>
        <v>0</v>
      </c>
      <c r="F79" s="535">
        <f>+'Rango indicadores'!G126</f>
        <v>0</v>
      </c>
      <c r="H79" s="517"/>
    </row>
    <row r="80" spans="2:8" ht="16.2" thickBot="1">
      <c r="B80" s="536" t="s">
        <v>895</v>
      </c>
      <c r="C80" s="537">
        <f>SUM(C64:C79)</f>
        <v>87</v>
      </c>
      <c r="D80" s="537">
        <f>SUM(D64:D79)</f>
        <v>83</v>
      </c>
      <c r="E80" s="537">
        <f>SUM(E64:E79)</f>
        <v>4</v>
      </c>
      <c r="F80" s="538">
        <f>SUM(F64:F79)</f>
        <v>1</v>
      </c>
      <c r="H80" s="517"/>
    </row>
    <row r="81" spans="8:8">
      <c r="H81" s="517"/>
    </row>
    <row r="82" spans="8:8">
      <c r="H82" s="517"/>
    </row>
    <row r="84" spans="8:8" ht="15" customHeight="1"/>
  </sheetData>
  <mergeCells count="13">
    <mergeCell ref="B2:B3"/>
    <mergeCell ref="C2:G2"/>
    <mergeCell ref="C3:G3"/>
    <mergeCell ref="B62:B63"/>
    <mergeCell ref="C62:C63"/>
    <mergeCell ref="D62:F62"/>
    <mergeCell ref="D34:E34"/>
    <mergeCell ref="B4:F4"/>
    <mergeCell ref="B7:B8"/>
    <mergeCell ref="C7:G7"/>
    <mergeCell ref="B35:B37"/>
    <mergeCell ref="C35:G35"/>
    <mergeCell ref="E36:F36"/>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5EE5F-C848-40CC-99F6-AA12AE5264D0}">
  <sheetPr>
    <tabColor rgb="FF00FF99"/>
  </sheetPr>
  <dimension ref="B1:V116"/>
  <sheetViews>
    <sheetView showGridLines="0" zoomScale="70" zoomScaleNormal="70" workbookViewId="0">
      <selection activeCell="F39" sqref="F39"/>
    </sheetView>
  </sheetViews>
  <sheetFormatPr baseColWidth="10" defaultColWidth="11.44140625" defaultRowHeight="15" customHeight="1" zeroHeight="1"/>
  <cols>
    <col min="1" max="1" width="3.6640625" style="517" customWidth="1"/>
    <col min="2" max="2" width="47.33203125" style="517" customWidth="1"/>
    <col min="3" max="3" width="20.33203125" style="519" customWidth="1"/>
    <col min="4" max="5" width="18.88671875" style="519" customWidth="1"/>
    <col min="6" max="6" width="19.44140625" style="517" customWidth="1"/>
    <col min="7" max="7" width="47" style="517" customWidth="1"/>
    <col min="8" max="15" width="11.44140625" style="517"/>
    <col min="16" max="16" width="62.44140625" style="517" bestFit="1" customWidth="1"/>
    <col min="17" max="17" width="40" style="517" customWidth="1"/>
    <col min="18" max="16355" width="11.44140625" style="517"/>
    <col min="16356" max="16356" width="1.44140625" style="517" customWidth="1"/>
    <col min="16357" max="16384" width="2.88671875" style="517" customWidth="1"/>
  </cols>
  <sheetData>
    <row r="1" spans="2:22" s="456" customFormat="1">
      <c r="D1" s="459"/>
      <c r="E1" s="457"/>
      <c r="F1" s="458"/>
      <c r="G1" s="458"/>
      <c r="H1" s="458"/>
      <c r="I1" s="458"/>
      <c r="J1" s="458"/>
      <c r="K1" s="458"/>
      <c r="L1" s="458"/>
      <c r="V1" s="459"/>
    </row>
    <row r="2" spans="2:22" s="456" customFormat="1" ht="28.95" customHeight="1">
      <c r="B2" s="1395" t="s">
        <v>891</v>
      </c>
      <c r="C2" s="1426" t="s">
        <v>900</v>
      </c>
      <c r="D2" s="1426"/>
      <c r="E2" s="1426"/>
      <c r="F2" s="1426"/>
      <c r="G2" s="1426"/>
      <c r="H2" s="1426"/>
      <c r="I2" s="511"/>
      <c r="J2" s="511"/>
      <c r="K2" s="511"/>
      <c r="L2" s="511"/>
      <c r="M2" s="511"/>
      <c r="N2" s="1082"/>
      <c r="O2" s="1082"/>
      <c r="P2" s="1082"/>
      <c r="Q2" s="1082"/>
      <c r="R2" s="1082"/>
      <c r="S2" s="1082"/>
      <c r="T2" s="1082"/>
      <c r="U2" s="1082"/>
      <c r="V2" s="459"/>
    </row>
    <row r="3" spans="2:22" s="456" customFormat="1" ht="17.399999999999999" customHeight="1">
      <c r="B3" s="1395"/>
      <c r="C3" s="1427" t="s">
        <v>1162</v>
      </c>
      <c r="D3" s="1427"/>
      <c r="E3" s="1427"/>
      <c r="F3" s="1427"/>
      <c r="G3" s="1427"/>
      <c r="H3" s="1427"/>
      <c r="I3" s="510"/>
      <c r="J3" s="510"/>
      <c r="K3" s="510"/>
      <c r="L3" s="510"/>
      <c r="M3" s="510"/>
      <c r="N3" s="1081"/>
      <c r="O3" s="1081"/>
      <c r="P3" s="1081"/>
      <c r="Q3" s="1081"/>
      <c r="R3" s="1081"/>
      <c r="S3" s="1081"/>
      <c r="T3" s="1081"/>
      <c r="U3" s="1081"/>
      <c r="V3" s="460"/>
    </row>
    <row r="4" spans="2:22" s="456" customFormat="1" ht="6" customHeight="1">
      <c r="B4" s="544"/>
      <c r="D4" s="1428"/>
      <c r="E4" s="1428"/>
      <c r="F4" s="1428"/>
      <c r="G4" s="1428"/>
      <c r="H4" s="1428"/>
      <c r="I4" s="502"/>
      <c r="J4" s="502"/>
      <c r="K4" s="502"/>
      <c r="L4" s="502"/>
      <c r="M4" s="502"/>
      <c r="N4" s="1079"/>
      <c r="O4" s="1079"/>
      <c r="P4" s="1079"/>
      <c r="Q4" s="1079"/>
      <c r="R4" s="1079"/>
      <c r="S4" s="1079"/>
      <c r="T4" s="1079"/>
      <c r="U4" s="1079"/>
      <c r="V4" s="461"/>
    </row>
    <row r="5" spans="2:22" s="456" customFormat="1" ht="19.5" customHeight="1">
      <c r="B5" s="1047" t="str">
        <f>+'2.Infor Detallado Desempeño POA'!C7</f>
        <v xml:space="preserve">Fecha de corte: </v>
      </c>
      <c r="C5" s="1088">
        <v>44926</v>
      </c>
      <c r="D5" s="503"/>
      <c r="E5" s="463"/>
      <c r="V5" s="459"/>
    </row>
    <row r="6" spans="2:22" ht="1.95" customHeight="1">
      <c r="B6" s="520"/>
    </row>
    <row r="7" spans="2:22" ht="8.4" customHeight="1">
      <c r="B7" s="520"/>
    </row>
    <row r="8" spans="2:22" ht="54" customHeight="1">
      <c r="B8" s="1077" t="s">
        <v>751</v>
      </c>
      <c r="C8" s="1076" t="s">
        <v>1163</v>
      </c>
      <c r="D8" s="521"/>
      <c r="E8" s="517"/>
    </row>
    <row r="9" spans="2:22">
      <c r="B9" s="522" t="s">
        <v>725</v>
      </c>
      <c r="C9" s="523">
        <f>+F41</f>
        <v>0.30107142857142855</v>
      </c>
      <c r="D9" s="524"/>
      <c r="E9" s="517"/>
    </row>
    <row r="10" spans="2:22">
      <c r="B10" s="522" t="s">
        <v>727</v>
      </c>
      <c r="C10" s="523">
        <f>+F42</f>
        <v>5.921052631578947E-2</v>
      </c>
      <c r="D10" s="524"/>
      <c r="E10" s="517"/>
      <c r="H10" s="588"/>
      <c r="I10" s="589" t="s">
        <v>1164</v>
      </c>
    </row>
    <row r="11" spans="2:22">
      <c r="B11" s="522" t="s">
        <v>728</v>
      </c>
      <c r="C11" s="523">
        <f>+F43</f>
        <v>0.17500000000000002</v>
      </c>
      <c r="D11" s="524"/>
      <c r="E11" s="517"/>
      <c r="H11" s="916"/>
      <c r="I11" s="589" t="s">
        <v>907</v>
      </c>
    </row>
    <row r="12" spans="2:22">
      <c r="B12" s="522" t="s">
        <v>729</v>
      </c>
      <c r="C12" s="523">
        <f>+F44</f>
        <v>0.25</v>
      </c>
      <c r="D12" s="524"/>
      <c r="E12" s="517"/>
      <c r="H12" s="590"/>
      <c r="I12" s="589" t="s">
        <v>908</v>
      </c>
    </row>
    <row r="13" spans="2:22">
      <c r="B13" s="522" t="s">
        <v>740</v>
      </c>
      <c r="C13" s="523">
        <f>+F45</f>
        <v>0.28851851851851845</v>
      </c>
      <c r="D13" s="525"/>
      <c r="E13" s="517"/>
      <c r="H13" s="591"/>
      <c r="I13" s="589" t="s">
        <v>909</v>
      </c>
    </row>
    <row r="14" spans="2:22">
      <c r="B14" s="522" t="s">
        <v>730</v>
      </c>
      <c r="C14" s="523">
        <f>+F47</f>
        <v>0.22424580472203703</v>
      </c>
      <c r="D14" s="524"/>
      <c r="E14" s="517"/>
    </row>
    <row r="15" spans="2:22">
      <c r="B15" s="522" t="s">
        <v>865</v>
      </c>
      <c r="C15" s="523">
        <f>+F48</f>
        <v>0.11701830507800658</v>
      </c>
      <c r="D15" s="524"/>
      <c r="E15" s="517"/>
    </row>
    <row r="16" spans="2:22">
      <c r="B16" s="522" t="s">
        <v>733</v>
      </c>
      <c r="C16" s="523">
        <f>+F49</f>
        <v>0.14045833333333335</v>
      </c>
      <c r="D16" s="524"/>
      <c r="E16" s="517"/>
    </row>
    <row r="17" spans="2:17">
      <c r="B17" s="522" t="s">
        <v>734</v>
      </c>
      <c r="C17" s="523">
        <f t="shared" ref="C17:C22" si="0">+F51</f>
        <v>0.30657338435374148</v>
      </c>
      <c r="D17" s="524"/>
      <c r="E17" s="517"/>
    </row>
    <row r="18" spans="2:17">
      <c r="B18" s="522" t="s">
        <v>735</v>
      </c>
      <c r="C18" s="523">
        <f t="shared" si="0"/>
        <v>0.26572164948453614</v>
      </c>
      <c r="D18" s="524"/>
      <c r="E18" s="517"/>
    </row>
    <row r="19" spans="2:17">
      <c r="B19" s="522" t="s">
        <v>736</v>
      </c>
      <c r="C19" s="523">
        <f t="shared" si="0"/>
        <v>0.22459649122807021</v>
      </c>
      <c r="D19" s="524"/>
      <c r="E19" s="517"/>
    </row>
    <row r="20" spans="2:17">
      <c r="B20" s="522" t="s">
        <v>737</v>
      </c>
      <c r="C20" s="523">
        <f t="shared" si="0"/>
        <v>0.31874999999999998</v>
      </c>
      <c r="D20" s="524"/>
      <c r="E20" s="517"/>
    </row>
    <row r="21" spans="2:17">
      <c r="B21" s="522" t="s">
        <v>738</v>
      </c>
      <c r="C21" s="523">
        <f t="shared" si="0"/>
        <v>0.24286184210526313</v>
      </c>
      <c r="D21" s="524"/>
      <c r="E21" s="517"/>
    </row>
    <row r="22" spans="2:17">
      <c r="B22" s="522" t="s">
        <v>739</v>
      </c>
      <c r="C22" s="523">
        <f t="shared" si="0"/>
        <v>0.25</v>
      </c>
      <c r="D22" s="524"/>
      <c r="E22" s="517"/>
    </row>
    <row r="23" spans="2:17">
      <c r="B23" s="522" t="s">
        <v>741</v>
      </c>
      <c r="C23" s="523">
        <f>+F58</f>
        <v>0.51666666666666672</v>
      </c>
      <c r="D23" s="524"/>
      <c r="E23" s="517"/>
    </row>
    <row r="24" spans="2:17" ht="15.6" thickBot="1">
      <c r="B24" s="526" t="s">
        <v>742</v>
      </c>
      <c r="C24" s="523">
        <f>+F59</f>
        <v>0.11666666666666665</v>
      </c>
      <c r="D24" s="524"/>
      <c r="E24" s="517"/>
    </row>
    <row r="25" spans="2:17" ht="16.2" thickBot="1">
      <c r="B25" s="527" t="s">
        <v>892</v>
      </c>
      <c r="C25" s="970">
        <f>+F62</f>
        <v>0.24002120089688539</v>
      </c>
      <c r="D25" s="528"/>
      <c r="E25" s="517"/>
    </row>
    <row r="26" spans="2:17" s="529" customFormat="1">
      <c r="C26" s="530"/>
      <c r="D26" s="530"/>
      <c r="E26" s="530"/>
      <c r="P26" s="517"/>
      <c r="Q26" s="517"/>
    </row>
    <row r="27" spans="2:17" s="529" customFormat="1" ht="56.25" customHeight="1" thickBot="1">
      <c r="B27" s="529" t="s">
        <v>681</v>
      </c>
      <c r="C27" s="530"/>
      <c r="P27" s="517"/>
      <c r="Q27" s="517"/>
    </row>
    <row r="28" spans="2:17" ht="57" customHeight="1">
      <c r="B28" s="1429" t="s">
        <v>932</v>
      </c>
      <c r="C28" s="1431" t="s">
        <v>863</v>
      </c>
      <c r="D28" s="1433" t="s">
        <v>933</v>
      </c>
      <c r="E28" s="1434"/>
      <c r="F28" s="1435"/>
      <c r="H28" s="519"/>
    </row>
    <row r="29" spans="2:17" ht="54.6" customHeight="1" thickBot="1">
      <c r="B29" s="1430"/>
      <c r="C29" s="1432"/>
      <c r="D29" s="661" t="str">
        <f>+D39</f>
        <v>Cuarto Trimestre</v>
      </c>
      <c r="E29" s="665" t="s">
        <v>934</v>
      </c>
      <c r="F29" s="667" t="s">
        <v>926</v>
      </c>
      <c r="H29" s="519"/>
    </row>
    <row r="30" spans="2:17" ht="29.4" customHeight="1">
      <c r="B30" s="648" t="s">
        <v>927</v>
      </c>
      <c r="C30" s="631">
        <f>+C46</f>
        <v>20</v>
      </c>
      <c r="D30" s="662">
        <f>IFERROR(AVERAGE(D41:D45),0)</f>
        <v>0</v>
      </c>
      <c r="E30" s="668">
        <f>IFERROR(AVERAGE(E41:E45),0)</f>
        <v>0.20705639097744361</v>
      </c>
      <c r="F30" s="914">
        <f>IFERROR(AVERAGE(F41:F45),0)</f>
        <v>0.21476009468114729</v>
      </c>
      <c r="H30" s="519"/>
    </row>
    <row r="31" spans="2:17" ht="36.6" customHeight="1">
      <c r="B31" s="633" t="s">
        <v>928</v>
      </c>
      <c r="C31" s="632">
        <f>+C50</f>
        <v>35</v>
      </c>
      <c r="D31" s="663">
        <f>IFERROR(AVERAGE(D47:D49),0)</f>
        <v>0</v>
      </c>
      <c r="E31" s="668">
        <f>IFERROR(AVERAGE(E47:E49),0)</f>
        <v>0.16060192548890342</v>
      </c>
      <c r="F31" s="914">
        <f>IFERROR(AVERAGE(F47:F49),0)</f>
        <v>0.16057414771112566</v>
      </c>
      <c r="H31" s="519"/>
    </row>
    <row r="32" spans="2:17" ht="41.4" customHeight="1">
      <c r="B32" s="633" t="s">
        <v>929</v>
      </c>
      <c r="C32" s="632">
        <f>+C57</f>
        <v>26</v>
      </c>
      <c r="D32" s="663">
        <f>IFERROR(AVERAGE(D51:D56),0)</f>
        <v>0</v>
      </c>
      <c r="E32" s="668">
        <f>IFERROR(AVERAGE(E51:E56),0)</f>
        <v>0.23171455889460935</v>
      </c>
      <c r="F32" s="914">
        <f>IFERROR(AVERAGE(F51:F56),0)</f>
        <v>0.26808389452860182</v>
      </c>
      <c r="H32" s="519"/>
    </row>
    <row r="33" spans="2:22" ht="40.799999999999997">
      <c r="B33" s="633" t="s">
        <v>930</v>
      </c>
      <c r="C33" s="632">
        <f>+C60</f>
        <v>6</v>
      </c>
      <c r="D33" s="664">
        <f>IFERROR(AVERAGE(D58:D59),0)</f>
        <v>0</v>
      </c>
      <c r="E33" s="669">
        <f>IFERROR(AVERAGE(E58:E59),0)</f>
        <v>0.31666666666666671</v>
      </c>
      <c r="F33" s="915">
        <f>IFERROR(AVERAGE(F58:F59),0)</f>
        <v>0.31666666666666671</v>
      </c>
      <c r="H33" s="519"/>
    </row>
    <row r="34" spans="2:22" ht="23.4">
      <c r="B34" s="635" t="s">
        <v>931</v>
      </c>
      <c r="C34" s="641">
        <f>SUM(C30:C33)</f>
        <v>87</v>
      </c>
      <c r="D34" s="634">
        <f>AVERAGE(D30:D33)</f>
        <v>0</v>
      </c>
      <c r="E34" s="666">
        <f>AVERAGE(E30:E33)</f>
        <v>0.22900988550690576</v>
      </c>
      <c r="F34" s="666">
        <f>AVERAGE(F30:F33)</f>
        <v>0.24002120089688539</v>
      </c>
      <c r="H34" s="519"/>
    </row>
    <row r="35" spans="2:22" s="639" customFormat="1" ht="23.4">
      <c r="B35" s="636"/>
      <c r="C35" s="637"/>
      <c r="D35" s="638"/>
      <c r="E35" s="638"/>
      <c r="H35" s="640"/>
    </row>
    <row r="36" spans="2:22" s="529" customFormat="1">
      <c r="C36" s="530"/>
      <c r="P36" s="517"/>
      <c r="Q36" s="517"/>
    </row>
    <row r="37" spans="2:22" s="456" customFormat="1" ht="19.5" customHeight="1" thickBot="1">
      <c r="B37" s="462" t="str">
        <f>+B5</f>
        <v xml:space="preserve">Fecha de corte: </v>
      </c>
      <c r="D37" s="463"/>
      <c r="E37" s="463"/>
      <c r="V37" s="459"/>
    </row>
    <row r="38" spans="2:22" s="456" customFormat="1" ht="21" customHeight="1">
      <c r="B38" s="1418" t="s">
        <v>751</v>
      </c>
      <c r="C38" s="1420" t="s">
        <v>863</v>
      </c>
      <c r="D38" s="1420" t="s">
        <v>902</v>
      </c>
      <c r="E38" s="1420"/>
      <c r="F38" s="1422"/>
      <c r="G38" s="457"/>
      <c r="H38" s="457"/>
      <c r="I38" s="457"/>
      <c r="U38" s="459"/>
    </row>
    <row r="39" spans="2:22" s="456" customFormat="1" ht="49.5" customHeight="1" thickBot="1">
      <c r="B39" s="1419"/>
      <c r="C39" s="1421"/>
      <c r="D39" s="1080" t="str">
        <f>+'2.Infor Detallado Desempeño POA'!AL11</f>
        <v>Cuarto Trimestre</v>
      </c>
      <c r="E39" s="1080" t="str">
        <f>+'2.Infor Detallado Desempeño POA'!AM11</f>
        <v>Acumulado Corte 
31/12/2022</v>
      </c>
      <c r="F39" s="650" t="str">
        <f>+'2.Infor Detallado Desempeño POA'!AN11</f>
        <v>Anual</v>
      </c>
      <c r="G39" s="545"/>
      <c r="H39" s="457"/>
      <c r="I39" s="457"/>
      <c r="J39" s="457"/>
      <c r="V39" s="459"/>
    </row>
    <row r="40" spans="2:22" s="644" customFormat="1" ht="6" customHeight="1" thickBot="1">
      <c r="B40" s="1423"/>
      <c r="C40" s="1424"/>
      <c r="D40" s="1424"/>
      <c r="E40" s="1424"/>
      <c r="F40" s="1425"/>
      <c r="G40" s="642"/>
      <c r="H40" s="643"/>
      <c r="I40" s="643"/>
      <c r="J40" s="643"/>
      <c r="V40" s="645"/>
    </row>
    <row r="41" spans="2:22" s="456" customFormat="1">
      <c r="B41" s="464" t="s">
        <v>725</v>
      </c>
      <c r="C41" s="465">
        <f>+'Rango indicadores'!D111</f>
        <v>4</v>
      </c>
      <c r="D41" s="466" t="str">
        <f>IF(AND('2.Infor Detallado Desempeño POA'!AL16&gt;0),'2.Infor Detallado Desempeño POA'!AL16,"No Programado")</f>
        <v>No Programado</v>
      </c>
      <c r="E41" s="466">
        <f>IF(AND('2.Infor Detallado Desempeño POA'!AM16&gt;0),'2.Infor Detallado Desempeño POA'!AM16,"No Programado")</f>
        <v>0.30107142857142855</v>
      </c>
      <c r="F41" s="466">
        <f>IF(AND('2.Infor Detallado Desempeño POA'!AN16&gt;0),'2.Infor Detallado Desempeño POA'!AN16,"No Programado")</f>
        <v>0.30107142857142855</v>
      </c>
      <c r="G41" s="467"/>
      <c r="H41" s="467"/>
      <c r="I41" s="467"/>
      <c r="J41" s="467"/>
      <c r="V41" s="459"/>
    </row>
    <row r="42" spans="2:22" s="456" customFormat="1">
      <c r="B42" s="468" t="s">
        <v>727</v>
      </c>
      <c r="C42" s="465">
        <f>+'Rango indicadores'!D112</f>
        <v>4</v>
      </c>
      <c r="D42" s="466" t="str">
        <f>IF(AND('2.Infor Detallado Desempeño POA'!AL25&gt;0),'2.Infor Detallado Desempeño POA'!AL25,"No Programado")</f>
        <v>No Programado</v>
      </c>
      <c r="E42" s="466">
        <f>IF(AND('2.Infor Detallado Desempeño POA'!AM25&gt;0),'2.Infor Detallado Desempeño POA'!AM25,"No Programado")</f>
        <v>5.921052631578947E-2</v>
      </c>
      <c r="F42" s="466">
        <f>IF(AND('2.Infor Detallado Desempeño POA'!AN25&gt;0),'2.Infor Detallado Desempeño POA'!AN25,"No Programado")</f>
        <v>5.921052631578947E-2</v>
      </c>
      <c r="G42" s="467"/>
      <c r="H42" s="467"/>
      <c r="I42" s="467"/>
      <c r="J42" s="467"/>
      <c r="V42" s="459"/>
    </row>
    <row r="43" spans="2:22" s="456" customFormat="1">
      <c r="B43" s="468" t="s">
        <v>728</v>
      </c>
      <c r="C43" s="465">
        <f>+'Rango indicadores'!D113</f>
        <v>7</v>
      </c>
      <c r="D43" s="466" t="str">
        <f>IF(AND('2.Infor Detallado Desempeño POA'!AL37&gt;0),'2.Infor Detallado Desempeño POA'!AL37,"No Programado")</f>
        <v>No Programado</v>
      </c>
      <c r="E43" s="466">
        <f>IF(AND('2.Infor Detallado Desempeño POA'!AM37&gt;0),'2.Infor Detallado Desempeño POA'!AM37,"No Programado")</f>
        <v>0.17500000000000002</v>
      </c>
      <c r="F43" s="466">
        <f>IF(AND('2.Infor Detallado Desempeño POA'!AN37&gt;0),'2.Infor Detallado Desempeño POA'!AN37,"No Programado")</f>
        <v>0.17500000000000002</v>
      </c>
      <c r="G43" s="467"/>
      <c r="H43" s="467"/>
      <c r="I43" s="467"/>
      <c r="J43" s="467"/>
      <c r="V43" s="459"/>
    </row>
    <row r="44" spans="2:22" s="456" customFormat="1">
      <c r="B44" s="468" t="s">
        <v>729</v>
      </c>
      <c r="C44" s="465">
        <f>+'Rango indicadores'!D114</f>
        <v>2</v>
      </c>
      <c r="D44" s="466" t="str">
        <f>IF(AND('2.Infor Detallado Desempeño POA'!T44&gt;0),'2.Infor Detallado Desempeño POA'!T44,"No Programado")</f>
        <v>No Programado</v>
      </c>
      <c r="E44" s="466">
        <f>IF(AND('2.Infor Detallado Desempeño POA'!AM44&gt;0),'2.Infor Detallado Desempeño POA'!AM44,"No Programado")</f>
        <v>0.25</v>
      </c>
      <c r="F44" s="466">
        <f>IF(AND('2.Infor Detallado Desempeño POA'!AN44&gt;0),'2.Infor Detallado Desempeño POA'!AN44,"No Programado")</f>
        <v>0.25</v>
      </c>
      <c r="G44" s="467"/>
      <c r="H44" s="467"/>
      <c r="I44" s="467"/>
      <c r="J44" s="467"/>
      <c r="V44" s="459"/>
    </row>
    <row r="45" spans="2:22" s="456" customFormat="1" ht="15.6" thickBot="1">
      <c r="B45" s="469" t="s">
        <v>740</v>
      </c>
      <c r="C45" s="465">
        <f>+'Rango indicadores'!D124</f>
        <v>3</v>
      </c>
      <c r="D45" s="466" t="str">
        <f>IF(AND('2.Infor Detallado Desempeño POA'!AL52&gt;0),'2.Infor Detallado Desempeño POA'!AL52,"No Programado")</f>
        <v>No Programado</v>
      </c>
      <c r="E45" s="466">
        <f>IF(AND('2.Infor Detallado Desempeño POA'!AD52&gt;0),'2.Infor Detallado Desempeño POA'!AD52,"No Programado")</f>
        <v>0.25</v>
      </c>
      <c r="F45" s="466">
        <f>IF(AND('2.Infor Detallado Desempeño POA'!AN52&gt;0),'2.Infor Detallado Desempeño POA'!AN52,"No Programado")</f>
        <v>0.28851851851851845</v>
      </c>
      <c r="G45" s="467"/>
      <c r="H45" s="467"/>
      <c r="I45" s="467"/>
      <c r="J45" s="467"/>
      <c r="V45" s="459"/>
    </row>
    <row r="46" spans="2:22" s="456" customFormat="1" ht="34.950000000000003" customHeight="1" thickBot="1">
      <c r="B46" s="651" t="s">
        <v>903</v>
      </c>
      <c r="C46" s="652">
        <f>SUM(C41:C45)</f>
        <v>20</v>
      </c>
      <c r="D46" s="653">
        <f>IFERROR(AVERAGE(D41:D45),0)</f>
        <v>0</v>
      </c>
      <c r="E46" s="653">
        <f>IFERROR(AVERAGE(E41:E45),0)</f>
        <v>0.20705639097744361</v>
      </c>
      <c r="F46" s="653">
        <f>IFERROR(AVERAGE(F41:F45),0)</f>
        <v>0.21476009468114729</v>
      </c>
      <c r="G46" s="470"/>
      <c r="H46" s="467"/>
      <c r="I46" s="467"/>
      <c r="J46" s="467"/>
      <c r="V46" s="459"/>
    </row>
    <row r="47" spans="2:22" s="456" customFormat="1">
      <c r="B47" s="464" t="s">
        <v>730</v>
      </c>
      <c r="C47" s="465">
        <f>+'Rango indicadores'!D115</f>
        <v>20</v>
      </c>
      <c r="D47" s="466" t="str">
        <f>IF(AND('2.Infor Detallado Desempeño POA'!AL77&gt;0),'2.Infor Detallado Desempeño POA'!AL77,"No Programado")</f>
        <v>No Programado</v>
      </c>
      <c r="E47" s="466">
        <f>IF(AND('2.Infor Detallado Desempeño POA'!AM77&gt;0),'2.Infor Detallado Desempeño POA'!AM77,"No Programado")</f>
        <v>0.22424580472203703</v>
      </c>
      <c r="F47" s="466">
        <f>IF(AND('2.Infor Detallado Desempeño POA'!AN77&gt;0),'2.Infor Detallado Desempeño POA'!AN77,"No Programado")</f>
        <v>0.22424580472203703</v>
      </c>
      <c r="G47" s="467"/>
      <c r="H47" s="467"/>
      <c r="I47" s="467"/>
      <c r="J47" s="467"/>
      <c r="V47" s="459"/>
    </row>
    <row r="48" spans="2:22" s="456" customFormat="1">
      <c r="B48" s="468" t="s">
        <v>865</v>
      </c>
      <c r="C48" s="465">
        <f>+'Rango indicadores'!D116</f>
        <v>7</v>
      </c>
      <c r="D48" s="466" t="str">
        <f>IF(AND('2.Infor Detallado Desempeño POA'!AL89&gt;0),'2.Infor Detallado Desempeño POA'!AL89,"No Programado")</f>
        <v>No Programado</v>
      </c>
      <c r="E48" s="466">
        <f>IF(AND('2.Infor Detallado Desempeño POA'!AM89&gt;0),'2.Infor Detallado Desempeño POA'!AM89,"No Programado")</f>
        <v>0.11701830507800658</v>
      </c>
      <c r="F48" s="466">
        <f>IF(AND('2.Infor Detallado Desempeño POA'!AN89&gt;0),'2.Infor Detallado Desempeño POA'!AN89,"No Programado")</f>
        <v>0.11701830507800658</v>
      </c>
      <c r="G48" s="467"/>
      <c r="H48" s="467"/>
      <c r="I48" s="467"/>
      <c r="J48" s="467"/>
      <c r="V48" s="459"/>
    </row>
    <row r="49" spans="2:22" s="456" customFormat="1" ht="15.6" thickBot="1">
      <c r="B49" s="469" t="s">
        <v>733</v>
      </c>
      <c r="C49" s="465">
        <f>+'Rango indicadores'!D117</f>
        <v>8</v>
      </c>
      <c r="D49" s="466" t="str">
        <f>IF(AND('2.Infor Detallado Desempeño POA'!AL102&gt;0),'2.Infor Detallado Desempeño POA'!AL102,"No Programado")</f>
        <v>No Programado</v>
      </c>
      <c r="E49" s="466">
        <f>IF(AND('2.Infor Detallado Desempeño POA'!AM102&gt;0),'2.Infor Detallado Desempeño POA'!AM102,"No Programado")</f>
        <v>0.14054166666666665</v>
      </c>
      <c r="F49" s="466">
        <f>IF(AND('2.Infor Detallado Desempeño POA'!AN102&gt;0),'2.Infor Detallado Desempeño POA'!AN102,"No Programado")</f>
        <v>0.14045833333333335</v>
      </c>
      <c r="G49" s="467"/>
      <c r="H49" s="467"/>
      <c r="I49" s="467"/>
      <c r="J49" s="467"/>
      <c r="V49" s="459"/>
    </row>
    <row r="50" spans="2:22" s="456" customFormat="1" ht="34.950000000000003" customHeight="1" thickBot="1">
      <c r="B50" s="651" t="s">
        <v>904</v>
      </c>
      <c r="C50" s="652">
        <f>SUM(C47:C49)</f>
        <v>35</v>
      </c>
      <c r="D50" s="653">
        <f>IFERROR(AVERAGE(D47:D49),0)</f>
        <v>0</v>
      </c>
      <c r="E50" s="653">
        <f>IFERROR(AVERAGE(E47:E49),0)</f>
        <v>0.16060192548890342</v>
      </c>
      <c r="F50" s="653">
        <f>IFERROR(AVERAGE(F47:F49),0)</f>
        <v>0.16057414771112566</v>
      </c>
      <c r="G50" s="470"/>
      <c r="H50" s="467"/>
      <c r="I50" s="467"/>
      <c r="J50" s="467"/>
      <c r="V50" s="459"/>
    </row>
    <row r="51" spans="2:22" s="456" customFormat="1">
      <c r="B51" s="464" t="s">
        <v>734</v>
      </c>
      <c r="C51" s="465">
        <f>+'Rango indicadores'!D118</f>
        <v>8</v>
      </c>
      <c r="D51" s="466" t="str">
        <f>IF(AND('2.Infor Detallado Desempeño POA'!AL115&gt;0),'2.Infor Detallado Desempeño POA'!AL115,"No Programado")</f>
        <v>No Programado</v>
      </c>
      <c r="E51" s="466">
        <f>IF(AND('2.Infor Detallado Desempeño POA'!AM115&gt;0),'2.Infor Detallado Desempeño POA'!AM115,"No Programado")</f>
        <v>0.30672285820578232</v>
      </c>
      <c r="F51" s="466">
        <f>IF(AND('2.Infor Detallado Desempeño POA'!AN115&gt;0),'2.Infor Detallado Desempeño POA'!AN115,"No Programado")</f>
        <v>0.30657338435374148</v>
      </c>
      <c r="G51" s="467"/>
      <c r="H51" s="467"/>
      <c r="I51" s="467"/>
      <c r="J51" s="467"/>
      <c r="V51" s="459"/>
    </row>
    <row r="52" spans="2:22" s="456" customFormat="1">
      <c r="B52" s="468" t="s">
        <v>735</v>
      </c>
      <c r="C52" s="465">
        <f>+'Rango indicadores'!D119</f>
        <v>2</v>
      </c>
      <c r="D52" s="466" t="str">
        <f>IF(AND('2.Infor Detallado Desempeño POA'!AL122),'2.Infor Detallado Desempeño POA'!AL122,"No Programado")</f>
        <v>No Programado</v>
      </c>
      <c r="E52" s="466">
        <f>IF(AND('2.Infor Detallado Desempeño POA'!AM122),'2.Infor Detallado Desempeño POA'!AM122,"No Programado")</f>
        <v>0.26576460481099656</v>
      </c>
      <c r="F52" s="466">
        <f>IF(AND('2.Infor Detallado Desempeño POA'!AN122),'2.Infor Detallado Desempeño POA'!AN122,"No Programado")</f>
        <v>0.26572164948453614</v>
      </c>
      <c r="G52" s="467"/>
      <c r="H52" s="467"/>
      <c r="I52" s="467"/>
      <c r="J52" s="467"/>
      <c r="V52" s="459"/>
    </row>
    <row r="53" spans="2:22" s="456" customFormat="1">
      <c r="B53" s="468" t="s">
        <v>736</v>
      </c>
      <c r="C53" s="465">
        <f>+'Rango indicadores'!D120</f>
        <v>3</v>
      </c>
      <c r="D53" s="466" t="str">
        <f>IF(AND('2.Infor Detallado Desempeño POA'!AL130&gt;0),'2.Infor Detallado Desempeño POA'!AL130,"No Programado")</f>
        <v>No Programado</v>
      </c>
      <c r="E53" s="466">
        <f>IF(AND('2.Infor Detallado Desempeño POA'!AM130&gt;0),'2.Infor Detallado Desempeño POA'!AM130,"No Programado")</f>
        <v>0.22459649122807016</v>
      </c>
      <c r="F53" s="466">
        <f>IF(AND('2.Infor Detallado Desempeño POA'!AN130&gt;0),'2.Infor Detallado Desempeño POA'!AN130,"No Programado")</f>
        <v>0.22459649122807021</v>
      </c>
      <c r="G53" s="467"/>
      <c r="H53" s="467"/>
      <c r="I53" s="467"/>
      <c r="J53" s="467"/>
      <c r="V53" s="459"/>
    </row>
    <row r="54" spans="2:22" s="456" customFormat="1">
      <c r="B54" s="468" t="s">
        <v>737</v>
      </c>
      <c r="C54" s="465">
        <f>+'Rango indicadores'!D121</f>
        <v>4</v>
      </c>
      <c r="D54" s="466" t="str">
        <f>IF(AND('2.Infor Detallado Desempeño POA'!AL139&gt;0),'2.Infor Detallado Desempeño POA'!AL139,"No Programado")</f>
        <v>No Programado</v>
      </c>
      <c r="E54" s="466">
        <f>IF(AND('2.Infor Detallado Desempeño POA'!AM139&gt;0),'2.Infor Detallado Desempeño POA'!AM139,"No Programado")</f>
        <v>9.9999999999999992E-2</v>
      </c>
      <c r="F54" s="466">
        <f>IF(AND('2.Infor Detallado Desempeño POA'!AN139&gt;0),'2.Infor Detallado Desempeño POA'!AN139,"No Programado")</f>
        <v>0.31874999999999998</v>
      </c>
      <c r="G54" s="467"/>
      <c r="H54" s="467"/>
      <c r="I54" s="467"/>
      <c r="J54" s="467"/>
      <c r="V54" s="459"/>
    </row>
    <row r="55" spans="2:22" s="456" customFormat="1">
      <c r="B55" s="468" t="s">
        <v>738</v>
      </c>
      <c r="C55" s="465">
        <f>+'Rango indicadores'!D122</f>
        <v>4</v>
      </c>
      <c r="D55" s="466" t="str">
        <f>IF(AND('2.Infor Detallado Desempeño POA'!AL148&gt;0),'2.Infor Detallado Desempeño POA'!AL148,"No Programado")</f>
        <v>No Programado</v>
      </c>
      <c r="E55" s="466">
        <f>IF(AND('2.Infor Detallado Desempeño POA'!AM148&gt;0),'2.Infor Detallado Desempeño POA'!AM148,"No Programado")</f>
        <v>0.24320339912280703</v>
      </c>
      <c r="F55" s="466">
        <f>IF(AND('2.Infor Detallado Desempeño POA'!AN148&gt;0),'2.Infor Detallado Desempeño POA'!AN148,"No Programado")</f>
        <v>0.24286184210526313</v>
      </c>
      <c r="G55" s="467"/>
      <c r="H55" s="467"/>
      <c r="I55" s="467"/>
      <c r="J55" s="467"/>
      <c r="V55" s="459"/>
    </row>
    <row r="56" spans="2:22" s="456" customFormat="1" ht="15.6" thickBot="1">
      <c r="B56" s="469" t="s">
        <v>739</v>
      </c>
      <c r="C56" s="465">
        <f>+'Rango indicadores'!D123</f>
        <v>5</v>
      </c>
      <c r="D56" s="466" t="str">
        <f>IF(AND('2.Infor Detallado Desempeño POA'!AL158&gt;0),'2.Infor Detallado Desempeño POA'!AL158,"No Programado")</f>
        <v>No Programado</v>
      </c>
      <c r="E56" s="466">
        <f>IF(AND('2.Infor Detallado Desempeño POA'!AM158&gt;0),'2.Infor Detallado Desempeño POA'!AM158,"No Programado")</f>
        <v>0.25</v>
      </c>
      <c r="F56" s="466">
        <f>IF(AND('2.Infor Detallado Desempeño POA'!AN158&gt;0),'2.Infor Detallado Desempeño POA'!AN158,"No Programado")</f>
        <v>0.25</v>
      </c>
      <c r="G56" s="467"/>
      <c r="H56" s="467"/>
      <c r="I56" s="467"/>
      <c r="J56" s="467"/>
      <c r="V56" s="459"/>
    </row>
    <row r="57" spans="2:22" s="456" customFormat="1" ht="34.950000000000003" customHeight="1" thickBot="1">
      <c r="B57" s="651" t="s">
        <v>905</v>
      </c>
      <c r="C57" s="652">
        <f>SUM(C51:C56)</f>
        <v>26</v>
      </c>
      <c r="D57" s="653">
        <f>IFERROR(AVERAGE(D51:D56),0)</f>
        <v>0</v>
      </c>
      <c r="E57" s="653">
        <f>IFERROR(AVERAGE(E51:E56),0)</f>
        <v>0.23171455889460935</v>
      </c>
      <c r="F57" s="653">
        <f>IFERROR(AVERAGE(F51:F56),0)</f>
        <v>0.26808389452860182</v>
      </c>
      <c r="G57" s="470"/>
      <c r="H57" s="467"/>
      <c r="I57" s="467"/>
      <c r="J57" s="467"/>
      <c r="V57" s="459"/>
    </row>
    <row r="58" spans="2:22" s="456" customFormat="1">
      <c r="B58" s="468" t="s">
        <v>741</v>
      </c>
      <c r="C58" s="465">
        <f>+'Rango indicadores'!D125</f>
        <v>3</v>
      </c>
      <c r="D58" s="466" t="str">
        <f>IF(AND('2.Infor Detallado Desempeño POA'!AL166&gt;0),'2.Infor Detallado Desempeño POA'!AL166,"No Programado")</f>
        <v>No Programado</v>
      </c>
      <c r="E58" s="466">
        <f>IF(AND('2.Infor Detallado Desempeño POA'!AM166&gt;0),'2.Infor Detallado Desempeño POA'!AM166,"No Programado")</f>
        <v>0.51666666666666672</v>
      </c>
      <c r="F58" s="466">
        <f>IF(AND('2.Infor Detallado Desempeño POA'!AN166&gt;0),'2.Infor Detallado Desempeño POA'!AN166,"No Programado")</f>
        <v>0.51666666666666672</v>
      </c>
      <c r="G58" s="467"/>
      <c r="H58" s="467"/>
      <c r="I58" s="467"/>
      <c r="J58" s="467"/>
      <c r="V58" s="459"/>
    </row>
    <row r="59" spans="2:22" s="456" customFormat="1" ht="15.6" thickBot="1">
      <c r="B59" s="553" t="s">
        <v>742</v>
      </c>
      <c r="C59" s="554">
        <f>+'Rango indicadores'!D126</f>
        <v>3</v>
      </c>
      <c r="D59" s="466" t="str">
        <f>IF(AND('2.Infor Detallado Desempeño POA'!AL174&gt;0),'2.Infor Detallado Desempeño POA'!AL174,"No Programado")</f>
        <v>No Programado</v>
      </c>
      <c r="E59" s="466">
        <f>IF(AND('2.Infor Detallado Desempeño POA'!AM174&gt;0),'2.Infor Detallado Desempeño POA'!AM174,"No Programado")</f>
        <v>0.11666666666666665</v>
      </c>
      <c r="F59" s="466">
        <f>IF(AND('2.Infor Detallado Desempeño POA'!AN174&gt;0),'2.Infor Detallado Desempeño POA'!AN174,"No Programado")</f>
        <v>0.11666666666666665</v>
      </c>
      <c r="G59" s="467"/>
      <c r="H59" s="467"/>
      <c r="I59" s="467"/>
      <c r="J59" s="467"/>
      <c r="V59" s="459"/>
    </row>
    <row r="60" spans="2:22" s="456" customFormat="1" ht="46.95" customHeight="1" thickBot="1">
      <c r="B60" s="654" t="s">
        <v>866</v>
      </c>
      <c r="C60" s="652">
        <f>SUM(C58:C59)</f>
        <v>6</v>
      </c>
      <c r="D60" s="653">
        <f>IFERROR(AVERAGE(D58:D59),0)</f>
        <v>0</v>
      </c>
      <c r="E60" s="653">
        <f>IFERROR(AVERAGE(E58:E59),0)</f>
        <v>0.31666666666666671</v>
      </c>
      <c r="F60" s="653">
        <f>IFERROR(AVERAGE(F58:F59),0)</f>
        <v>0.31666666666666671</v>
      </c>
      <c r="G60" s="470"/>
      <c r="H60" s="467"/>
      <c r="I60" s="467"/>
      <c r="J60" s="467"/>
      <c r="V60" s="459"/>
    </row>
    <row r="61" spans="2:22" s="644" customFormat="1" ht="6" customHeight="1">
      <c r="B61" s="646"/>
      <c r="C61" s="647"/>
      <c r="D61" s="642"/>
      <c r="E61" s="642"/>
      <c r="F61" s="642"/>
      <c r="G61" s="642"/>
      <c r="H61" s="643"/>
      <c r="I61" s="643"/>
      <c r="J61" s="643"/>
      <c r="V61" s="645"/>
    </row>
    <row r="62" spans="2:22" ht="15" customHeight="1">
      <c r="B62" s="630" t="s">
        <v>931</v>
      </c>
      <c r="C62" s="641">
        <f>+C60+C57+C50+C46</f>
        <v>87</v>
      </c>
      <c r="D62" s="634">
        <f>AVERAGE(D46,D50,D57,D60)</f>
        <v>0</v>
      </c>
      <c r="E62" s="634">
        <f>AVERAGE(E46,E50,E57,E60)</f>
        <v>0.22900988550690576</v>
      </c>
      <c r="F62" s="634">
        <f>AVERAGE(F46,F50,F57,F60)</f>
        <v>0.24002120089688539</v>
      </c>
      <c r="G62" s="674"/>
    </row>
    <row r="63" spans="2:22" ht="15" customHeight="1"/>
    <row r="64" spans="2:22" ht="15" customHeight="1">
      <c r="D64" s="660"/>
    </row>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row r="85"/>
    <row r="86"/>
    <row r="87"/>
    <row r="88"/>
    <row r="89"/>
    <row r="90"/>
    <row r="91"/>
    <row r="92"/>
    <row r="93"/>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sheetData>
  <mergeCells count="11">
    <mergeCell ref="B38:B39"/>
    <mergeCell ref="C38:C39"/>
    <mergeCell ref="D38:F38"/>
    <mergeCell ref="B40:F40"/>
    <mergeCell ref="B2:B3"/>
    <mergeCell ref="C2:H2"/>
    <mergeCell ref="C3:H3"/>
    <mergeCell ref="D4:H4"/>
    <mergeCell ref="B28:B29"/>
    <mergeCell ref="C28:C29"/>
    <mergeCell ref="D28:F28"/>
  </mergeCells>
  <conditionalFormatting sqref="D41:F45 D47:F49 D51:F56 D58:F59">
    <cfRule type="cellIs" dxfId="953" priority="1" operator="equal">
      <formula>"No Programado"</formula>
    </cfRule>
    <cfRule type="cellIs" dxfId="952" priority="2" operator="lessThanOrEqual">
      <formula>0.6</formula>
    </cfRule>
    <cfRule type="cellIs" dxfId="951" priority="3" operator="between">
      <formula>0.6</formula>
      <formula>0.899999999999999</formula>
    </cfRule>
    <cfRule type="cellIs" dxfId="950" priority="4" operator="greaterThan">
      <formula>1</formula>
    </cfRule>
    <cfRule type="cellIs" dxfId="949" priority="5" operator="between">
      <formula>0.9</formula>
      <formula>1</formula>
    </cfRule>
  </conditionalFormatting>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CEE2A-ACFA-4CE3-AF69-AA9020ED9A7F}">
  <dimension ref="B1:R84"/>
  <sheetViews>
    <sheetView showGridLines="0" topLeftCell="B1" workbookViewId="0">
      <selection activeCell="H1" sqref="H1:I1048576"/>
    </sheetView>
  </sheetViews>
  <sheetFormatPr baseColWidth="10" defaultColWidth="11.44140625" defaultRowHeight="15"/>
  <cols>
    <col min="1" max="1" width="3.6640625" style="517" customWidth="1"/>
    <col min="2" max="2" width="52.44140625" style="517" customWidth="1"/>
    <col min="3" max="5" width="18.44140625" style="519" customWidth="1"/>
    <col min="6" max="6" width="18.44140625" style="517" customWidth="1"/>
    <col min="7" max="7" width="18.21875" style="517" customWidth="1"/>
    <col min="8" max="8" width="6.109375" style="519" hidden="1" customWidth="1"/>
    <col min="9" max="9" width="0" style="517" hidden="1" customWidth="1"/>
    <col min="10" max="16" width="11.44140625" style="517"/>
    <col min="17" max="17" width="62.44140625" style="517" bestFit="1" customWidth="1"/>
    <col min="18" max="18" width="40" style="517" customWidth="1"/>
    <col min="19" max="16356" width="11.44140625" style="517"/>
    <col min="16357" max="16357" width="1.44140625" style="517" customWidth="1"/>
    <col min="16358" max="16384" width="2.88671875" style="517" customWidth="1"/>
  </cols>
  <sheetData>
    <row r="1" spans="2:18">
      <c r="C1" s="518"/>
      <c r="D1" s="518"/>
      <c r="E1" s="518"/>
    </row>
    <row r="2" spans="2:18" ht="15.6">
      <c r="B2" s="1395" t="s">
        <v>891</v>
      </c>
      <c r="C2" s="1396" t="s">
        <v>896</v>
      </c>
      <c r="D2" s="1397"/>
      <c r="E2" s="1397"/>
      <c r="F2" s="1397"/>
      <c r="G2" s="1398"/>
      <c r="H2" s="566"/>
    </row>
    <row r="3" spans="2:18" ht="17.399999999999999">
      <c r="B3" s="1395"/>
      <c r="C3" s="1399" t="str">
        <f>+'3.Resum Desemp Procesos POA T1'!C3</f>
        <v>PLAN OPERATIVO ANUAL 2022</v>
      </c>
      <c r="D3" s="1400"/>
      <c r="E3" s="1400"/>
      <c r="F3" s="1400"/>
      <c r="G3" s="1401"/>
      <c r="H3" s="566"/>
    </row>
    <row r="4" spans="2:18" ht="9.75" customHeight="1">
      <c r="B4" s="1410"/>
      <c r="C4" s="1410"/>
      <c r="D4" s="1410"/>
      <c r="E4" s="1410"/>
      <c r="F4" s="1410"/>
      <c r="G4" s="1078"/>
      <c r="H4" s="539"/>
    </row>
    <row r="5" spans="2:18" ht="19.5" customHeight="1">
      <c r="B5" s="517" t="str">
        <f>+'3.Resum Desemp Procesos POA T1'!B5</f>
        <v xml:space="preserve">Fecha de corte: </v>
      </c>
      <c r="C5" s="1089">
        <f>+'3.Resum Desemp Procesos POA T3'!C5</f>
        <v>44834</v>
      </c>
    </row>
    <row r="6" spans="2:18" ht="19.5" customHeight="1">
      <c r="B6" s="520"/>
    </row>
    <row r="7" spans="2:18" s="529" customFormat="1" ht="31.5" customHeight="1">
      <c r="B7" s="1359" t="s">
        <v>718</v>
      </c>
      <c r="C7" s="1411" t="s">
        <v>1170</v>
      </c>
      <c r="D7" s="1412"/>
      <c r="E7" s="1412"/>
      <c r="F7" s="1412"/>
      <c r="G7" s="1413"/>
      <c r="H7" s="530"/>
      <c r="Q7" s="517"/>
      <c r="R7" s="517"/>
    </row>
    <row r="8" spans="2:18" s="529" customFormat="1" ht="74.400000000000006" customHeight="1">
      <c r="B8" s="1359"/>
      <c r="C8" s="613" t="s">
        <v>897</v>
      </c>
      <c r="D8" s="613" t="s">
        <v>898</v>
      </c>
      <c r="E8" s="613" t="s">
        <v>899</v>
      </c>
      <c r="F8" s="613" t="s">
        <v>906</v>
      </c>
      <c r="G8" s="571" t="s">
        <v>925</v>
      </c>
      <c r="H8" s="530"/>
      <c r="Q8" s="517"/>
      <c r="R8" s="517"/>
    </row>
    <row r="9" spans="2:18">
      <c r="B9" s="522" t="s">
        <v>725</v>
      </c>
      <c r="C9" s="618">
        <f>+'4.Segto Medición POA 2022 T4'!C64</f>
        <v>4</v>
      </c>
      <c r="D9" s="542">
        <f>COUNTIF('2.Infor Detallado Desempeño POA'!AC12:AC15,"=100%")</f>
        <v>0</v>
      </c>
      <c r="E9" s="543">
        <f>COUNTIF('2.Infor Detallado Desempeño POA'!AC12:AC15,"&gt;100%")</f>
        <v>0</v>
      </c>
      <c r="F9" s="616">
        <f>COUNTIF('2.Infor Detallado Desempeño POA'!AC12:AC15,"&lt;100%")</f>
        <v>4</v>
      </c>
      <c r="G9" s="614">
        <f>COUNTIF('2.Infor Detallado Desempeño POA'!AC12:AC15,"=No programado")</f>
        <v>0</v>
      </c>
      <c r="H9" s="540">
        <f>SUM(D9:G9)</f>
        <v>4</v>
      </c>
      <c r="I9" s="541">
        <f t="shared" ref="I9:I25" si="0">C9-H9</f>
        <v>0</v>
      </c>
    </row>
    <row r="10" spans="2:18">
      <c r="B10" s="522" t="s">
        <v>727</v>
      </c>
      <c r="C10" s="618">
        <f>+'4.Segto Medición POA 2022 T4'!C65</f>
        <v>4</v>
      </c>
      <c r="D10" s="542">
        <f>COUNTIF('2.Infor Detallado Desempeño POA'!AC21:AC24,"=100%")</f>
        <v>0</v>
      </c>
      <c r="E10" s="543">
        <f>COUNTIF('2.Infor Detallado Desempeño POA'!AC21:AC24,"&gt;100%")</f>
        <v>0</v>
      </c>
      <c r="F10" s="616">
        <f>COUNTIF('2.Infor Detallado Desempeño POA'!AC21:AC24,"&lt;100%")</f>
        <v>1</v>
      </c>
      <c r="G10" s="614">
        <f>COUNTIF('2.Infor Detallado Desempeño POA'!AC21:AC24,"=No programado")</f>
        <v>3</v>
      </c>
      <c r="H10" s="540">
        <f t="shared" ref="H10:H24" si="1">SUM(D10:G10)</f>
        <v>4</v>
      </c>
      <c r="I10" s="541">
        <f t="shared" si="0"/>
        <v>0</v>
      </c>
    </row>
    <row r="11" spans="2:18">
      <c r="B11" s="522" t="s">
        <v>728</v>
      </c>
      <c r="C11" s="618">
        <f>+'4.Segto Medición POA 2022 T4'!C66</f>
        <v>7</v>
      </c>
      <c r="D11" s="542">
        <f>COUNTIF('2.Infor Detallado Desempeño POA'!AC30:AC36,"=100%")</f>
        <v>0</v>
      </c>
      <c r="E11" s="543">
        <f>COUNTIF('2.Infor Detallado Desempeño POA'!AC30:AC36,"&gt;100%")</f>
        <v>0</v>
      </c>
      <c r="F11" s="616">
        <f>COUNTIF('2.Infor Detallado Desempeño POA'!AC30:AC36,"&lt;100%")</f>
        <v>7</v>
      </c>
      <c r="G11" s="614">
        <f>COUNTIF('2.Infor Detallado Desempeño POA'!AC30:AC36,"=No programado")</f>
        <v>0</v>
      </c>
      <c r="H11" s="540">
        <f t="shared" si="1"/>
        <v>7</v>
      </c>
      <c r="I11" s="541">
        <f t="shared" si="0"/>
        <v>0</v>
      </c>
    </row>
    <row r="12" spans="2:18">
      <c r="B12" s="522" t="s">
        <v>729</v>
      </c>
      <c r="C12" s="618">
        <f>+'4.Segto Medición POA 2022 T4'!C67</f>
        <v>2</v>
      </c>
      <c r="D12" s="542">
        <f>COUNTIF('2.Infor Detallado Desempeño POA'!AC42:AC43,"=100%")</f>
        <v>0</v>
      </c>
      <c r="E12" s="543">
        <f>COUNTIF('2.Infor Detallado Desempeño POA'!AC42:AC43,"&gt;100%")</f>
        <v>0</v>
      </c>
      <c r="F12" s="616">
        <f>COUNTIF('2.Infor Detallado Desempeño POA'!AC42:AC43,"&lt;100%")</f>
        <v>2</v>
      </c>
      <c r="G12" s="614">
        <f>COUNTIF('2.Infor Detallado Desempeño POA'!AC42:AC43,"=No programado")</f>
        <v>0</v>
      </c>
      <c r="H12" s="540">
        <f>SUM(D12:G12)</f>
        <v>2</v>
      </c>
      <c r="I12" s="541">
        <f t="shared" si="0"/>
        <v>0</v>
      </c>
    </row>
    <row r="13" spans="2:18">
      <c r="B13" s="522" t="s">
        <v>740</v>
      </c>
      <c r="C13" s="618">
        <f>+'4.Segto Medición POA 2022 T4'!C68</f>
        <v>3</v>
      </c>
      <c r="D13" s="542">
        <f>COUNTIF('2.Infor Detallado Desempeño POA'!AC49:AC51,"=100%")</f>
        <v>0</v>
      </c>
      <c r="E13" s="543">
        <f>COUNTIF('2.Infor Detallado Desempeño POA'!AC49:AC51,"&gt;100%")</f>
        <v>0</v>
      </c>
      <c r="F13" s="616">
        <f>COUNTIF('2.Infor Detallado Desempeño POA'!AC49:AC51,"&lt;100%")</f>
        <v>1</v>
      </c>
      <c r="G13" s="614">
        <f>COUNTIF('2.Infor Detallado Desempeño POA'!AC49:AC51,"=No programado")</f>
        <v>2</v>
      </c>
      <c r="H13" s="540">
        <f t="shared" si="1"/>
        <v>3</v>
      </c>
      <c r="I13" s="541">
        <f t="shared" si="0"/>
        <v>0</v>
      </c>
    </row>
    <row r="14" spans="2:18">
      <c r="B14" s="522" t="s">
        <v>730</v>
      </c>
      <c r="C14" s="618">
        <f>+'4.Segto Medición POA 2022 T4'!C69</f>
        <v>20</v>
      </c>
      <c r="D14" s="542">
        <f>COUNTIF('2.Infor Detallado Desempeño POA'!AC57:AC76,"=100%")</f>
        <v>0</v>
      </c>
      <c r="E14" s="543">
        <f>COUNTIF('2.Infor Detallado Desempeño POA'!AC57:AC76,"&gt;100%")</f>
        <v>0</v>
      </c>
      <c r="F14" s="616">
        <f>COUNTIF('2.Infor Detallado Desempeño POA'!AC57:AC76,"&lt;100%")</f>
        <v>18</v>
      </c>
      <c r="G14" s="614">
        <f>COUNTIF('2.Infor Detallado Desempeño POA'!AC57:AC76,"=No programado")</f>
        <v>2</v>
      </c>
      <c r="H14" s="540">
        <f t="shared" si="1"/>
        <v>20</v>
      </c>
      <c r="I14" s="541">
        <f t="shared" si="0"/>
        <v>0</v>
      </c>
    </row>
    <row r="15" spans="2:18">
      <c r="B15" s="522" t="s">
        <v>865</v>
      </c>
      <c r="C15" s="618">
        <f>+'4.Segto Medición POA 2022 T4'!C70</f>
        <v>7</v>
      </c>
      <c r="D15" s="542">
        <f>COUNTIF('2.Infor Detallado Desempeño POA'!AC82:AC88,"=100%")</f>
        <v>0</v>
      </c>
      <c r="E15" s="543">
        <f>COUNTIF('2.Infor Detallado Desempeño POA'!AC82:AC88,"&gt;100%")</f>
        <v>0</v>
      </c>
      <c r="F15" s="616">
        <f>COUNTIF('2.Infor Detallado Desempeño POA'!AC82:AC88,"&lt;100%")</f>
        <v>7</v>
      </c>
      <c r="G15" s="614">
        <f>COUNTIF('2.Infor Detallado Desempeño POA'!AC82:AC88,"=No programado")</f>
        <v>0</v>
      </c>
      <c r="H15" s="1096">
        <f t="shared" si="1"/>
        <v>7</v>
      </c>
      <c r="I15" s="541">
        <f t="shared" si="0"/>
        <v>0</v>
      </c>
    </row>
    <row r="16" spans="2:18">
      <c r="B16" s="522" t="s">
        <v>733</v>
      </c>
      <c r="C16" s="618">
        <f>+'4.Segto Medición POA 2022 T4'!C71</f>
        <v>8</v>
      </c>
      <c r="D16" s="542">
        <f>COUNTIF('2.Infor Detallado Desempeño POA'!AC94:AC101,"=100%")</f>
        <v>0</v>
      </c>
      <c r="E16" s="543">
        <f>COUNTIF('2.Infor Detallado Desempeño POA'!AC94:AC101,"&gt;100%")</f>
        <v>0</v>
      </c>
      <c r="F16" s="616">
        <f>COUNTIF('2.Infor Detallado Desempeño POA'!AC94:AC101,"&lt;100%")</f>
        <v>8</v>
      </c>
      <c r="G16" s="614">
        <f>COUNTIF('2.Infor Detallado Desempeño POA'!AC94:AC101,"=No programado")</f>
        <v>0</v>
      </c>
      <c r="H16" s="540">
        <f t="shared" si="1"/>
        <v>8</v>
      </c>
      <c r="I16" s="541">
        <f t="shared" si="0"/>
        <v>0</v>
      </c>
    </row>
    <row r="17" spans="2:9">
      <c r="B17" s="522" t="s">
        <v>734</v>
      </c>
      <c r="C17" s="618">
        <f>+'4.Segto Medición POA 2022 T4'!C72</f>
        <v>8</v>
      </c>
      <c r="D17" s="542">
        <f>COUNTIF('2.Infor Detallado Desempeño POA'!AC107:AC114,"=100%")</f>
        <v>0</v>
      </c>
      <c r="E17" s="543">
        <f>COUNTIF('2.Infor Detallado Desempeño POA'!AC107:AC114,"&gt;100%")</f>
        <v>0</v>
      </c>
      <c r="F17" s="616">
        <f>COUNTIF('2.Infor Detallado Desempeño POA'!AC107:AC114,"&lt;100%")</f>
        <v>8</v>
      </c>
      <c r="G17" s="614">
        <f>COUNTIF('2.Infor Detallado Desempeño POA'!AC107:AC114,"=No programado")</f>
        <v>0</v>
      </c>
      <c r="H17" s="540">
        <f t="shared" si="1"/>
        <v>8</v>
      </c>
      <c r="I17" s="541">
        <f t="shared" si="0"/>
        <v>0</v>
      </c>
    </row>
    <row r="18" spans="2:9" ht="16.5" customHeight="1">
      <c r="B18" s="522" t="s">
        <v>735</v>
      </c>
      <c r="C18" s="618">
        <f>+'4.Segto Medición POA 2022 T4'!C73</f>
        <v>2</v>
      </c>
      <c r="D18" s="542">
        <f>COUNTIF('2.Infor Detallado Desempeño POA'!AC120:AC121,"=100%")</f>
        <v>0</v>
      </c>
      <c r="E18" s="543">
        <f>COUNTIF('2.Infor Detallado Desempeño POA'!AC120:AC121,"&gt;100%")</f>
        <v>0</v>
      </c>
      <c r="F18" s="616">
        <f>COUNTIF('2.Infor Detallado Desempeño POA'!AC120:AC121,"&lt;100%")</f>
        <v>2</v>
      </c>
      <c r="G18" s="614">
        <f>COUNTIF('2.Infor Detallado Desempeño POA'!AC120:AC121,"=No programado")</f>
        <v>0</v>
      </c>
      <c r="H18" s="540">
        <f t="shared" si="1"/>
        <v>2</v>
      </c>
      <c r="I18" s="541">
        <f t="shared" si="0"/>
        <v>0</v>
      </c>
    </row>
    <row r="19" spans="2:9">
      <c r="B19" s="522" t="s">
        <v>736</v>
      </c>
      <c r="C19" s="618">
        <f>+'4.Segto Medición POA 2022 T4'!C74</f>
        <v>3</v>
      </c>
      <c r="D19" s="542">
        <f>COUNTIF('2.Infor Detallado Desempeño POA'!AC127:AC129,"=100%")</f>
        <v>0</v>
      </c>
      <c r="E19" s="543">
        <f>COUNTIF('2.Infor Detallado Desempeño POA'!AC127:AC129,"&gt;100%")</f>
        <v>0</v>
      </c>
      <c r="F19" s="616">
        <f>COUNTIF('2.Infor Detallado Desempeño POA'!AC127:AC129,"&lt;100%")</f>
        <v>3</v>
      </c>
      <c r="G19" s="614">
        <f>COUNTIF('2.Infor Detallado Desempeño POA'!AC127:AC129,"=No programado")</f>
        <v>0</v>
      </c>
      <c r="H19" s="540">
        <f t="shared" si="1"/>
        <v>3</v>
      </c>
      <c r="I19" s="541">
        <f t="shared" si="0"/>
        <v>0</v>
      </c>
    </row>
    <row r="20" spans="2:9">
      <c r="B20" s="522" t="s">
        <v>737</v>
      </c>
      <c r="C20" s="618">
        <f>+'4.Segto Medición POA 2022 T4'!C75</f>
        <v>4</v>
      </c>
      <c r="D20" s="542">
        <f>COUNTIF('2.Infor Detallado Desempeño POA'!AC135:AC138,"=100%")</f>
        <v>0</v>
      </c>
      <c r="E20" s="543">
        <f>COUNTIF('2.Infor Detallado Desempeño POA'!AC135:AC138,"&gt;100%")</f>
        <v>0</v>
      </c>
      <c r="F20" s="616">
        <f>COUNTIF('2.Infor Detallado Desempeño POA'!AC135:AC138,"&lt;100%")</f>
        <v>4</v>
      </c>
      <c r="G20" s="614">
        <f>COUNTIF('2.Infor Detallado Desempeño POA'!AC135:AC138,"=No programado")</f>
        <v>0</v>
      </c>
      <c r="H20" s="540">
        <f t="shared" si="1"/>
        <v>4</v>
      </c>
      <c r="I20" s="541">
        <f t="shared" si="0"/>
        <v>0</v>
      </c>
    </row>
    <row r="21" spans="2:9">
      <c r="B21" s="522" t="s">
        <v>738</v>
      </c>
      <c r="C21" s="618">
        <f>+'4.Segto Medición POA 2022 T4'!C76</f>
        <v>4</v>
      </c>
      <c r="D21" s="542">
        <f>COUNTIF('2.Infor Detallado Desempeño POA'!AC144:AC147,"=100%")</f>
        <v>0</v>
      </c>
      <c r="E21" s="543">
        <f>COUNTIF('2.Infor Detallado Desempeño POA'!AC144:AC147,"&gt;100%")</f>
        <v>0</v>
      </c>
      <c r="F21" s="616">
        <f>COUNTIF('2.Infor Detallado Desempeño POA'!AC144:AC147,"&lt;100%")</f>
        <v>4</v>
      </c>
      <c r="G21" s="614">
        <f>COUNTIF('2.Infor Detallado Desempeño POA'!AC144:AC147,"=No programado")</f>
        <v>0</v>
      </c>
      <c r="H21" s="540">
        <f t="shared" si="1"/>
        <v>4</v>
      </c>
      <c r="I21" s="541">
        <f t="shared" si="0"/>
        <v>0</v>
      </c>
    </row>
    <row r="22" spans="2:9">
      <c r="B22" s="522" t="s">
        <v>739</v>
      </c>
      <c r="C22" s="618">
        <f>+'4.Segto Medición POA 2022 T4'!C77</f>
        <v>5</v>
      </c>
      <c r="D22" s="542">
        <f>COUNTIF('2.Infor Detallado Desempeño POA'!AC153:AC157,"=100%")</f>
        <v>0</v>
      </c>
      <c r="E22" s="543">
        <f>COUNTIF('2.Infor Detallado Desempeño POA'!AC153:AC157,"&gt;100%")</f>
        <v>0</v>
      </c>
      <c r="F22" s="616">
        <f>COUNTIF('2.Infor Detallado Desempeño POA'!AC153:AC157,"&lt;100%")</f>
        <v>5</v>
      </c>
      <c r="G22" s="614">
        <f>COUNTIF('2.Infor Detallado Desempeño POA'!AC153:AC157,"=No programado")</f>
        <v>0</v>
      </c>
      <c r="H22" s="540">
        <f t="shared" si="1"/>
        <v>5</v>
      </c>
      <c r="I22" s="541">
        <f t="shared" si="0"/>
        <v>0</v>
      </c>
    </row>
    <row r="23" spans="2:9">
      <c r="B23" s="522" t="s">
        <v>741</v>
      </c>
      <c r="C23" s="618">
        <f>+'4.Segto Medición POA 2022 T4'!C78</f>
        <v>3</v>
      </c>
      <c r="D23" s="542">
        <f>COUNTIF('2.Infor Detallado Desempeño POA'!AC163:AC165,"=100%")</f>
        <v>0</v>
      </c>
      <c r="E23" s="543">
        <f>COUNTIF('2.Infor Detallado Desempeño POA'!AC163:AC165,"&gt;100%")</f>
        <v>0</v>
      </c>
      <c r="F23" s="616">
        <f>COUNTIF('2.Infor Detallado Desempeño POA'!AC163:AC165,"&lt;100%")</f>
        <v>3</v>
      </c>
      <c r="G23" s="614">
        <f>COUNTIF('2.Infor Detallado Desempeño POA'!AC163:AC165,"=No programado")</f>
        <v>0</v>
      </c>
      <c r="H23" s="540">
        <f t="shared" si="1"/>
        <v>3</v>
      </c>
      <c r="I23" s="541">
        <f t="shared" si="0"/>
        <v>0</v>
      </c>
    </row>
    <row r="24" spans="2:9">
      <c r="B24" s="522" t="s">
        <v>742</v>
      </c>
      <c r="C24" s="618">
        <f>+'4.Segto Medición POA 2022 T4'!C79</f>
        <v>3</v>
      </c>
      <c r="D24" s="542">
        <f>COUNTIF('2.Infor Detallado Desempeño POA'!AC171:AC173,"=100%")</f>
        <v>0</v>
      </c>
      <c r="E24" s="543">
        <f>COUNTIF('2.Infor Detallado Desempeño POA'!AC171:AC173,"&gt;100%")</f>
        <v>0</v>
      </c>
      <c r="F24" s="616">
        <f>COUNTIF('2.Infor Detallado Desempeño POA'!AC171:AC173,"&lt;100%")</f>
        <v>1</v>
      </c>
      <c r="G24" s="614">
        <f>COUNTIF('2.Infor Detallado Desempeño POA'!AC171:AC173,"=No programado")</f>
        <v>2</v>
      </c>
      <c r="H24" s="540">
        <f t="shared" si="1"/>
        <v>3</v>
      </c>
      <c r="I24" s="541">
        <f t="shared" si="0"/>
        <v>0</v>
      </c>
    </row>
    <row r="25" spans="2:9" ht="19.5" customHeight="1">
      <c r="B25" s="555" t="s">
        <v>895</v>
      </c>
      <c r="C25" s="556">
        <f>SUM(C9:C24)</f>
        <v>87</v>
      </c>
      <c r="D25" s="557">
        <f t="shared" ref="D25:E25" si="2">SUM(D9:D24)</f>
        <v>0</v>
      </c>
      <c r="E25" s="558">
        <f t="shared" si="2"/>
        <v>0</v>
      </c>
      <c r="F25" s="617">
        <f>SUM(F9:F24)</f>
        <v>78</v>
      </c>
      <c r="G25" s="615">
        <f>SUM(G9:G24)</f>
        <v>9</v>
      </c>
      <c r="H25" s="540">
        <f>SUM(D25:G25)</f>
        <v>87</v>
      </c>
      <c r="I25" s="541">
        <f t="shared" si="0"/>
        <v>0</v>
      </c>
    </row>
    <row r="27" spans="2:9" s="624" customFormat="1" ht="2.4" customHeight="1">
      <c r="C27" s="628"/>
      <c r="D27" s="920" t="str">
        <f>+D8</f>
        <v>No de Indicadores con Meta Cumplida según programación</v>
      </c>
      <c r="E27" s="921">
        <f>+D25</f>
        <v>0</v>
      </c>
      <c r="H27" s="625"/>
    </row>
    <row r="28" spans="2:9" s="624" customFormat="1" ht="2.4" customHeight="1">
      <c r="C28" s="628"/>
      <c r="D28" s="920" t="str">
        <f>+E8</f>
        <v xml:space="preserve">No de Indicadores con ejecución superior a la programada </v>
      </c>
      <c r="E28" s="921">
        <f>+E25</f>
        <v>0</v>
      </c>
      <c r="H28" s="625"/>
    </row>
    <row r="29" spans="2:9" s="624" customFormat="1" ht="2.4" customHeight="1">
      <c r="C29" s="628"/>
      <c r="D29" s="920" t="str">
        <f>+F8</f>
        <v xml:space="preserve">No de Indicadores con ejecución menor a la programada </v>
      </c>
      <c r="E29" s="921">
        <f>+F25</f>
        <v>78</v>
      </c>
      <c r="H29" s="625"/>
    </row>
    <row r="30" spans="2:9" s="624" customFormat="1" ht="2.4" customHeight="1">
      <c r="C30" s="628"/>
      <c r="D30" s="920" t="str">
        <f>+G8</f>
        <v>No de indicadores sin programar en el periodo</v>
      </c>
      <c r="E30" s="921">
        <f>+G25</f>
        <v>9</v>
      </c>
      <c r="H30" s="625"/>
    </row>
    <row r="31" spans="2:9" s="624" customFormat="1">
      <c r="C31" s="625"/>
      <c r="D31" s="625"/>
      <c r="E31" s="625"/>
      <c r="H31" s="625"/>
    </row>
    <row r="32" spans="2:9" s="624" customFormat="1">
      <c r="C32" s="625"/>
      <c r="D32" s="625"/>
      <c r="E32" s="625"/>
      <c r="H32" s="625"/>
    </row>
    <row r="33" spans="2:9" s="624" customFormat="1" hidden="1">
      <c r="C33" s="625"/>
      <c r="D33" s="625"/>
      <c r="E33" s="625"/>
      <c r="H33" s="625"/>
    </row>
    <row r="34" spans="2:9" s="627" customFormat="1" ht="10.199999999999999" hidden="1" customHeight="1">
      <c r="C34" s="628"/>
      <c r="D34" s="1409" t="str">
        <f>+C7</f>
        <v>CUMPLIMIENTO PROGRAMACIÓN EN EL PERIODO 
Tercer Trimestre de 2022</v>
      </c>
      <c r="E34" s="1409"/>
      <c r="H34" s="628"/>
    </row>
    <row r="35" spans="2:9" s="627" customFormat="1" ht="28.2" customHeight="1">
      <c r="B35" s="1359" t="s">
        <v>718</v>
      </c>
      <c r="C35" s="1414" t="s">
        <v>1166</v>
      </c>
      <c r="D35" s="1415"/>
      <c r="E35" s="1415"/>
      <c r="F35" s="1415"/>
      <c r="G35" s="1416"/>
      <c r="H35" s="628"/>
    </row>
    <row r="36" spans="2:9" s="627" customFormat="1" ht="29.4" customHeight="1">
      <c r="B36" s="1359"/>
      <c r="C36" s="1090"/>
      <c r="D36" s="1092" t="s">
        <v>1167</v>
      </c>
      <c r="E36" s="1417">
        <f>C5</f>
        <v>44834</v>
      </c>
      <c r="F36" s="1417"/>
      <c r="G36" s="1091"/>
      <c r="H36" s="628"/>
    </row>
    <row r="37" spans="2:9" s="627" customFormat="1" ht="72.599999999999994" customHeight="1">
      <c r="B37" s="1359"/>
      <c r="C37" s="613" t="s">
        <v>897</v>
      </c>
      <c r="D37" s="613" t="s">
        <v>1168</v>
      </c>
      <c r="E37" s="613" t="s">
        <v>899</v>
      </c>
      <c r="F37" s="613" t="s">
        <v>906</v>
      </c>
      <c r="G37" s="571" t="s">
        <v>925</v>
      </c>
      <c r="H37" s="628"/>
    </row>
    <row r="38" spans="2:9" s="627" customFormat="1" ht="19.95" customHeight="1">
      <c r="B38" s="522" t="s">
        <v>725</v>
      </c>
      <c r="C38" s="618">
        <f>+C64</f>
        <v>4</v>
      </c>
      <c r="D38" s="542">
        <f>COUNTIF('2.Infor Detallado Desempeño POA'!AD12:AD15,"&gt;=99%")-COUNTIF('2.Infor Detallado Desempeño POA'!AD12:AD15,"&gt;100%")</f>
        <v>0</v>
      </c>
      <c r="E38" s="543">
        <f>COUNTIF('2.Infor Detallado Desempeño POA'!AD12:AD15,"&gt;100%")</f>
        <v>0</v>
      </c>
      <c r="F38" s="616">
        <f>COUNTIF('2.Infor Detallado Desempeño POA'!AD12:AD15,"&lt;99%")</f>
        <v>4</v>
      </c>
      <c r="G38" s="614">
        <f>COUNTIF('2.Infor Detallado Desempeño POA'!AD12:AD15,"=No programado")</f>
        <v>0</v>
      </c>
      <c r="H38" s="540">
        <f>SUM(D38:G38)</f>
        <v>4</v>
      </c>
      <c r="I38" s="541">
        <f t="shared" ref="I38:I54" si="3">C38-H38</f>
        <v>0</v>
      </c>
    </row>
    <row r="39" spans="2:9" s="627" customFormat="1" ht="19.95" customHeight="1">
      <c r="B39" s="522" t="s">
        <v>727</v>
      </c>
      <c r="C39" s="618">
        <f t="shared" ref="C39:C53" si="4">+C65</f>
        <v>4</v>
      </c>
      <c r="D39" s="542">
        <f>COUNTIF('2.Infor Detallado Desempeño POA'!AD21:AD24,"&gt;=99%")-COUNTIF('2.Infor Detallado Desempeño POA'!AD21:AD24,"&gt;100%")</f>
        <v>0</v>
      </c>
      <c r="E39" s="543">
        <f>COUNTIF('2.Infor Detallado Desempeño POA'!AD21:AD24,"&gt;100%")</f>
        <v>0</v>
      </c>
      <c r="F39" s="616">
        <f>COUNTIF('2.Infor Detallado Desempeño POA'!AD21:AD24,"&lt;99%")</f>
        <v>2</v>
      </c>
      <c r="G39" s="614">
        <f>COUNTIF('2.Infor Detallado Desempeño POA'!AD21:AD24,"=No programado")</f>
        <v>2</v>
      </c>
      <c r="H39" s="540">
        <f t="shared" ref="H39:H40" si="5">SUM(D39:G39)</f>
        <v>4</v>
      </c>
      <c r="I39" s="541">
        <f t="shared" si="3"/>
        <v>0</v>
      </c>
    </row>
    <row r="40" spans="2:9" s="627" customFormat="1" ht="19.95" customHeight="1">
      <c r="B40" s="522" t="s">
        <v>728</v>
      </c>
      <c r="C40" s="618">
        <f t="shared" si="4"/>
        <v>7</v>
      </c>
      <c r="D40" s="542">
        <f>COUNTIF('2.Infor Detallado Desempeño POA'!AD30:AD36,"&gt;=99%")-COUNTIF('2.Infor Detallado Desempeño POA'!AD30:AD36,"&gt;100%")</f>
        <v>0</v>
      </c>
      <c r="E40" s="543">
        <f>COUNTIF('2.Infor Detallado Desempeño POA'!AD30:AD36,"&gt;100%")</f>
        <v>0</v>
      </c>
      <c r="F40" s="616">
        <f>COUNTIF('2.Infor Detallado Desempeño POA'!AD30:AD36,"&lt;99%")</f>
        <v>7</v>
      </c>
      <c r="G40" s="614">
        <f>COUNTIF('2.Infor Detallado Desempeño POA'!AD30:AD36,"=No programado")</f>
        <v>0</v>
      </c>
      <c r="H40" s="540">
        <f t="shared" si="5"/>
        <v>7</v>
      </c>
      <c r="I40" s="541">
        <f t="shared" si="3"/>
        <v>0</v>
      </c>
    </row>
    <row r="41" spans="2:9" s="627" customFormat="1" ht="19.95" customHeight="1">
      <c r="B41" s="522" t="s">
        <v>729</v>
      </c>
      <c r="C41" s="618">
        <f t="shared" si="4"/>
        <v>2</v>
      </c>
      <c r="D41" s="542">
        <f>COUNTIF('2.Infor Detallado Desempeño POA'!AD42:AD43,"&gt;=99%")-COUNTIF('2.Infor Detallado Desempeño POA'!AD42:AD43,"&gt;100%")</f>
        <v>0</v>
      </c>
      <c r="E41" s="543">
        <f>COUNTIF('2.Infor Detallado Desempeño POA'!AD42:AD43,"&gt;100%")</f>
        <v>0</v>
      </c>
      <c r="F41" s="616">
        <f>COUNTIF('2.Infor Detallado Desempeño POA'!AD42:AD43,"&lt;99%")</f>
        <v>2</v>
      </c>
      <c r="G41" s="614">
        <f>COUNTIF('2.Infor Detallado Desempeño POA'!AD42:AD43,"=No programado")</f>
        <v>0</v>
      </c>
      <c r="H41" s="540">
        <f>SUM(D41:G41)</f>
        <v>2</v>
      </c>
      <c r="I41" s="541">
        <f t="shared" si="3"/>
        <v>0</v>
      </c>
    </row>
    <row r="42" spans="2:9" s="627" customFormat="1" ht="19.95" customHeight="1">
      <c r="B42" s="522" t="s">
        <v>740</v>
      </c>
      <c r="C42" s="618">
        <f t="shared" si="4"/>
        <v>3</v>
      </c>
      <c r="D42" s="542">
        <f>COUNTIF('2.Infor Detallado Desempeño POA'!AD49:AD51,"&gt;=99%")-COUNTIF('2.Infor Detallado Desempeño POA'!AD49:AD51,"&gt;100%")</f>
        <v>0</v>
      </c>
      <c r="E42" s="543">
        <f>COUNTIF('2.Infor Detallado Desempeño POA'!AD49:AD51,"&gt;100%")</f>
        <v>0</v>
      </c>
      <c r="F42" s="616">
        <f>COUNTIF('2.Infor Detallado Desempeño POA'!AD49:AD51,"&lt;99%")</f>
        <v>2</v>
      </c>
      <c r="G42" s="614">
        <f>COUNTIF('2.Infor Detallado Desempeño POA'!AD49:AD51,"=No programado")</f>
        <v>1</v>
      </c>
      <c r="H42" s="540">
        <f t="shared" ref="H42:H53" si="6">SUM(D42:G42)</f>
        <v>3</v>
      </c>
      <c r="I42" s="541">
        <f t="shared" si="3"/>
        <v>0</v>
      </c>
    </row>
    <row r="43" spans="2:9" s="627" customFormat="1" ht="19.95" customHeight="1">
      <c r="B43" s="522" t="s">
        <v>730</v>
      </c>
      <c r="C43" s="618">
        <f t="shared" si="4"/>
        <v>20</v>
      </c>
      <c r="D43" s="542">
        <f>COUNTIF('2.Infor Detallado Desempeño POA'!AD57:AD76,"&gt;=99%")-COUNTIF('2.Infor Detallado Desempeño POA'!AD57:AD76,"&gt;100%")</f>
        <v>0</v>
      </c>
      <c r="E43" s="543">
        <f>COUNTIF('2.Infor Detallado Desempeño POA'!AD57:AD76,"&gt;100%")</f>
        <v>0</v>
      </c>
      <c r="F43" s="616">
        <f>COUNTIF('2.Infor Detallado Desempeño POA'!AD57:AD76,"&lt;99%")</f>
        <v>18</v>
      </c>
      <c r="G43" s="614">
        <f>COUNTIF('2.Infor Detallado Desempeño POA'!AD57:AD76,"=No programado")</f>
        <v>2</v>
      </c>
      <c r="H43" s="540">
        <f t="shared" si="6"/>
        <v>20</v>
      </c>
      <c r="I43" s="541">
        <f t="shared" si="3"/>
        <v>0</v>
      </c>
    </row>
    <row r="44" spans="2:9" s="627" customFormat="1" ht="19.95" customHeight="1">
      <c r="B44" s="522" t="s">
        <v>865</v>
      </c>
      <c r="C44" s="618">
        <f t="shared" si="4"/>
        <v>7</v>
      </c>
      <c r="D44" s="542">
        <f>COUNTIF('2.Infor Detallado Desempeño POA'!AD82:AD88,"&gt;=99%")-COUNTIF('2.Infor Detallado Desempeño POA'!AD82:AD88,"&gt;100%")</f>
        <v>0</v>
      </c>
      <c r="E44" s="543">
        <f>COUNTIF('2.Infor Detallado Desempeño POA'!AD82:AD88,"&gt;100%")</f>
        <v>0</v>
      </c>
      <c r="F44" s="616">
        <f>COUNTIF('2.Infor Detallado Desempeño POA'!AD82:AD88,"&lt;99%")</f>
        <v>7</v>
      </c>
      <c r="G44" s="614">
        <f>COUNTIF('2.Infor Detallado Desempeño POA'!AD82:AD88,"=No programado")</f>
        <v>0</v>
      </c>
      <c r="H44" s="540">
        <f t="shared" si="6"/>
        <v>7</v>
      </c>
      <c r="I44" s="541">
        <f t="shared" si="3"/>
        <v>0</v>
      </c>
    </row>
    <row r="45" spans="2:9" s="627" customFormat="1" ht="19.95" customHeight="1">
      <c r="B45" s="522" t="s">
        <v>733</v>
      </c>
      <c r="C45" s="618">
        <f t="shared" si="4"/>
        <v>8</v>
      </c>
      <c r="D45" s="542">
        <f>COUNTIF('2.Infor Detallado Desempeño POA'!AD94:AD101,"&gt;=99%")-COUNTIF('2.Infor Detallado Desempeño POA'!AD94:AD101,"&gt;100%")</f>
        <v>0</v>
      </c>
      <c r="E45" s="543">
        <f>COUNTIF('2.Infor Detallado Desempeño POA'!AD94:AD101,"&gt;100%")</f>
        <v>0</v>
      </c>
      <c r="F45" s="616">
        <f>COUNTIF('2.Infor Detallado Desempeño POA'!AD94:AD101,"&lt;99%")</f>
        <v>8</v>
      </c>
      <c r="G45" s="614">
        <f>COUNTIF('2.Infor Detallado Desempeño POA'!AD94:AD101,"=No programado")</f>
        <v>0</v>
      </c>
      <c r="H45" s="540">
        <f t="shared" si="6"/>
        <v>8</v>
      </c>
      <c r="I45" s="541">
        <f t="shared" si="3"/>
        <v>0</v>
      </c>
    </row>
    <row r="46" spans="2:9" s="627" customFormat="1" ht="19.95" customHeight="1">
      <c r="B46" s="522" t="s">
        <v>734</v>
      </c>
      <c r="C46" s="618">
        <f t="shared" si="4"/>
        <v>8</v>
      </c>
      <c r="D46" s="542">
        <f>COUNTIF('2.Infor Detallado Desempeño POA'!AD107:AD114,"&gt;=99%")-COUNTIF('2.Infor Detallado Desempeño POA'!AD107:AD114,"&gt;100%")</f>
        <v>0</v>
      </c>
      <c r="E46" s="543">
        <f>COUNTIF('2.Infor Detallado Desempeño POA'!AD107:AD114,"&gt;100%")</f>
        <v>0</v>
      </c>
      <c r="F46" s="616">
        <f>COUNTIF('2.Infor Detallado Desempeño POA'!AD107:AD114,"&lt;99%")</f>
        <v>8</v>
      </c>
      <c r="G46" s="614">
        <f>COUNTIF('2.Infor Detallado Desempeño POA'!AD107:AD114,"=No programado")</f>
        <v>0</v>
      </c>
      <c r="H46" s="540">
        <f t="shared" si="6"/>
        <v>8</v>
      </c>
      <c r="I46" s="541">
        <f t="shared" si="3"/>
        <v>0</v>
      </c>
    </row>
    <row r="47" spans="2:9" s="627" customFormat="1" ht="19.95" customHeight="1">
      <c r="B47" s="522" t="s">
        <v>735</v>
      </c>
      <c r="C47" s="618">
        <f t="shared" si="4"/>
        <v>2</v>
      </c>
      <c r="D47" s="542">
        <f>COUNTIF('2.Infor Detallado Desempeño POA'!AD120:AD121,"&gt;=99%")-COUNTIF('2.Infor Detallado Desempeño POA'!AD120:AD121,"&gt;100%")</f>
        <v>0</v>
      </c>
      <c r="E47" s="543">
        <f>COUNTIF('2.Infor Detallado Desempeño POA'!AD120:AD121,"&gt;100%")</f>
        <v>0</v>
      </c>
      <c r="F47" s="616">
        <f>COUNTIF('2.Infor Detallado Desempeño POA'!AD120:AD121,"&lt;99%")</f>
        <v>2</v>
      </c>
      <c r="G47" s="614">
        <f>COUNTIF('2.Infor Detallado Desempeño POA'!AD120:AD121,"=No programado")</f>
        <v>0</v>
      </c>
      <c r="H47" s="540">
        <f t="shared" si="6"/>
        <v>2</v>
      </c>
      <c r="I47" s="541">
        <f t="shared" si="3"/>
        <v>0</v>
      </c>
    </row>
    <row r="48" spans="2:9" s="627" customFormat="1" ht="19.95" customHeight="1">
      <c r="B48" s="522" t="s">
        <v>736</v>
      </c>
      <c r="C48" s="618">
        <f t="shared" si="4"/>
        <v>3</v>
      </c>
      <c r="D48" s="542">
        <f>COUNTIF('2.Infor Detallado Desempeño POA'!AD127:AD129,"&gt;=99%")-COUNTIF('2.Infor Detallado Desempeño POA'!AD127:AD129,"&gt;100%")</f>
        <v>0</v>
      </c>
      <c r="E48" s="543">
        <f>COUNTIF('2.Infor Detallado Desempeño POA'!AD127:AD129,"&gt;100%")</f>
        <v>0</v>
      </c>
      <c r="F48" s="616">
        <f>COUNTIF('2.Infor Detallado Desempeño POA'!AD127:AD129,"&lt;99%")</f>
        <v>3</v>
      </c>
      <c r="G48" s="614">
        <f>COUNTIF('2.Infor Detallado Desempeño POA'!AD127:AD129,"=No programado")</f>
        <v>0</v>
      </c>
      <c r="H48" s="540">
        <f t="shared" si="6"/>
        <v>3</v>
      </c>
      <c r="I48" s="541">
        <f t="shared" si="3"/>
        <v>0</v>
      </c>
    </row>
    <row r="49" spans="2:17" s="627" customFormat="1" ht="19.95" customHeight="1">
      <c r="B49" s="522" t="s">
        <v>737</v>
      </c>
      <c r="C49" s="618">
        <f t="shared" si="4"/>
        <v>4</v>
      </c>
      <c r="D49" s="542">
        <f>COUNTIF('2.Infor Detallado Desempeño POA'!AD135:AD138,"&gt;=99%")-COUNTIF('2.Infor Detallado Desempeño POA'!AD135:AD138,"&gt;100%")</f>
        <v>0</v>
      </c>
      <c r="E49" s="543">
        <f>COUNTIF('2.Infor Detallado Desempeño POA'!AD135:AD138,"&gt;100%")</f>
        <v>1</v>
      </c>
      <c r="F49" s="616">
        <f>COUNTIF('2.Infor Detallado Desempeño POA'!AD135:AD138,"&lt;99%")</f>
        <v>3</v>
      </c>
      <c r="G49" s="614">
        <f>COUNTIF('2.Infor Detallado Desempeño POA'!AD135:AD138,"=No programado")</f>
        <v>0</v>
      </c>
      <c r="H49" s="540">
        <f t="shared" si="6"/>
        <v>4</v>
      </c>
      <c r="I49" s="541">
        <f t="shared" si="3"/>
        <v>0</v>
      </c>
    </row>
    <row r="50" spans="2:17" s="627" customFormat="1" ht="19.95" customHeight="1">
      <c r="B50" s="522" t="s">
        <v>738</v>
      </c>
      <c r="C50" s="618">
        <f t="shared" si="4"/>
        <v>4</v>
      </c>
      <c r="D50" s="542">
        <f>COUNTIF('2.Infor Detallado Desempeño POA'!AD144:AD147,"&gt;=99%")-COUNTIF('2.Infor Detallado Desempeño POA'!AD144:AD147,"&gt;100%")</f>
        <v>0</v>
      </c>
      <c r="E50" s="543">
        <f>COUNTIF('2.Infor Detallado Desempeño POA'!AD144:AD147,"&gt;100%")</f>
        <v>0</v>
      </c>
      <c r="F50" s="616">
        <f>COUNTIF('2.Infor Detallado Desempeño POA'!AD144:AD147,"&lt;99%")</f>
        <v>4</v>
      </c>
      <c r="G50" s="614">
        <f>COUNTIF('2.Infor Detallado Desempeño POA'!AD144:AD147,"=No programado")</f>
        <v>0</v>
      </c>
      <c r="H50" s="540">
        <f t="shared" si="6"/>
        <v>4</v>
      </c>
      <c r="I50" s="541">
        <f t="shared" si="3"/>
        <v>0</v>
      </c>
    </row>
    <row r="51" spans="2:17" s="627" customFormat="1" ht="19.95" customHeight="1">
      <c r="B51" s="522" t="s">
        <v>739</v>
      </c>
      <c r="C51" s="618">
        <f t="shared" si="4"/>
        <v>5</v>
      </c>
      <c r="D51" s="542">
        <f>COUNTIF('2.Infor Detallado Desempeño POA'!AD153:AD157,"&gt;=99%")-COUNTIF('2.Infor Detallado Desempeño POA'!AD153:AD157,"&gt;100%")</f>
        <v>0</v>
      </c>
      <c r="E51" s="543">
        <f>COUNTIF('2.Infor Detallado Desempeño POA'!AD153:AD157,"&gt;100%")</f>
        <v>0</v>
      </c>
      <c r="F51" s="616">
        <f>COUNTIF('2.Infor Detallado Desempeño POA'!AD153:AD157,"&lt;99%")</f>
        <v>5</v>
      </c>
      <c r="G51" s="614">
        <f>COUNTIF('2.Infor Detallado Desempeño POA'!AD153:AD157,"=No programado")</f>
        <v>0</v>
      </c>
      <c r="H51" s="540">
        <f t="shared" si="6"/>
        <v>5</v>
      </c>
      <c r="I51" s="541">
        <f t="shared" si="3"/>
        <v>0</v>
      </c>
    </row>
    <row r="52" spans="2:17" s="627" customFormat="1" ht="19.95" customHeight="1">
      <c r="B52" s="522" t="s">
        <v>741</v>
      </c>
      <c r="C52" s="618">
        <f t="shared" si="4"/>
        <v>3</v>
      </c>
      <c r="D52" s="542">
        <f>COUNTIF('2.Infor Detallado Desempeño POA'!AD163:AD165,"&gt;=99%")-COUNTIF('2.Infor Detallado Desempeño POA'!AD163:AD165,"&gt;100%")</f>
        <v>0</v>
      </c>
      <c r="E52" s="543">
        <f>COUNTIF('2.Infor Detallado Desempeño POA'!AD163:AD165,"&gt;100%")</f>
        <v>1</v>
      </c>
      <c r="F52" s="616">
        <f>COUNTIF('2.Infor Detallado Desempeño POA'!AD163:AD165,"&lt;99%")</f>
        <v>2</v>
      </c>
      <c r="G52" s="614">
        <f>COUNTIF('2.Infor Detallado Desempeño POA'!AD163:AD165,"=No programado")</f>
        <v>0</v>
      </c>
      <c r="H52" s="540">
        <f t="shared" si="6"/>
        <v>3</v>
      </c>
      <c r="I52" s="541">
        <f t="shared" si="3"/>
        <v>0</v>
      </c>
    </row>
    <row r="53" spans="2:17" s="627" customFormat="1" ht="19.95" customHeight="1">
      <c r="B53" s="522" t="s">
        <v>742</v>
      </c>
      <c r="C53" s="618">
        <f t="shared" si="4"/>
        <v>3</v>
      </c>
      <c r="D53" s="542">
        <f>COUNTIF('2.Infor Detallado Desempeño POA'!AD171:AD173,"&gt;=99%")-COUNTIF('2.Infor Detallado Desempeño POA'!AD171:AD173,"&gt;100%")</f>
        <v>0</v>
      </c>
      <c r="E53" s="543">
        <f>COUNTIF('2.Infor Detallado Desempeño POA'!AD171:AD173,"&gt;100%")</f>
        <v>0</v>
      </c>
      <c r="F53" s="616">
        <f>COUNTIF('2.Infor Detallado Desempeño POA'!AD171:AD173,"&lt;99%")</f>
        <v>2</v>
      </c>
      <c r="G53" s="614">
        <f>COUNTIF('2.Infor Detallado Desempeño POA'!AD171:AD173,"=No programado")</f>
        <v>1</v>
      </c>
      <c r="H53" s="540">
        <f t="shared" si="6"/>
        <v>3</v>
      </c>
      <c r="I53" s="541">
        <f t="shared" si="3"/>
        <v>0</v>
      </c>
    </row>
    <row r="54" spans="2:17" s="627" customFormat="1" ht="19.95" customHeight="1">
      <c r="B54" s="555" t="s">
        <v>895</v>
      </c>
      <c r="C54" s="556">
        <f>SUM(C38:C53)</f>
        <v>87</v>
      </c>
      <c r="D54" s="557">
        <f t="shared" ref="D54:E54" si="7">SUM(D38:D53)</f>
        <v>0</v>
      </c>
      <c r="E54" s="558">
        <f t="shared" si="7"/>
        <v>2</v>
      </c>
      <c r="F54" s="617">
        <f>SUM(F38:F53)</f>
        <v>79</v>
      </c>
      <c r="G54" s="615">
        <f>SUM(G38:G53)</f>
        <v>6</v>
      </c>
      <c r="H54" s="540">
        <f>SUM(D54:G54)</f>
        <v>87</v>
      </c>
      <c r="I54" s="541">
        <f t="shared" si="3"/>
        <v>0</v>
      </c>
    </row>
    <row r="55" spans="2:17" s="627" customFormat="1" ht="19.95" customHeight="1">
      <c r="B55" s="917"/>
      <c r="C55" s="919"/>
      <c r="D55" s="919"/>
      <c r="E55" s="919"/>
      <c r="F55" s="919"/>
      <c r="G55" s="919"/>
      <c r="H55" s="918"/>
      <c r="I55" s="541"/>
    </row>
    <row r="56" spans="2:17" s="627" customFormat="1" ht="3" customHeight="1">
      <c r="C56" s="922"/>
      <c r="D56" s="920" t="str">
        <f>+D37</f>
        <v>No de Indicadores con Meta Cumplida según progrLación</v>
      </c>
      <c r="E56" s="921">
        <f>+D54</f>
        <v>0</v>
      </c>
      <c r="F56" s="923"/>
      <c r="G56" s="924"/>
      <c r="H56" s="628"/>
    </row>
    <row r="57" spans="2:17" s="627" customFormat="1" ht="3" customHeight="1">
      <c r="C57" s="922"/>
      <c r="D57" s="920" t="str">
        <f>+E37</f>
        <v xml:space="preserve">No de Indicadores con ejecución superior a la programada </v>
      </c>
      <c r="E57" s="921">
        <f>+E54</f>
        <v>2</v>
      </c>
      <c r="F57" s="923"/>
      <c r="G57" s="924"/>
      <c r="H57" s="628"/>
    </row>
    <row r="58" spans="2:17" s="627" customFormat="1" ht="3" customHeight="1">
      <c r="C58" s="922"/>
      <c r="D58" s="920" t="str">
        <f>+F37</f>
        <v xml:space="preserve">No de Indicadores con ejecución menor a la programada </v>
      </c>
      <c r="E58" s="921">
        <f>+F54</f>
        <v>79</v>
      </c>
      <c r="F58" s="923"/>
      <c r="G58" s="924"/>
      <c r="H58" s="628"/>
    </row>
    <row r="59" spans="2:17" s="627" customFormat="1" ht="3" customHeight="1">
      <c r="C59" s="922"/>
      <c r="D59" s="920" t="str">
        <f>+G37</f>
        <v>No de indicadores sin programar en el periodo</v>
      </c>
      <c r="E59" s="921">
        <f>+G54</f>
        <v>6</v>
      </c>
      <c r="F59" s="923"/>
      <c r="G59" s="924"/>
      <c r="H59" s="628"/>
    </row>
    <row r="60" spans="2:17" s="627" customFormat="1" ht="10.199999999999999" customHeight="1">
      <c r="C60" s="628"/>
      <c r="D60" s="628"/>
      <c r="E60" s="629">
        <f>SUM(E27:E30)</f>
        <v>87</v>
      </c>
      <c r="F60" s="626"/>
      <c r="H60" s="628"/>
    </row>
    <row r="61" spans="2:17" ht="15.6" thickBot="1"/>
    <row r="62" spans="2:17" s="529" customFormat="1" ht="15.6">
      <c r="B62" s="1402" t="s">
        <v>751</v>
      </c>
      <c r="C62" s="1404" t="s">
        <v>893</v>
      </c>
      <c r="D62" s="1406" t="s">
        <v>894</v>
      </c>
      <c r="E62" s="1407"/>
      <c r="F62" s="1408"/>
      <c r="P62" s="517"/>
      <c r="Q62" s="517"/>
    </row>
    <row r="63" spans="2:17" ht="33" customHeight="1">
      <c r="B63" s="1403"/>
      <c r="C63" s="1405"/>
      <c r="D63" s="1075" t="s">
        <v>760</v>
      </c>
      <c r="E63" s="1075" t="s">
        <v>764</v>
      </c>
      <c r="F63" s="532" t="s">
        <v>768</v>
      </c>
      <c r="H63" s="517"/>
    </row>
    <row r="64" spans="2:17">
      <c r="B64" s="533" t="s">
        <v>725</v>
      </c>
      <c r="C64" s="534">
        <f>+'3.Resum Desemp Procesos POA T1'!C41</f>
        <v>4</v>
      </c>
      <c r="D64" s="534">
        <f>+'Rango indicadores'!E111</f>
        <v>4</v>
      </c>
      <c r="E64" s="534">
        <f>+'Rango indicadores'!F111</f>
        <v>0</v>
      </c>
      <c r="F64" s="535">
        <f>+'Rango indicadores'!G111</f>
        <v>0</v>
      </c>
      <c r="H64" s="517"/>
    </row>
    <row r="65" spans="2:8">
      <c r="B65" s="533" t="s">
        <v>727</v>
      </c>
      <c r="C65" s="534">
        <f>+'3.Resum Desemp Procesos POA T1'!C42</f>
        <v>4</v>
      </c>
      <c r="D65" s="534">
        <f>+'Rango indicadores'!E112</f>
        <v>4</v>
      </c>
      <c r="E65" s="534">
        <f>+'Rango indicadores'!F112</f>
        <v>0</v>
      </c>
      <c r="F65" s="535">
        <f>+'Rango indicadores'!G112</f>
        <v>0</v>
      </c>
      <c r="H65" s="517"/>
    </row>
    <row r="66" spans="2:8">
      <c r="B66" s="533" t="s">
        <v>728</v>
      </c>
      <c r="C66" s="534">
        <f>+'3.Resum Desemp Procesos POA T1'!C43</f>
        <v>7</v>
      </c>
      <c r="D66" s="534">
        <f>+'Rango indicadores'!E113</f>
        <v>7</v>
      </c>
      <c r="E66" s="534">
        <f>+'Rango indicadores'!F113</f>
        <v>0</v>
      </c>
      <c r="F66" s="535">
        <f>+'Rango indicadores'!G113</f>
        <v>0</v>
      </c>
      <c r="H66" s="517"/>
    </row>
    <row r="67" spans="2:8">
      <c r="B67" s="533" t="s">
        <v>729</v>
      </c>
      <c r="C67" s="534">
        <f>+'3.Resum Desemp Procesos POA T1'!C44</f>
        <v>2</v>
      </c>
      <c r="D67" s="534">
        <f>+'Rango indicadores'!E114</f>
        <v>2</v>
      </c>
      <c r="E67" s="534">
        <f>+'Rango indicadores'!F114</f>
        <v>0</v>
      </c>
      <c r="F67" s="535">
        <f>+'Rango indicadores'!G114</f>
        <v>0</v>
      </c>
      <c r="H67" s="517"/>
    </row>
    <row r="68" spans="2:8">
      <c r="B68" s="533" t="s">
        <v>740</v>
      </c>
      <c r="C68" s="534">
        <f>+'3.Resum Desemp Procesos POA T1'!C45</f>
        <v>3</v>
      </c>
      <c r="D68" s="534">
        <f>+'Rango indicadores'!E115</f>
        <v>21</v>
      </c>
      <c r="E68" s="534">
        <f>+'Rango indicadores'!F115</f>
        <v>0</v>
      </c>
      <c r="F68" s="535">
        <f>+'Rango indicadores'!G115</f>
        <v>0</v>
      </c>
      <c r="H68" s="517"/>
    </row>
    <row r="69" spans="2:8">
      <c r="B69" s="533" t="s">
        <v>730</v>
      </c>
      <c r="C69" s="534">
        <f>+'3.Resum Desemp Procesos POA T1'!C47</f>
        <v>20</v>
      </c>
      <c r="D69" s="534">
        <f>+'Rango indicadores'!E116</f>
        <v>7</v>
      </c>
      <c r="E69" s="534">
        <f>+'Rango indicadores'!F116</f>
        <v>0</v>
      </c>
      <c r="F69" s="535">
        <f>+'Rango indicadores'!G116</f>
        <v>0</v>
      </c>
      <c r="H69" s="517"/>
    </row>
    <row r="70" spans="2:8">
      <c r="B70" s="533" t="s">
        <v>865</v>
      </c>
      <c r="C70" s="534">
        <f>+'3.Resum Desemp Procesos POA T1'!C48</f>
        <v>7</v>
      </c>
      <c r="D70" s="534">
        <f>+'Rango indicadores'!E117</f>
        <v>8</v>
      </c>
      <c r="E70" s="534">
        <f>+'Rango indicadores'!F117</f>
        <v>0</v>
      </c>
      <c r="F70" s="535">
        <f>+'Rango indicadores'!G117</f>
        <v>0</v>
      </c>
      <c r="H70" s="517"/>
    </row>
    <row r="71" spans="2:8">
      <c r="B71" s="533" t="s">
        <v>733</v>
      </c>
      <c r="C71" s="534">
        <f>+'3.Resum Desemp Procesos POA T1'!C49</f>
        <v>8</v>
      </c>
      <c r="D71" s="534">
        <f>+'Rango indicadores'!E118</f>
        <v>7</v>
      </c>
      <c r="E71" s="534">
        <f>+'Rango indicadores'!F118</f>
        <v>0</v>
      </c>
      <c r="F71" s="535">
        <f>+'Rango indicadores'!G118</f>
        <v>1</v>
      </c>
      <c r="H71" s="517"/>
    </row>
    <row r="72" spans="2:8">
      <c r="B72" s="533" t="s">
        <v>734</v>
      </c>
      <c r="C72" s="534">
        <f>+'3.Resum Desemp Procesos POA T1'!C51</f>
        <v>8</v>
      </c>
      <c r="D72" s="534">
        <f>+'Rango indicadores'!E119</f>
        <v>2</v>
      </c>
      <c r="E72" s="534">
        <f>+'Rango indicadores'!F119</f>
        <v>0</v>
      </c>
      <c r="F72" s="535">
        <f>+'Rango indicadores'!G119</f>
        <v>0</v>
      </c>
      <c r="H72" s="517"/>
    </row>
    <row r="73" spans="2:8">
      <c r="B73" s="533" t="s">
        <v>735</v>
      </c>
      <c r="C73" s="534">
        <f>+'3.Resum Desemp Procesos POA T1'!C52</f>
        <v>2</v>
      </c>
      <c r="D73" s="534">
        <f>+'Rango indicadores'!E120</f>
        <v>3</v>
      </c>
      <c r="E73" s="534">
        <f>+'Rango indicadores'!F120</f>
        <v>0</v>
      </c>
      <c r="F73" s="535">
        <f>+'Rango indicadores'!G120</f>
        <v>0</v>
      </c>
      <c r="H73" s="517"/>
    </row>
    <row r="74" spans="2:8">
      <c r="B74" s="533" t="s">
        <v>736</v>
      </c>
      <c r="C74" s="534">
        <f>+'3.Resum Desemp Procesos POA T1'!C53</f>
        <v>3</v>
      </c>
      <c r="D74" s="534">
        <f>+'Rango indicadores'!E121</f>
        <v>1</v>
      </c>
      <c r="E74" s="534">
        <f>+'Rango indicadores'!F121</f>
        <v>3</v>
      </c>
      <c r="F74" s="535">
        <f>+'Rango indicadores'!G121</f>
        <v>0</v>
      </c>
      <c r="H74" s="517"/>
    </row>
    <row r="75" spans="2:8">
      <c r="B75" s="533" t="s">
        <v>737</v>
      </c>
      <c r="C75" s="534">
        <f>+'3.Resum Desemp Procesos POA T1'!C54</f>
        <v>4</v>
      </c>
      <c r="D75" s="534">
        <f>+'Rango indicadores'!E122</f>
        <v>3</v>
      </c>
      <c r="E75" s="534">
        <f>+'Rango indicadores'!F122</f>
        <v>1</v>
      </c>
      <c r="F75" s="535">
        <f>+'Rango indicadores'!G122</f>
        <v>0</v>
      </c>
      <c r="H75" s="517"/>
    </row>
    <row r="76" spans="2:8">
      <c r="B76" s="533" t="s">
        <v>738</v>
      </c>
      <c r="C76" s="534">
        <f>+'3.Resum Desemp Procesos POA T1'!C55</f>
        <v>4</v>
      </c>
      <c r="D76" s="534">
        <f>+'Rango indicadores'!E123</f>
        <v>5</v>
      </c>
      <c r="E76" s="534">
        <f>+'Rango indicadores'!F123</f>
        <v>0</v>
      </c>
      <c r="F76" s="535">
        <f>+'Rango indicadores'!G123</f>
        <v>0</v>
      </c>
      <c r="H76" s="517"/>
    </row>
    <row r="77" spans="2:8">
      <c r="B77" s="533" t="s">
        <v>739</v>
      </c>
      <c r="C77" s="534">
        <f>+'3.Resum Desemp Procesos POA T1'!C56</f>
        <v>5</v>
      </c>
      <c r="D77" s="534">
        <f>+'Rango indicadores'!E124</f>
        <v>3</v>
      </c>
      <c r="E77" s="534">
        <f>+'Rango indicadores'!F124</f>
        <v>0</v>
      </c>
      <c r="F77" s="535">
        <f>+'Rango indicadores'!G124</f>
        <v>0</v>
      </c>
      <c r="H77" s="517"/>
    </row>
    <row r="78" spans="2:8">
      <c r="B78" s="533" t="s">
        <v>741</v>
      </c>
      <c r="C78" s="534">
        <f>+'3.Resum Desemp Procesos POA T1'!C58</f>
        <v>3</v>
      </c>
      <c r="D78" s="534">
        <f>+'Rango indicadores'!E125</f>
        <v>3</v>
      </c>
      <c r="E78" s="534">
        <f>+'Rango indicadores'!F125</f>
        <v>0</v>
      </c>
      <c r="F78" s="535">
        <f>+'Rango indicadores'!G125</f>
        <v>0</v>
      </c>
      <c r="H78" s="517"/>
    </row>
    <row r="79" spans="2:8">
      <c r="B79" s="533" t="s">
        <v>742</v>
      </c>
      <c r="C79" s="534">
        <f>+'3.Resum Desemp Procesos POA T1'!C59</f>
        <v>3</v>
      </c>
      <c r="D79" s="534">
        <f>+'Rango indicadores'!E126</f>
        <v>3</v>
      </c>
      <c r="E79" s="534">
        <f>+'Rango indicadores'!F126</f>
        <v>0</v>
      </c>
      <c r="F79" s="535">
        <f>+'Rango indicadores'!G126</f>
        <v>0</v>
      </c>
      <c r="H79" s="517"/>
    </row>
    <row r="80" spans="2:8" ht="16.2" thickBot="1">
      <c r="B80" s="536" t="s">
        <v>895</v>
      </c>
      <c r="C80" s="537">
        <f>SUM(C64:C79)</f>
        <v>87</v>
      </c>
      <c r="D80" s="537">
        <f>SUM(D64:D79)</f>
        <v>83</v>
      </c>
      <c r="E80" s="537">
        <f>SUM(E64:E79)</f>
        <v>4</v>
      </c>
      <c r="F80" s="538">
        <f>SUM(F64:F79)</f>
        <v>1</v>
      </c>
      <c r="H80" s="517"/>
    </row>
    <row r="81" spans="8:8">
      <c r="H81" s="517"/>
    </row>
    <row r="82" spans="8:8">
      <c r="H82" s="517"/>
    </row>
    <row r="84" spans="8:8" ht="15" customHeight="1"/>
  </sheetData>
  <mergeCells count="13">
    <mergeCell ref="D34:E34"/>
    <mergeCell ref="B35:B37"/>
    <mergeCell ref="C35:G35"/>
    <mergeCell ref="E36:F36"/>
    <mergeCell ref="B62:B63"/>
    <mergeCell ref="C62:C63"/>
    <mergeCell ref="D62:F62"/>
    <mergeCell ref="B2:B3"/>
    <mergeCell ref="C2:G2"/>
    <mergeCell ref="C3:G3"/>
    <mergeCell ref="B4:F4"/>
    <mergeCell ref="B7:B8"/>
    <mergeCell ref="C7:G7"/>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57C1C-1BB9-4499-857C-6417B4A8B590}">
  <dimension ref="B1:R84"/>
  <sheetViews>
    <sheetView showGridLines="0" topLeftCell="A2" workbookViewId="0">
      <selection activeCell="A2" sqref="A1:XFD1048576"/>
    </sheetView>
  </sheetViews>
  <sheetFormatPr baseColWidth="10" defaultColWidth="11.44140625" defaultRowHeight="15"/>
  <cols>
    <col min="1" max="1" width="3.6640625" style="517" customWidth="1"/>
    <col min="2" max="2" width="52.44140625" style="517" customWidth="1"/>
    <col min="3" max="5" width="18.44140625" style="519" customWidth="1"/>
    <col min="6" max="6" width="18.44140625" style="517" customWidth="1"/>
    <col min="7" max="7" width="18.21875" style="517" customWidth="1"/>
    <col min="8" max="8" width="6.109375" style="519" customWidth="1"/>
    <col min="9" max="9" width="11.44140625" style="517" customWidth="1"/>
    <col min="10" max="16" width="11.44140625" style="517"/>
    <col min="17" max="17" width="62.44140625" style="517" bestFit="1" customWidth="1"/>
    <col min="18" max="18" width="40" style="517" customWidth="1"/>
    <col min="19" max="16356" width="11.44140625" style="517"/>
    <col min="16357" max="16357" width="1.44140625" style="517" customWidth="1"/>
    <col min="16358" max="16384" width="2.88671875" style="517" customWidth="1"/>
  </cols>
  <sheetData>
    <row r="1" spans="2:18">
      <c r="C1" s="518"/>
      <c r="D1" s="518"/>
      <c r="E1" s="518"/>
    </row>
    <row r="2" spans="2:18" ht="15.6">
      <c r="B2" s="1395" t="s">
        <v>891</v>
      </c>
      <c r="C2" s="1396" t="s">
        <v>896</v>
      </c>
      <c r="D2" s="1397"/>
      <c r="E2" s="1397"/>
      <c r="F2" s="1397"/>
      <c r="G2" s="1398"/>
      <c r="H2" s="566"/>
    </row>
    <row r="3" spans="2:18" ht="17.399999999999999">
      <c r="B3" s="1395"/>
      <c r="C3" s="1399" t="str">
        <f>+'3.Resum Desemp Procesos POA T1'!C3</f>
        <v>PLAN OPERATIVO ANUAL 2022</v>
      </c>
      <c r="D3" s="1400"/>
      <c r="E3" s="1400"/>
      <c r="F3" s="1400"/>
      <c r="G3" s="1401"/>
      <c r="H3" s="566"/>
    </row>
    <row r="4" spans="2:18" ht="9.75" customHeight="1">
      <c r="B4" s="1410"/>
      <c r="C4" s="1410"/>
      <c r="D4" s="1410"/>
      <c r="E4" s="1410"/>
      <c r="F4" s="1410"/>
      <c r="G4" s="1078"/>
      <c r="H4" s="539"/>
    </row>
    <row r="5" spans="2:18" ht="19.5" customHeight="1">
      <c r="B5" s="517" t="str">
        <f>+'3.Resum Desemp Procesos POA T1'!B5</f>
        <v xml:space="preserve">Fecha de corte: </v>
      </c>
      <c r="C5" s="1089">
        <f>+'3.Resum Desemp Procesos POA T2'!C5</f>
        <v>44742</v>
      </c>
    </row>
    <row r="6" spans="2:18" ht="19.5" customHeight="1">
      <c r="B6" s="520"/>
    </row>
    <row r="7" spans="2:18" s="529" customFormat="1" ht="31.5" customHeight="1">
      <c r="B7" s="1359" t="s">
        <v>718</v>
      </c>
      <c r="C7" s="1411" t="s">
        <v>1169</v>
      </c>
      <c r="D7" s="1412"/>
      <c r="E7" s="1412"/>
      <c r="F7" s="1412"/>
      <c r="G7" s="1413"/>
      <c r="H7" s="530"/>
      <c r="Q7" s="517"/>
      <c r="R7" s="517"/>
    </row>
    <row r="8" spans="2:18" s="529" customFormat="1" ht="74.400000000000006" customHeight="1">
      <c r="B8" s="1359"/>
      <c r="C8" s="613" t="s">
        <v>897</v>
      </c>
      <c r="D8" s="613" t="s">
        <v>898</v>
      </c>
      <c r="E8" s="613" t="s">
        <v>899</v>
      </c>
      <c r="F8" s="613" t="s">
        <v>906</v>
      </c>
      <c r="G8" s="571" t="s">
        <v>925</v>
      </c>
      <c r="H8" s="530"/>
      <c r="Q8" s="517"/>
      <c r="R8" s="517"/>
    </row>
    <row r="9" spans="2:18">
      <c r="B9" s="522" t="s">
        <v>725</v>
      </c>
      <c r="C9" s="618">
        <f>+'4.Segto Medición POA 2022 T4'!C64</f>
        <v>4</v>
      </c>
      <c r="D9" s="542">
        <f>COUNTIF('2.Infor Detallado Desempeño POA'!T12:T15,"=100%")</f>
        <v>0</v>
      </c>
      <c r="E9" s="543">
        <f>COUNTIF('2.Infor Detallado Desempeño POA'!T12:T15,"&gt;100%")</f>
        <v>0</v>
      </c>
      <c r="F9" s="616">
        <f>COUNTIF('2.Infor Detallado Desempeño POA'!T12:T15,"&lt;100%")</f>
        <v>4</v>
      </c>
      <c r="G9" s="614">
        <f>COUNTIF('2.Infor Detallado Desempeño POA'!T12:T15,"=No programado")</f>
        <v>0</v>
      </c>
      <c r="H9" s="540">
        <f>SUM(D9:G9)</f>
        <v>4</v>
      </c>
      <c r="I9" s="541">
        <f t="shared" ref="I9:I25" si="0">C9-H9</f>
        <v>0</v>
      </c>
    </row>
    <row r="10" spans="2:18">
      <c r="B10" s="522" t="s">
        <v>727</v>
      </c>
      <c r="C10" s="618">
        <f>+'4.Segto Medición POA 2022 T4'!C65</f>
        <v>4</v>
      </c>
      <c r="D10" s="542">
        <f>COUNTIF('2.Infor Detallado Desempeño POA'!T21:T24,"=100%")</f>
        <v>0</v>
      </c>
      <c r="E10" s="543">
        <f>COUNTIF('2.Infor Detallado Desempeño POA'!T21:T24,"&gt;100%")</f>
        <v>0</v>
      </c>
      <c r="F10" s="616">
        <f>COUNTIF('2.Infor Detallado Desempeño POA'!T21:T24,"&lt;100%")</f>
        <v>2</v>
      </c>
      <c r="G10" s="614">
        <f>COUNTIF('2.Infor Detallado Desempeño POA'!T21:T24,"=No programado")</f>
        <v>2</v>
      </c>
      <c r="H10" s="540">
        <f t="shared" ref="H10:H24" si="1">SUM(D10:G10)</f>
        <v>4</v>
      </c>
      <c r="I10" s="541">
        <f t="shared" si="0"/>
        <v>0</v>
      </c>
    </row>
    <row r="11" spans="2:18">
      <c r="B11" s="522" t="s">
        <v>728</v>
      </c>
      <c r="C11" s="618">
        <f>+'4.Segto Medición POA 2022 T4'!C66</f>
        <v>7</v>
      </c>
      <c r="D11" s="542">
        <f>COUNTIF('2.Infor Detallado Desempeño POA'!T30:T36,"=100%")</f>
        <v>0</v>
      </c>
      <c r="E11" s="543">
        <f>COUNTIF('2.Infor Detallado Desempeño POA'!T30:T36,"&gt;100%")</f>
        <v>0</v>
      </c>
      <c r="F11" s="616">
        <f>COUNTIF('2.Infor Detallado Desempeño POA'!T30:T36,"&lt;100%")</f>
        <v>7</v>
      </c>
      <c r="G11" s="614">
        <f>COUNTIF('2.Infor Detallado Desempeño POA'!T30:T36,"=No programado")</f>
        <v>0</v>
      </c>
      <c r="H11" s="540">
        <f t="shared" si="1"/>
        <v>7</v>
      </c>
      <c r="I11" s="541">
        <f t="shared" si="0"/>
        <v>0</v>
      </c>
    </row>
    <row r="12" spans="2:18">
      <c r="B12" s="522" t="s">
        <v>729</v>
      </c>
      <c r="C12" s="618">
        <f>+'4.Segto Medición POA 2022 T4'!C67</f>
        <v>2</v>
      </c>
      <c r="D12" s="542">
        <f>COUNTIF('2.Infor Detallado Desempeño POA'!T42:T43,"=100%")</f>
        <v>0</v>
      </c>
      <c r="E12" s="543">
        <f>COUNTIF('2.Infor Detallado Desempeño POA'!T42:T43,"&gt;100%")</f>
        <v>0</v>
      </c>
      <c r="F12" s="616">
        <f>COUNTIF('2.Infor Detallado Desempeño POA'!T42:T43,"&lt;100%")</f>
        <v>2</v>
      </c>
      <c r="G12" s="614">
        <f>COUNTIF('2.Infor Detallado Desempeño POA'!T42:T43,"=No programado")</f>
        <v>0</v>
      </c>
      <c r="H12" s="540">
        <f>SUM(D12:G12)</f>
        <v>2</v>
      </c>
      <c r="I12" s="541">
        <f t="shared" si="0"/>
        <v>0</v>
      </c>
    </row>
    <row r="13" spans="2:18">
      <c r="B13" s="522" t="s">
        <v>740</v>
      </c>
      <c r="C13" s="618">
        <f>+'4.Segto Medición POA 2022 T4'!C68</f>
        <v>3</v>
      </c>
      <c r="D13" s="542">
        <f>COUNTIF('2.Infor Detallado Desempeño POA'!T49:T51,"=100%")</f>
        <v>0</v>
      </c>
      <c r="E13" s="543">
        <f>COUNTIF('2.Infor Detallado Desempeño POA'!T49:T51,"&gt;100%")</f>
        <v>0</v>
      </c>
      <c r="F13" s="616">
        <f>COUNTIF('2.Infor Detallado Desempeño POA'!T49:T51,"&lt;100%")</f>
        <v>1</v>
      </c>
      <c r="G13" s="614">
        <f>COUNTIF('2.Infor Detallado Desempeño POA'!T49:T51,"=No programado")</f>
        <v>2</v>
      </c>
      <c r="H13" s="540">
        <f t="shared" si="1"/>
        <v>3</v>
      </c>
      <c r="I13" s="541">
        <f t="shared" si="0"/>
        <v>0</v>
      </c>
    </row>
    <row r="14" spans="2:18">
      <c r="B14" s="522" t="s">
        <v>730</v>
      </c>
      <c r="C14" s="618">
        <f>+'4.Segto Medición POA 2022 T4'!C69</f>
        <v>20</v>
      </c>
      <c r="D14" s="542">
        <f>COUNTIF('2.Infor Detallado Desempeño POA'!T57:T76,"=100%")</f>
        <v>0</v>
      </c>
      <c r="E14" s="543">
        <f>COUNTIF('2.Infor Detallado Desempeño POA'!T57:T76,"&gt;100%")</f>
        <v>0</v>
      </c>
      <c r="F14" s="616">
        <f>COUNTIF('2.Infor Detallado Desempeño POA'!T57:T76,"&lt;100%")</f>
        <v>17</v>
      </c>
      <c r="G14" s="614">
        <f>COUNTIF('2.Infor Detallado Desempeño POA'!T57:T76,"=No programado")</f>
        <v>3</v>
      </c>
      <c r="H14" s="540">
        <f t="shared" si="1"/>
        <v>20</v>
      </c>
      <c r="I14" s="541">
        <f t="shared" si="0"/>
        <v>0</v>
      </c>
    </row>
    <row r="15" spans="2:18">
      <c r="B15" s="522" t="s">
        <v>865</v>
      </c>
      <c r="C15" s="618">
        <f>+'4.Segto Medición POA 2022 T4'!C70</f>
        <v>7</v>
      </c>
      <c r="D15" s="542">
        <f>COUNTIF('2.Infor Detallado Desempeño POA'!T82:T88,"=100%")</f>
        <v>0</v>
      </c>
      <c r="E15" s="543">
        <f>COUNTIF('2.Infor Detallado Desempeño POA'!T82:T88,"&gt;100%")</f>
        <v>0</v>
      </c>
      <c r="F15" s="616">
        <f>COUNTIF('2.Infor Detallado Desempeño POA'!T82:T88,"&lt;100%")</f>
        <v>6</v>
      </c>
      <c r="G15" s="614">
        <f>COUNTIF('2.Infor Detallado Desempeño POA'!T82:T88,"=No programado")</f>
        <v>1</v>
      </c>
      <c r="H15" s="540">
        <f t="shared" si="1"/>
        <v>7</v>
      </c>
      <c r="I15" s="541">
        <f t="shared" si="0"/>
        <v>0</v>
      </c>
    </row>
    <row r="16" spans="2:18">
      <c r="B16" s="522" t="s">
        <v>733</v>
      </c>
      <c r="C16" s="618">
        <f>+'4.Segto Medición POA 2022 T4'!C71</f>
        <v>8</v>
      </c>
      <c r="D16" s="542">
        <f>COUNTIF('2.Infor Detallado Desempeño POA'!T94:T101,"=100%")</f>
        <v>0</v>
      </c>
      <c r="E16" s="543">
        <f>COUNTIF('2.Infor Detallado Desempeño POA'!T94:T101,"&gt;100%")</f>
        <v>0</v>
      </c>
      <c r="F16" s="616">
        <f>COUNTIF('2.Infor Detallado Desempeño POA'!T94:T101,"&lt;100%")</f>
        <v>7</v>
      </c>
      <c r="G16" s="614">
        <f>COUNTIF('2.Infor Detallado Desempeño POA'!T94:T101,"=No programado")</f>
        <v>1</v>
      </c>
      <c r="H16" s="540">
        <f t="shared" si="1"/>
        <v>8</v>
      </c>
      <c r="I16" s="541">
        <f t="shared" si="0"/>
        <v>0</v>
      </c>
    </row>
    <row r="17" spans="2:9">
      <c r="B17" s="522" t="s">
        <v>734</v>
      </c>
      <c r="C17" s="618">
        <f>+'4.Segto Medición POA 2022 T4'!C72</f>
        <v>8</v>
      </c>
      <c r="D17" s="542">
        <f>COUNTIF('2.Infor Detallado Desempeño POA'!T107:T114,"=100%")</f>
        <v>0</v>
      </c>
      <c r="E17" s="543">
        <f>COUNTIF('2.Infor Detallado Desempeño POA'!T107:T114,"&gt;100%")</f>
        <v>0</v>
      </c>
      <c r="F17" s="616">
        <f>COUNTIF('2.Infor Detallado Desempeño POA'!T107:T114,"&lt;100%")</f>
        <v>8</v>
      </c>
      <c r="G17" s="614">
        <f>COUNTIF('2.Infor Detallado Desempeño POA'!T107:T114,"=No programado")</f>
        <v>0</v>
      </c>
      <c r="H17" s="540">
        <f t="shared" si="1"/>
        <v>8</v>
      </c>
      <c r="I17" s="541">
        <f t="shared" si="0"/>
        <v>0</v>
      </c>
    </row>
    <row r="18" spans="2:9" ht="16.5" customHeight="1">
      <c r="B18" s="522" t="s">
        <v>735</v>
      </c>
      <c r="C18" s="618">
        <f>+'4.Segto Medición POA 2022 T4'!C73</f>
        <v>2</v>
      </c>
      <c r="D18" s="542">
        <f>COUNTIF('2.Infor Detallado Desempeño POA'!T120:T121,"=100%")</f>
        <v>0</v>
      </c>
      <c r="E18" s="543">
        <f>COUNTIF('2.Infor Detallado Desempeño POA'!T120:T121,"&gt;100%")</f>
        <v>0</v>
      </c>
      <c r="F18" s="616">
        <f>COUNTIF('2.Infor Detallado Desempeño POA'!T120:T121,"&lt;100%")</f>
        <v>2</v>
      </c>
      <c r="G18" s="614">
        <f>COUNTIF('2.Infor Detallado Desempeño POA'!T120:T121,"=No programado")</f>
        <v>0</v>
      </c>
      <c r="H18" s="540">
        <f t="shared" si="1"/>
        <v>2</v>
      </c>
      <c r="I18" s="541">
        <f t="shared" si="0"/>
        <v>0</v>
      </c>
    </row>
    <row r="19" spans="2:9">
      <c r="B19" s="522" t="s">
        <v>736</v>
      </c>
      <c r="C19" s="618">
        <f>+'4.Segto Medición POA 2022 T4'!C74</f>
        <v>3</v>
      </c>
      <c r="D19" s="542">
        <f>COUNTIF('2.Infor Detallado Desempeño POA'!T127:T129,"=100%")</f>
        <v>0</v>
      </c>
      <c r="E19" s="543">
        <f>COUNTIF('2.Infor Detallado Desempeño POA'!T127:T129,"&gt;100%")</f>
        <v>0</v>
      </c>
      <c r="F19" s="616">
        <f>COUNTIF('2.Infor Detallado Desempeño POA'!T127:T129,"&lt;100%")</f>
        <v>3</v>
      </c>
      <c r="G19" s="614">
        <f>COUNTIF('2.Infor Detallado Desempeño POA'!T127:T129,"=No programado")</f>
        <v>0</v>
      </c>
      <c r="H19" s="540">
        <f t="shared" si="1"/>
        <v>3</v>
      </c>
      <c r="I19" s="541">
        <f t="shared" si="0"/>
        <v>0</v>
      </c>
    </row>
    <row r="20" spans="2:9">
      <c r="B20" s="522" t="s">
        <v>737</v>
      </c>
      <c r="C20" s="618">
        <f>+'4.Segto Medición POA 2022 T4'!C75</f>
        <v>4</v>
      </c>
      <c r="D20" s="542">
        <f>COUNTIF('2.Infor Detallado Desempeño POA'!T135:T138,"=100%")</f>
        <v>0</v>
      </c>
      <c r="E20" s="543">
        <f>COUNTIF('2.Infor Detallado Desempeño POA'!T135:T138,"&gt;100%")</f>
        <v>0</v>
      </c>
      <c r="F20" s="616">
        <f>COUNTIF('2.Infor Detallado Desempeño POA'!T135:T138,"&lt;100%")</f>
        <v>1</v>
      </c>
      <c r="G20" s="614">
        <f>COUNTIF('2.Infor Detallado Desempeño POA'!T135:T138,"=No programado")</f>
        <v>3</v>
      </c>
      <c r="H20" s="540">
        <f t="shared" si="1"/>
        <v>4</v>
      </c>
      <c r="I20" s="541">
        <f t="shared" si="0"/>
        <v>0</v>
      </c>
    </row>
    <row r="21" spans="2:9">
      <c r="B21" s="522" t="s">
        <v>738</v>
      </c>
      <c r="C21" s="618">
        <f>+'4.Segto Medición POA 2022 T4'!C76</f>
        <v>4</v>
      </c>
      <c r="D21" s="542">
        <f>COUNTIF('2.Infor Detallado Desempeño POA'!T144:T147,"=100%")</f>
        <v>0</v>
      </c>
      <c r="E21" s="543">
        <f>COUNTIF('2.Infor Detallado Desempeño POA'!T144:T147,"&gt;100%")</f>
        <v>0</v>
      </c>
      <c r="F21" s="616">
        <f>COUNTIF('2.Infor Detallado Desempeño POA'!T144:T147,"&lt;100%")</f>
        <v>4</v>
      </c>
      <c r="G21" s="614">
        <f>COUNTIF('2.Infor Detallado Desempeño POA'!T144:T147,"=No programado")</f>
        <v>0</v>
      </c>
      <c r="H21" s="540">
        <f t="shared" si="1"/>
        <v>4</v>
      </c>
      <c r="I21" s="541">
        <f t="shared" si="0"/>
        <v>0</v>
      </c>
    </row>
    <row r="22" spans="2:9">
      <c r="B22" s="522" t="s">
        <v>739</v>
      </c>
      <c r="C22" s="618">
        <f>+'4.Segto Medición POA 2022 T4'!C77</f>
        <v>5</v>
      </c>
      <c r="D22" s="542">
        <f>COUNTIF('2.Infor Detallado Desempeño POA'!T153:T157,"=100%")</f>
        <v>0</v>
      </c>
      <c r="E22" s="543">
        <f>COUNTIF('2.Infor Detallado Desempeño POA'!T153:T157,"&gt;100%")</f>
        <v>0</v>
      </c>
      <c r="F22" s="616">
        <f>COUNTIF('2.Infor Detallado Desempeño POA'!T153:T157,"&lt;100%")</f>
        <v>5</v>
      </c>
      <c r="G22" s="614">
        <f>COUNTIF('2.Infor Detallado Desempeño POA'!T153:T157,"=No programado")</f>
        <v>0</v>
      </c>
      <c r="H22" s="540">
        <f t="shared" si="1"/>
        <v>5</v>
      </c>
      <c r="I22" s="541">
        <f t="shared" si="0"/>
        <v>0</v>
      </c>
    </row>
    <row r="23" spans="2:9">
      <c r="B23" s="522" t="s">
        <v>741</v>
      </c>
      <c r="C23" s="618">
        <f>+'4.Segto Medición POA 2022 T4'!C78</f>
        <v>3</v>
      </c>
      <c r="D23" s="542">
        <f>COUNTIF('2.Infor Detallado Desempeño POA'!T163:T165,"=100%")</f>
        <v>0</v>
      </c>
      <c r="E23" s="543">
        <f>COUNTIF('2.Infor Detallado Desempeño POA'!T163:T165,"&gt;100%")</f>
        <v>0</v>
      </c>
      <c r="F23" s="616">
        <f>COUNTIF('2.Infor Detallado Desempeño POA'!T163:T165,"&lt;100%")</f>
        <v>3</v>
      </c>
      <c r="G23" s="614">
        <f>COUNTIF('2.Infor Detallado Desempeño POA'!T163:T165,"=No programado")</f>
        <v>0</v>
      </c>
      <c r="H23" s="540">
        <f t="shared" si="1"/>
        <v>3</v>
      </c>
      <c r="I23" s="541">
        <f t="shared" si="0"/>
        <v>0</v>
      </c>
    </row>
    <row r="24" spans="2:9">
      <c r="B24" s="522" t="s">
        <v>742</v>
      </c>
      <c r="C24" s="618">
        <f>+'4.Segto Medición POA 2022 T4'!C79</f>
        <v>3</v>
      </c>
      <c r="D24" s="542">
        <f>COUNTIF('2.Infor Detallado Desempeño POA'!T171:T173,"=100%")</f>
        <v>0</v>
      </c>
      <c r="E24" s="543">
        <f>COUNTIF('2.Infor Detallado Desempeño POA'!T171:T173,"&gt;100%")</f>
        <v>0</v>
      </c>
      <c r="F24" s="616">
        <f>COUNTIF('2.Infor Detallado Desempeño POA'!T171:T173,"&lt;100%")</f>
        <v>2</v>
      </c>
      <c r="G24" s="614">
        <f>COUNTIF('2.Infor Detallado Desempeño POA'!T171:T173,"=No programado")</f>
        <v>1</v>
      </c>
      <c r="H24" s="540">
        <f t="shared" si="1"/>
        <v>3</v>
      </c>
      <c r="I24" s="541">
        <f t="shared" si="0"/>
        <v>0</v>
      </c>
    </row>
    <row r="25" spans="2:9" ht="19.5" customHeight="1">
      <c r="B25" s="555" t="s">
        <v>895</v>
      </c>
      <c r="C25" s="556">
        <f>SUM(C9:C24)</f>
        <v>87</v>
      </c>
      <c r="D25" s="557">
        <f t="shared" ref="D25:E25" si="2">SUM(D9:D24)</f>
        <v>0</v>
      </c>
      <c r="E25" s="558">
        <f t="shared" si="2"/>
        <v>0</v>
      </c>
      <c r="F25" s="617">
        <f>SUM(F9:F24)</f>
        <v>74</v>
      </c>
      <c r="G25" s="615">
        <f>SUM(G9:G24)</f>
        <v>13</v>
      </c>
      <c r="H25" s="540">
        <f>SUM(D25:G25)</f>
        <v>87</v>
      </c>
      <c r="I25" s="541">
        <f t="shared" si="0"/>
        <v>0</v>
      </c>
    </row>
    <row r="27" spans="2:9" s="624" customFormat="1" ht="2.4" customHeight="1">
      <c r="C27" s="628"/>
      <c r="D27" s="920" t="str">
        <f>+D8</f>
        <v>No de Indicadores con Meta Cumplida según programación</v>
      </c>
      <c r="E27" s="921">
        <f>+D25</f>
        <v>0</v>
      </c>
      <c r="H27" s="625"/>
    </row>
    <row r="28" spans="2:9" s="624" customFormat="1" ht="2.4" customHeight="1">
      <c r="C28" s="628"/>
      <c r="D28" s="920" t="str">
        <f>+E8</f>
        <v xml:space="preserve">No de Indicadores con ejecución superior a la programada </v>
      </c>
      <c r="E28" s="921">
        <f>+E25</f>
        <v>0</v>
      </c>
      <c r="H28" s="625"/>
    </row>
    <row r="29" spans="2:9" s="624" customFormat="1" ht="2.4" customHeight="1">
      <c r="C29" s="628"/>
      <c r="D29" s="920" t="str">
        <f>+F8</f>
        <v xml:space="preserve">No de Indicadores con ejecución menor a la programada </v>
      </c>
      <c r="E29" s="921">
        <f>+F25</f>
        <v>74</v>
      </c>
      <c r="H29" s="625"/>
    </row>
    <row r="30" spans="2:9" s="624" customFormat="1" ht="2.4" customHeight="1">
      <c r="C30" s="628"/>
      <c r="D30" s="920" t="str">
        <f>+G8</f>
        <v>No de indicadores sin programar en el periodo</v>
      </c>
      <c r="E30" s="921">
        <f>+G25</f>
        <v>13</v>
      </c>
      <c r="H30" s="625"/>
    </row>
    <row r="31" spans="2:9" s="624" customFormat="1">
      <c r="C31" s="625"/>
      <c r="D31" s="625"/>
      <c r="E31" s="625"/>
      <c r="H31" s="625"/>
    </row>
    <row r="32" spans="2:9" s="624" customFormat="1">
      <c r="C32" s="625"/>
      <c r="D32" s="625"/>
      <c r="E32" s="625"/>
      <c r="H32" s="625"/>
    </row>
    <row r="33" spans="2:9" s="624" customFormat="1" hidden="1">
      <c r="C33" s="625"/>
      <c r="D33" s="625"/>
      <c r="E33" s="625"/>
      <c r="H33" s="625"/>
    </row>
    <row r="34" spans="2:9" s="627" customFormat="1" ht="10.199999999999999" hidden="1" customHeight="1">
      <c r="C34" s="628"/>
      <c r="D34" s="1409" t="str">
        <f>+C7</f>
        <v>CUMPLIMIENTO PROGRAMACIÓN EN EL PERIODO 
Segundo Trimestre de 2022</v>
      </c>
      <c r="E34" s="1409"/>
      <c r="H34" s="628"/>
    </row>
    <row r="35" spans="2:9" s="627" customFormat="1" ht="28.2" customHeight="1">
      <c r="B35" s="1359" t="s">
        <v>718</v>
      </c>
      <c r="C35" s="1414" t="s">
        <v>1166</v>
      </c>
      <c r="D35" s="1415"/>
      <c r="E35" s="1415"/>
      <c r="F35" s="1415"/>
      <c r="G35" s="1416"/>
      <c r="H35" s="628"/>
    </row>
    <row r="36" spans="2:9" s="627" customFormat="1" ht="29.4" customHeight="1">
      <c r="B36" s="1359"/>
      <c r="C36" s="1090"/>
      <c r="D36" s="1092" t="s">
        <v>1167</v>
      </c>
      <c r="E36" s="1417">
        <f>C5</f>
        <v>44742</v>
      </c>
      <c r="F36" s="1417"/>
      <c r="G36" s="1091"/>
      <c r="H36" s="628"/>
    </row>
    <row r="37" spans="2:9" s="627" customFormat="1" ht="72.599999999999994" customHeight="1">
      <c r="B37" s="1359"/>
      <c r="C37" s="613" t="s">
        <v>897</v>
      </c>
      <c r="D37" s="613" t="s">
        <v>1168</v>
      </c>
      <c r="E37" s="613" t="s">
        <v>899</v>
      </c>
      <c r="F37" s="613" t="s">
        <v>906</v>
      </c>
      <c r="G37" s="571" t="s">
        <v>925</v>
      </c>
      <c r="H37" s="628"/>
    </row>
    <row r="38" spans="2:9" s="627" customFormat="1" ht="19.95" customHeight="1">
      <c r="B38" s="522" t="s">
        <v>725</v>
      </c>
      <c r="C38" s="618">
        <f>+C64</f>
        <v>4</v>
      </c>
      <c r="D38" s="542">
        <f>COUNTIF('2.Infor Detallado Desempeño POA'!U12:U15,"&gt;=99%")-COUNTIF('2.Infor Detallado Desempeño POA'!U12:U15,"&gt;100%")</f>
        <v>0</v>
      </c>
      <c r="E38" s="543">
        <f>COUNTIF('2.Infor Detallado Desempeño POA'!U12:U15,"&gt;100%")</f>
        <v>0</v>
      </c>
      <c r="F38" s="616">
        <f>COUNTIF('2.Infor Detallado Desempeño POA'!U12:U15,"&lt;99%")</f>
        <v>4</v>
      </c>
      <c r="G38" s="614">
        <f>COUNTIF('2.Infor Detallado Desempeño POA'!U12:U15,"=No programado")</f>
        <v>0</v>
      </c>
      <c r="H38" s="540">
        <f>SUM(D38:G38)</f>
        <v>4</v>
      </c>
      <c r="I38" s="541">
        <f t="shared" ref="I38:I54" si="3">C38-H38</f>
        <v>0</v>
      </c>
    </row>
    <row r="39" spans="2:9" s="627" customFormat="1" ht="19.95" customHeight="1">
      <c r="B39" s="522" t="s">
        <v>727</v>
      </c>
      <c r="C39" s="618">
        <f t="shared" ref="C39:C53" si="4">+C65</f>
        <v>4</v>
      </c>
      <c r="D39" s="542">
        <f>COUNTIF('2.Infor Detallado Desempeño POA'!U21:U24,"&gt;=99%")-COUNTIF('2.Infor Detallado Desempeño POA'!U21:U24,"&gt;100%")</f>
        <v>0</v>
      </c>
      <c r="E39" s="543">
        <f>COUNTIF('2.Infor Detallado Desempeño POA'!U21:U24,"&gt;100%")</f>
        <v>0</v>
      </c>
      <c r="F39" s="616">
        <f>COUNTIF('2.Infor Detallado Desempeño POA'!U21:U24,"&lt;99%")</f>
        <v>2</v>
      </c>
      <c r="G39" s="614">
        <f>COUNTIF('2.Infor Detallado Desempeño POA'!U21:U24,"=No programado")</f>
        <v>2</v>
      </c>
      <c r="H39" s="540">
        <f t="shared" ref="H39:H40" si="5">SUM(D39:G39)</f>
        <v>4</v>
      </c>
      <c r="I39" s="541">
        <f t="shared" si="3"/>
        <v>0</v>
      </c>
    </row>
    <row r="40" spans="2:9" s="627" customFormat="1" ht="19.95" customHeight="1">
      <c r="B40" s="522" t="s">
        <v>728</v>
      </c>
      <c r="C40" s="618">
        <f t="shared" si="4"/>
        <v>7</v>
      </c>
      <c r="D40" s="542">
        <f>COUNTIF('2.Infor Detallado Desempeño POA'!U30:U36,"&gt;=99%")-COUNTIF('2.Infor Detallado Desempeño POA'!U30:U36,"&gt;100%")</f>
        <v>0</v>
      </c>
      <c r="E40" s="543">
        <f>COUNTIF('2.Infor Detallado Desempeño POA'!U30:U36,"&gt;100%")</f>
        <v>0</v>
      </c>
      <c r="F40" s="616">
        <f>COUNTIF('2.Infor Detallado Desempeño POA'!U30:U36,"&lt;99%")</f>
        <v>7</v>
      </c>
      <c r="G40" s="614">
        <f>COUNTIF('2.Infor Detallado Desempeño POA'!U30:U36,"=No programado")</f>
        <v>0</v>
      </c>
      <c r="H40" s="540">
        <f t="shared" si="5"/>
        <v>7</v>
      </c>
      <c r="I40" s="541">
        <f t="shared" si="3"/>
        <v>0</v>
      </c>
    </row>
    <row r="41" spans="2:9" s="627" customFormat="1" ht="19.95" customHeight="1">
      <c r="B41" s="522" t="s">
        <v>729</v>
      </c>
      <c r="C41" s="618">
        <f t="shared" si="4"/>
        <v>2</v>
      </c>
      <c r="D41" s="542">
        <f>COUNTIF('2.Infor Detallado Desempeño POA'!U42:U43,"&gt;=99%")-COUNTIF('2.Infor Detallado Desempeño POA'!U42:U43,"&gt;100%")</f>
        <v>0</v>
      </c>
      <c r="E41" s="543">
        <f>COUNTIF('2.Infor Detallado Desempeño POA'!U42:U43,"&gt;100%")</f>
        <v>0</v>
      </c>
      <c r="F41" s="616">
        <f>COUNTIF('2.Infor Detallado Desempeño POA'!U42:U43,"&lt;99%")</f>
        <v>2</v>
      </c>
      <c r="G41" s="614">
        <f>COUNTIF('2.Infor Detallado Desempeño POA'!U42:U43,"=No programado")</f>
        <v>0</v>
      </c>
      <c r="H41" s="540">
        <f>SUM(D41:G41)</f>
        <v>2</v>
      </c>
      <c r="I41" s="541">
        <f t="shared" si="3"/>
        <v>0</v>
      </c>
    </row>
    <row r="42" spans="2:9" s="627" customFormat="1" ht="19.95" customHeight="1">
      <c r="B42" s="522" t="s">
        <v>740</v>
      </c>
      <c r="C42" s="618">
        <f t="shared" si="4"/>
        <v>3</v>
      </c>
      <c r="D42" s="542">
        <f>COUNTIF('2.Infor Detallado Desempeño POA'!U49:U51,"&gt;=99%")-COUNTIF('2.Infor Detallado Desempeño POA'!U49:U51,"&gt;100%")</f>
        <v>0</v>
      </c>
      <c r="E42" s="543">
        <f>COUNTIF('2.Infor Detallado Desempeño POA'!U49:U51,"&gt;100%")</f>
        <v>1</v>
      </c>
      <c r="F42" s="616">
        <f>COUNTIF('2.Infor Detallado Desempeño POA'!U49:U51,"&lt;99%")</f>
        <v>1</v>
      </c>
      <c r="G42" s="614">
        <f>COUNTIF('2.Infor Detallado Desempeño POA'!U49:U51,"=No programado")</f>
        <v>1</v>
      </c>
      <c r="H42" s="540">
        <f t="shared" ref="H42:H53" si="6">SUM(D42:G42)</f>
        <v>3</v>
      </c>
      <c r="I42" s="541">
        <f t="shared" si="3"/>
        <v>0</v>
      </c>
    </row>
    <row r="43" spans="2:9" s="627" customFormat="1" ht="19.95" customHeight="1">
      <c r="B43" s="522" t="s">
        <v>730</v>
      </c>
      <c r="C43" s="618">
        <f t="shared" si="4"/>
        <v>20</v>
      </c>
      <c r="D43" s="542">
        <f>COUNTIF('2.Infor Detallado Desempeño POA'!U57:U76,"&gt;=99%")-COUNTIF('2.Infor Detallado Desempeño POA'!U57:U76,"&gt;100%")</f>
        <v>0</v>
      </c>
      <c r="E43" s="543">
        <f>COUNTIF('2.Infor Detallado Desempeño POA'!U57:U76,"&gt;100%")</f>
        <v>2</v>
      </c>
      <c r="F43" s="616">
        <f>COUNTIF('2.Infor Detallado Desempeño POA'!U57:U76,"&lt;99%")</f>
        <v>15</v>
      </c>
      <c r="G43" s="614">
        <f>COUNTIF('2.Infor Detallado Desempeño POA'!U57:U76,"=No programado")</f>
        <v>3</v>
      </c>
      <c r="H43" s="540">
        <f t="shared" si="6"/>
        <v>20</v>
      </c>
      <c r="I43" s="541">
        <f t="shared" si="3"/>
        <v>0</v>
      </c>
    </row>
    <row r="44" spans="2:9" s="627" customFormat="1" ht="19.95" customHeight="1">
      <c r="B44" s="522" t="s">
        <v>865</v>
      </c>
      <c r="C44" s="618">
        <f t="shared" si="4"/>
        <v>7</v>
      </c>
      <c r="D44" s="542">
        <f>COUNTIF('2.Infor Detallado Desempeño POA'!U82:U88,"&gt;=99%")-COUNTIF('2.Infor Detallado Desempeño POA'!U82:U88,"&gt;100%")</f>
        <v>0</v>
      </c>
      <c r="E44" s="543">
        <f>COUNTIF('2.Infor Detallado Desempeño POA'!U82:U88,"&gt;100%")</f>
        <v>0</v>
      </c>
      <c r="F44" s="616">
        <f>COUNTIF('2.Infor Detallado Desempeño POA'!U82:U88,"&lt;99%")</f>
        <v>6</v>
      </c>
      <c r="G44" s="614">
        <f>COUNTIF('2.Infor Detallado Desempeño POA'!U82:U88,"=No programado")</f>
        <v>1</v>
      </c>
      <c r="H44" s="540">
        <f t="shared" si="6"/>
        <v>7</v>
      </c>
      <c r="I44" s="541">
        <f t="shared" si="3"/>
        <v>0</v>
      </c>
    </row>
    <row r="45" spans="2:9" s="627" customFormat="1" ht="19.95" customHeight="1">
      <c r="B45" s="522" t="s">
        <v>733</v>
      </c>
      <c r="C45" s="618">
        <f t="shared" si="4"/>
        <v>8</v>
      </c>
      <c r="D45" s="542">
        <f>COUNTIF('2.Infor Detallado Desempeño POA'!U94:U101,"&gt;=99%")-COUNTIF('2.Infor Detallado Desempeño POA'!U94:U101,"&gt;100%")</f>
        <v>0</v>
      </c>
      <c r="E45" s="543">
        <f>COUNTIF('2.Infor Detallado Desempeño POA'!U94:U101,"&gt;100%")</f>
        <v>0</v>
      </c>
      <c r="F45" s="616">
        <f>COUNTIF('2.Infor Detallado Desempeño POA'!U94:U101,"&lt;99%")</f>
        <v>7</v>
      </c>
      <c r="G45" s="614">
        <f>COUNTIF('2.Infor Detallado Desempeño POA'!U94:U101,"=No programado")</f>
        <v>1</v>
      </c>
      <c r="H45" s="540">
        <f t="shared" si="6"/>
        <v>8</v>
      </c>
      <c r="I45" s="541">
        <f t="shared" si="3"/>
        <v>0</v>
      </c>
    </row>
    <row r="46" spans="2:9" s="627" customFormat="1" ht="19.95" customHeight="1">
      <c r="B46" s="522" t="s">
        <v>734</v>
      </c>
      <c r="C46" s="618">
        <f t="shared" si="4"/>
        <v>8</v>
      </c>
      <c r="D46" s="542">
        <f>COUNTIF('2.Infor Detallado Desempeño POA'!U107:U114,"&gt;=99%")-COUNTIF('2.Infor Detallado Desempeño POA'!U107:U114,"&gt;100%")</f>
        <v>0</v>
      </c>
      <c r="E46" s="543">
        <f>COUNTIF('2.Infor Detallado Desempeño POA'!U107:U114,"&gt;100%")</f>
        <v>0</v>
      </c>
      <c r="F46" s="616">
        <f>COUNTIF('2.Infor Detallado Desempeño POA'!U107:U114,"&lt;99%")</f>
        <v>8</v>
      </c>
      <c r="G46" s="614">
        <f>COUNTIF('2.Infor Detallado Desempeño POA'!U107:U114,"=No programado")</f>
        <v>0</v>
      </c>
      <c r="H46" s="540">
        <f t="shared" si="6"/>
        <v>8</v>
      </c>
      <c r="I46" s="541">
        <f t="shared" si="3"/>
        <v>0</v>
      </c>
    </row>
    <row r="47" spans="2:9" s="627" customFormat="1" ht="19.95" customHeight="1">
      <c r="B47" s="522" t="s">
        <v>735</v>
      </c>
      <c r="C47" s="618">
        <f t="shared" si="4"/>
        <v>2</v>
      </c>
      <c r="D47" s="542">
        <f>COUNTIF('2.Infor Detallado Desempeño POA'!U120:U121,"&gt;=99%")-COUNTIF('2.Infor Detallado Desempeño POA'!U120:U121,"&gt;100%")</f>
        <v>0</v>
      </c>
      <c r="E47" s="543">
        <f>COUNTIF('2.Infor Detallado Desempeño POA'!U120:U121,"&gt;100%")</f>
        <v>0</v>
      </c>
      <c r="F47" s="616">
        <f>COUNTIF('2.Infor Detallado Desempeño POA'!U120:U121,"&lt;99%")</f>
        <v>2</v>
      </c>
      <c r="G47" s="614">
        <f>COUNTIF('2.Infor Detallado Desempeño POA'!U120:U121,"=No programado")</f>
        <v>0</v>
      </c>
      <c r="H47" s="540">
        <f t="shared" si="6"/>
        <v>2</v>
      </c>
      <c r="I47" s="541">
        <f t="shared" si="3"/>
        <v>0</v>
      </c>
    </row>
    <row r="48" spans="2:9" s="627" customFormat="1" ht="19.95" customHeight="1">
      <c r="B48" s="522" t="s">
        <v>736</v>
      </c>
      <c r="C48" s="618">
        <f t="shared" si="4"/>
        <v>3</v>
      </c>
      <c r="D48" s="542">
        <f>COUNTIF('2.Infor Detallado Desempeño POA'!U127:U129,"&gt;=99%")-COUNTIF('2.Infor Detallado Desempeño POA'!U127:U129,"&gt;100%")</f>
        <v>0</v>
      </c>
      <c r="E48" s="543">
        <f>COUNTIF('2.Infor Detallado Desempeño POA'!U127:U129,"&gt;100%")</f>
        <v>0</v>
      </c>
      <c r="F48" s="616">
        <f>COUNTIF('2.Infor Detallado Desempeño POA'!U127:U129,"&lt;99%")</f>
        <v>3</v>
      </c>
      <c r="G48" s="614">
        <f>COUNTIF('2.Infor Detallado Desempeño POA'!U127:U129,"=No programado")</f>
        <v>0</v>
      </c>
      <c r="H48" s="540">
        <f t="shared" si="6"/>
        <v>3</v>
      </c>
      <c r="I48" s="541">
        <f t="shared" si="3"/>
        <v>0</v>
      </c>
    </row>
    <row r="49" spans="2:17" s="627" customFormat="1" ht="19.95" customHeight="1">
      <c r="B49" s="522" t="s">
        <v>737</v>
      </c>
      <c r="C49" s="618">
        <f t="shared" si="4"/>
        <v>4</v>
      </c>
      <c r="D49" s="542">
        <f>COUNTIF('2.Infor Detallado Desempeño POA'!U135:U138,"&gt;=99%")-COUNTIF('2.Infor Detallado Desempeño POA'!U135:U138,"&gt;100%")</f>
        <v>1</v>
      </c>
      <c r="E49" s="543">
        <f>COUNTIF('2.Infor Detallado Desempeño POA'!U135:U138,"&gt;100%")</f>
        <v>1</v>
      </c>
      <c r="F49" s="616">
        <f>COUNTIF('2.Infor Detallado Desempeño POA'!U135:U138,"&lt;99%")</f>
        <v>1</v>
      </c>
      <c r="G49" s="614">
        <f>COUNTIF('2.Infor Detallado Desempeño POA'!U135:U138,"=No programado")</f>
        <v>1</v>
      </c>
      <c r="H49" s="540">
        <f t="shared" si="6"/>
        <v>4</v>
      </c>
      <c r="I49" s="541">
        <f t="shared" si="3"/>
        <v>0</v>
      </c>
    </row>
    <row r="50" spans="2:17" s="627" customFormat="1" ht="19.95" customHeight="1">
      <c r="B50" s="522" t="s">
        <v>738</v>
      </c>
      <c r="C50" s="618">
        <f t="shared" si="4"/>
        <v>4</v>
      </c>
      <c r="D50" s="542">
        <f>COUNTIF('2.Infor Detallado Desempeño POA'!U144:U147,"&gt;=99%")-COUNTIF('2.Infor Detallado Desempeño POA'!U144:U147,"&gt;100%")</f>
        <v>0</v>
      </c>
      <c r="E50" s="543">
        <f>COUNTIF('2.Infor Detallado Desempeño POA'!U144:U147,"&gt;100%")</f>
        <v>0</v>
      </c>
      <c r="F50" s="616">
        <f>COUNTIF('2.Infor Detallado Desempeño POA'!U144:U147,"&lt;99%")</f>
        <v>4</v>
      </c>
      <c r="G50" s="614">
        <f>COUNTIF('2.Infor Detallado Desempeño POA'!U144:U147,"=No programado")</f>
        <v>0</v>
      </c>
      <c r="H50" s="540">
        <f t="shared" si="6"/>
        <v>4</v>
      </c>
      <c r="I50" s="541">
        <f t="shared" si="3"/>
        <v>0</v>
      </c>
    </row>
    <row r="51" spans="2:17" s="627" customFormat="1" ht="19.95" customHeight="1">
      <c r="B51" s="522" t="s">
        <v>739</v>
      </c>
      <c r="C51" s="618">
        <f t="shared" si="4"/>
        <v>5</v>
      </c>
      <c r="D51" s="542">
        <f>COUNTIF('2.Infor Detallado Desempeño POA'!U153:U157,"&gt;=99%")-COUNTIF('2.Infor Detallado Desempeño POA'!U153:U157,"&gt;100%")</f>
        <v>0</v>
      </c>
      <c r="E51" s="543">
        <f>COUNTIF('2.Infor Detallado Desempeño POA'!U153:U157,"&gt;100%")</f>
        <v>0</v>
      </c>
      <c r="F51" s="616">
        <f>COUNTIF('2.Infor Detallado Desempeño POA'!U153:U157,"&lt;99%")</f>
        <v>5</v>
      </c>
      <c r="G51" s="614">
        <f>COUNTIF('2.Infor Detallado Desempeño POA'!U153:U157,"=No programado")</f>
        <v>0</v>
      </c>
      <c r="H51" s="540">
        <f t="shared" si="6"/>
        <v>5</v>
      </c>
      <c r="I51" s="541">
        <f t="shared" si="3"/>
        <v>0</v>
      </c>
    </row>
    <row r="52" spans="2:17" s="627" customFormat="1" ht="19.95" customHeight="1">
      <c r="B52" s="522" t="s">
        <v>741</v>
      </c>
      <c r="C52" s="618">
        <f t="shared" si="4"/>
        <v>3</v>
      </c>
      <c r="D52" s="542">
        <f>COUNTIF('2.Infor Detallado Desempeño POA'!U163:U165,"&gt;=99%")-COUNTIF('2.Infor Detallado Desempeño POA'!U163:U165,"&gt;100%")</f>
        <v>0</v>
      </c>
      <c r="E52" s="543">
        <f>COUNTIF('2.Infor Detallado Desempeño POA'!U163:U165,"&gt;100%")</f>
        <v>1</v>
      </c>
      <c r="F52" s="616">
        <f>COUNTIF('2.Infor Detallado Desempeño POA'!U163:U165,"&lt;99%")</f>
        <v>2</v>
      </c>
      <c r="G52" s="614">
        <f>COUNTIF('2.Infor Detallado Desempeño POA'!U163:U165,"=No programado")</f>
        <v>0</v>
      </c>
      <c r="H52" s="540">
        <f t="shared" si="6"/>
        <v>3</v>
      </c>
      <c r="I52" s="541">
        <f t="shared" si="3"/>
        <v>0</v>
      </c>
    </row>
    <row r="53" spans="2:17" s="627" customFormat="1" ht="19.95" customHeight="1">
      <c r="B53" s="522" t="s">
        <v>742</v>
      </c>
      <c r="C53" s="618">
        <f t="shared" si="4"/>
        <v>3</v>
      </c>
      <c r="D53" s="542">
        <f>COUNTIF('2.Infor Detallado Desempeño POA'!U171:U173,"&gt;=99%")-COUNTIF('2.Infor Detallado Desempeño POA'!U171:U173,"&gt;100%")</f>
        <v>0</v>
      </c>
      <c r="E53" s="543">
        <f>COUNTIF('2.Infor Detallado Desempeño POA'!U171:U173,"&gt;100%")</f>
        <v>0</v>
      </c>
      <c r="F53" s="616">
        <f>COUNTIF('2.Infor Detallado Desempeño POA'!U171:U173,"&lt;99%")</f>
        <v>2</v>
      </c>
      <c r="G53" s="614">
        <f>COUNTIF('2.Infor Detallado Desempeño POA'!U171:U173,"=No programado")</f>
        <v>1</v>
      </c>
      <c r="H53" s="540">
        <f t="shared" si="6"/>
        <v>3</v>
      </c>
      <c r="I53" s="541">
        <f t="shared" si="3"/>
        <v>0</v>
      </c>
    </row>
    <row r="54" spans="2:17" s="627" customFormat="1" ht="19.95" customHeight="1">
      <c r="B54" s="555" t="s">
        <v>895</v>
      </c>
      <c r="C54" s="556">
        <f>SUM(C38:C53)</f>
        <v>87</v>
      </c>
      <c r="D54" s="557">
        <f t="shared" ref="D54:E54" si="7">SUM(D38:D53)</f>
        <v>1</v>
      </c>
      <c r="E54" s="558">
        <f t="shared" si="7"/>
        <v>5</v>
      </c>
      <c r="F54" s="617">
        <f>SUM(F38:F53)</f>
        <v>71</v>
      </c>
      <c r="G54" s="615">
        <f>SUM(G38:G53)</f>
        <v>10</v>
      </c>
      <c r="H54" s="540">
        <f>SUM(D54:G54)</f>
        <v>87</v>
      </c>
      <c r="I54" s="541">
        <f t="shared" si="3"/>
        <v>0</v>
      </c>
    </row>
    <row r="55" spans="2:17" s="627" customFormat="1" ht="19.95" customHeight="1">
      <c r="B55" s="917"/>
      <c r="C55" s="919"/>
      <c r="D55" s="919"/>
      <c r="E55" s="919"/>
      <c r="F55" s="919"/>
      <c r="G55" s="919"/>
      <c r="H55" s="918"/>
      <c r="I55" s="541"/>
    </row>
    <row r="56" spans="2:17" s="627" customFormat="1" ht="3" customHeight="1">
      <c r="C56" s="922"/>
      <c r="D56" s="920" t="str">
        <f>+D37</f>
        <v>No de Indicadores con Meta Cumplida según progrLación</v>
      </c>
      <c r="E56" s="921">
        <f>+D54</f>
        <v>1</v>
      </c>
      <c r="F56" s="923"/>
      <c r="G56" s="924"/>
      <c r="H56" s="628"/>
    </row>
    <row r="57" spans="2:17" s="627" customFormat="1" ht="3" customHeight="1">
      <c r="C57" s="922"/>
      <c r="D57" s="920" t="str">
        <f>+E37</f>
        <v xml:space="preserve">No de Indicadores con ejecución superior a la programada </v>
      </c>
      <c r="E57" s="921">
        <f>+E54</f>
        <v>5</v>
      </c>
      <c r="F57" s="923"/>
      <c r="G57" s="924"/>
      <c r="H57" s="628"/>
    </row>
    <row r="58" spans="2:17" s="627" customFormat="1" ht="3" customHeight="1">
      <c r="C58" s="922"/>
      <c r="D58" s="920" t="str">
        <f>+F37</f>
        <v xml:space="preserve">No de Indicadores con ejecución menor a la programada </v>
      </c>
      <c r="E58" s="921">
        <f>+F54</f>
        <v>71</v>
      </c>
      <c r="F58" s="923"/>
      <c r="G58" s="924"/>
      <c r="H58" s="628"/>
    </row>
    <row r="59" spans="2:17" s="627" customFormat="1" ht="3" customHeight="1">
      <c r="C59" s="922"/>
      <c r="D59" s="920" t="str">
        <f>+G37</f>
        <v>No de indicadores sin programar en el periodo</v>
      </c>
      <c r="E59" s="921">
        <f>+G54</f>
        <v>10</v>
      </c>
      <c r="F59" s="923"/>
      <c r="G59" s="924"/>
      <c r="H59" s="628"/>
    </row>
    <row r="60" spans="2:17" s="627" customFormat="1" ht="10.199999999999999" customHeight="1">
      <c r="C60" s="628"/>
      <c r="D60" s="628"/>
      <c r="E60" s="629">
        <f>SUM(E27:E30)</f>
        <v>87</v>
      </c>
      <c r="F60" s="626"/>
      <c r="H60" s="628"/>
    </row>
    <row r="61" spans="2:17" ht="15.6" thickBot="1"/>
    <row r="62" spans="2:17" s="529" customFormat="1" ht="15.6">
      <c r="B62" s="1402" t="s">
        <v>751</v>
      </c>
      <c r="C62" s="1404" t="s">
        <v>893</v>
      </c>
      <c r="D62" s="1406" t="s">
        <v>894</v>
      </c>
      <c r="E62" s="1407"/>
      <c r="F62" s="1408"/>
      <c r="P62" s="517"/>
      <c r="Q62" s="517"/>
    </row>
    <row r="63" spans="2:17" ht="33" customHeight="1">
      <c r="B63" s="1403"/>
      <c r="C63" s="1405"/>
      <c r="D63" s="1075" t="s">
        <v>760</v>
      </c>
      <c r="E63" s="1075" t="s">
        <v>764</v>
      </c>
      <c r="F63" s="532" t="s">
        <v>768</v>
      </c>
      <c r="H63" s="517"/>
    </row>
    <row r="64" spans="2:17">
      <c r="B64" s="533" t="s">
        <v>725</v>
      </c>
      <c r="C64" s="534">
        <f>+'3.Resum Desemp Procesos POA T1'!C41</f>
        <v>4</v>
      </c>
      <c r="D64" s="534">
        <f>+'Rango indicadores'!E111</f>
        <v>4</v>
      </c>
      <c r="E64" s="534">
        <f>+'Rango indicadores'!F111</f>
        <v>0</v>
      </c>
      <c r="F64" s="535">
        <f>+'Rango indicadores'!G111</f>
        <v>0</v>
      </c>
      <c r="H64" s="517"/>
    </row>
    <row r="65" spans="2:8">
      <c r="B65" s="533" t="s">
        <v>727</v>
      </c>
      <c r="C65" s="534">
        <f>+'3.Resum Desemp Procesos POA T1'!C42</f>
        <v>4</v>
      </c>
      <c r="D65" s="534">
        <f>+'Rango indicadores'!E112</f>
        <v>4</v>
      </c>
      <c r="E65" s="534">
        <f>+'Rango indicadores'!F112</f>
        <v>0</v>
      </c>
      <c r="F65" s="535">
        <f>+'Rango indicadores'!G112</f>
        <v>0</v>
      </c>
      <c r="H65" s="517"/>
    </row>
    <row r="66" spans="2:8">
      <c r="B66" s="533" t="s">
        <v>728</v>
      </c>
      <c r="C66" s="534">
        <f>+'3.Resum Desemp Procesos POA T1'!C43</f>
        <v>7</v>
      </c>
      <c r="D66" s="534">
        <f>+'Rango indicadores'!E113</f>
        <v>7</v>
      </c>
      <c r="E66" s="534">
        <f>+'Rango indicadores'!F113</f>
        <v>0</v>
      </c>
      <c r="F66" s="535">
        <f>+'Rango indicadores'!G113</f>
        <v>0</v>
      </c>
      <c r="H66" s="517"/>
    </row>
    <row r="67" spans="2:8">
      <c r="B67" s="533" t="s">
        <v>729</v>
      </c>
      <c r="C67" s="534">
        <f>+'3.Resum Desemp Procesos POA T1'!C44</f>
        <v>2</v>
      </c>
      <c r="D67" s="534">
        <f>+'Rango indicadores'!E114</f>
        <v>2</v>
      </c>
      <c r="E67" s="534">
        <f>+'Rango indicadores'!F114</f>
        <v>0</v>
      </c>
      <c r="F67" s="535">
        <f>+'Rango indicadores'!G114</f>
        <v>0</v>
      </c>
      <c r="H67" s="517"/>
    </row>
    <row r="68" spans="2:8">
      <c r="B68" s="533" t="s">
        <v>740</v>
      </c>
      <c r="C68" s="534">
        <f>+'3.Resum Desemp Procesos POA T1'!C45</f>
        <v>3</v>
      </c>
      <c r="D68" s="534">
        <f>+'Rango indicadores'!E115</f>
        <v>21</v>
      </c>
      <c r="E68" s="534">
        <f>+'Rango indicadores'!F115</f>
        <v>0</v>
      </c>
      <c r="F68" s="535">
        <f>+'Rango indicadores'!G115</f>
        <v>0</v>
      </c>
      <c r="H68" s="517"/>
    </row>
    <row r="69" spans="2:8">
      <c r="B69" s="533" t="s">
        <v>730</v>
      </c>
      <c r="C69" s="534">
        <f>+'3.Resum Desemp Procesos POA T1'!C47</f>
        <v>20</v>
      </c>
      <c r="D69" s="534">
        <f>+'Rango indicadores'!E116</f>
        <v>7</v>
      </c>
      <c r="E69" s="534">
        <f>+'Rango indicadores'!F116</f>
        <v>0</v>
      </c>
      <c r="F69" s="535">
        <f>+'Rango indicadores'!G116</f>
        <v>0</v>
      </c>
      <c r="H69" s="517"/>
    </row>
    <row r="70" spans="2:8">
      <c r="B70" s="533" t="s">
        <v>865</v>
      </c>
      <c r="C70" s="534">
        <f>+'3.Resum Desemp Procesos POA T1'!C48</f>
        <v>7</v>
      </c>
      <c r="D70" s="534">
        <f>+'Rango indicadores'!E117</f>
        <v>8</v>
      </c>
      <c r="E70" s="534">
        <f>+'Rango indicadores'!F117</f>
        <v>0</v>
      </c>
      <c r="F70" s="535">
        <f>+'Rango indicadores'!G117</f>
        <v>0</v>
      </c>
      <c r="H70" s="517"/>
    </row>
    <row r="71" spans="2:8">
      <c r="B71" s="533" t="s">
        <v>733</v>
      </c>
      <c r="C71" s="534">
        <f>+'3.Resum Desemp Procesos POA T1'!C49</f>
        <v>8</v>
      </c>
      <c r="D71" s="534">
        <f>+'Rango indicadores'!E118</f>
        <v>7</v>
      </c>
      <c r="E71" s="534">
        <f>+'Rango indicadores'!F118</f>
        <v>0</v>
      </c>
      <c r="F71" s="535">
        <f>+'Rango indicadores'!G118</f>
        <v>1</v>
      </c>
      <c r="H71" s="517"/>
    </row>
    <row r="72" spans="2:8">
      <c r="B72" s="533" t="s">
        <v>734</v>
      </c>
      <c r="C72" s="534">
        <f>+'3.Resum Desemp Procesos POA T1'!C51</f>
        <v>8</v>
      </c>
      <c r="D72" s="534">
        <f>+'Rango indicadores'!E119</f>
        <v>2</v>
      </c>
      <c r="E72" s="534">
        <f>+'Rango indicadores'!F119</f>
        <v>0</v>
      </c>
      <c r="F72" s="535">
        <f>+'Rango indicadores'!G119</f>
        <v>0</v>
      </c>
      <c r="H72" s="517"/>
    </row>
    <row r="73" spans="2:8">
      <c r="B73" s="533" t="s">
        <v>735</v>
      </c>
      <c r="C73" s="534">
        <f>+'3.Resum Desemp Procesos POA T1'!C52</f>
        <v>2</v>
      </c>
      <c r="D73" s="534">
        <f>+'Rango indicadores'!E120</f>
        <v>3</v>
      </c>
      <c r="E73" s="534">
        <f>+'Rango indicadores'!F120</f>
        <v>0</v>
      </c>
      <c r="F73" s="535">
        <f>+'Rango indicadores'!G120</f>
        <v>0</v>
      </c>
      <c r="H73" s="517"/>
    </row>
    <row r="74" spans="2:8">
      <c r="B74" s="533" t="s">
        <v>736</v>
      </c>
      <c r="C74" s="534">
        <f>+'3.Resum Desemp Procesos POA T1'!C53</f>
        <v>3</v>
      </c>
      <c r="D74" s="534">
        <f>+'Rango indicadores'!E121</f>
        <v>1</v>
      </c>
      <c r="E74" s="534">
        <f>+'Rango indicadores'!F121</f>
        <v>3</v>
      </c>
      <c r="F74" s="535">
        <f>+'Rango indicadores'!G121</f>
        <v>0</v>
      </c>
      <c r="H74" s="517"/>
    </row>
    <row r="75" spans="2:8">
      <c r="B75" s="533" t="s">
        <v>737</v>
      </c>
      <c r="C75" s="534">
        <f>+'3.Resum Desemp Procesos POA T1'!C54</f>
        <v>4</v>
      </c>
      <c r="D75" s="534">
        <f>+'Rango indicadores'!E122</f>
        <v>3</v>
      </c>
      <c r="E75" s="534">
        <f>+'Rango indicadores'!F122</f>
        <v>1</v>
      </c>
      <c r="F75" s="535">
        <f>+'Rango indicadores'!G122</f>
        <v>0</v>
      </c>
      <c r="H75" s="517"/>
    </row>
    <row r="76" spans="2:8">
      <c r="B76" s="533" t="s">
        <v>738</v>
      </c>
      <c r="C76" s="534">
        <f>+'3.Resum Desemp Procesos POA T1'!C55</f>
        <v>4</v>
      </c>
      <c r="D76" s="534">
        <f>+'Rango indicadores'!E123</f>
        <v>5</v>
      </c>
      <c r="E76" s="534">
        <f>+'Rango indicadores'!F123</f>
        <v>0</v>
      </c>
      <c r="F76" s="535">
        <f>+'Rango indicadores'!G123</f>
        <v>0</v>
      </c>
      <c r="H76" s="517"/>
    </row>
    <row r="77" spans="2:8">
      <c r="B77" s="533" t="s">
        <v>739</v>
      </c>
      <c r="C77" s="534">
        <f>+'3.Resum Desemp Procesos POA T1'!C56</f>
        <v>5</v>
      </c>
      <c r="D77" s="534">
        <f>+'Rango indicadores'!E124</f>
        <v>3</v>
      </c>
      <c r="E77" s="534">
        <f>+'Rango indicadores'!F124</f>
        <v>0</v>
      </c>
      <c r="F77" s="535">
        <f>+'Rango indicadores'!G124</f>
        <v>0</v>
      </c>
      <c r="H77" s="517"/>
    </row>
    <row r="78" spans="2:8">
      <c r="B78" s="533" t="s">
        <v>741</v>
      </c>
      <c r="C78" s="534">
        <f>+'3.Resum Desemp Procesos POA T1'!C58</f>
        <v>3</v>
      </c>
      <c r="D78" s="534">
        <f>+'Rango indicadores'!E125</f>
        <v>3</v>
      </c>
      <c r="E78" s="534">
        <f>+'Rango indicadores'!F125</f>
        <v>0</v>
      </c>
      <c r="F78" s="535">
        <f>+'Rango indicadores'!G125</f>
        <v>0</v>
      </c>
      <c r="H78" s="517"/>
    </row>
    <row r="79" spans="2:8">
      <c r="B79" s="533" t="s">
        <v>742</v>
      </c>
      <c r="C79" s="534">
        <f>+'3.Resum Desemp Procesos POA T1'!C59</f>
        <v>3</v>
      </c>
      <c r="D79" s="534">
        <f>+'Rango indicadores'!E126</f>
        <v>3</v>
      </c>
      <c r="E79" s="534">
        <f>+'Rango indicadores'!F126</f>
        <v>0</v>
      </c>
      <c r="F79" s="535">
        <f>+'Rango indicadores'!G126</f>
        <v>0</v>
      </c>
      <c r="H79" s="517"/>
    </row>
    <row r="80" spans="2:8" ht="16.2" thickBot="1">
      <c r="B80" s="536" t="s">
        <v>895</v>
      </c>
      <c r="C80" s="537">
        <f>SUM(C64:C79)</f>
        <v>87</v>
      </c>
      <c r="D80" s="537">
        <f>SUM(D64:D79)</f>
        <v>83</v>
      </c>
      <c r="E80" s="537">
        <f>SUM(E64:E79)</f>
        <v>4</v>
      </c>
      <c r="F80" s="538">
        <f>SUM(F64:F79)</f>
        <v>1</v>
      </c>
      <c r="H80" s="517"/>
    </row>
    <row r="81" spans="8:8">
      <c r="H81" s="517"/>
    </row>
    <row r="82" spans="8:8">
      <c r="H82" s="517"/>
    </row>
    <row r="84" spans="8:8" ht="15" customHeight="1"/>
  </sheetData>
  <mergeCells count="13">
    <mergeCell ref="D34:E34"/>
    <mergeCell ref="B35:B37"/>
    <mergeCell ref="C35:G35"/>
    <mergeCell ref="E36:F36"/>
    <mergeCell ref="B62:B63"/>
    <mergeCell ref="C62:C63"/>
    <mergeCell ref="D62:F62"/>
    <mergeCell ref="B2:B3"/>
    <mergeCell ref="C2:G2"/>
    <mergeCell ref="C3:G3"/>
    <mergeCell ref="B4:F4"/>
    <mergeCell ref="B7:B8"/>
    <mergeCell ref="C7:G7"/>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BC51B-AEF1-4586-8C8A-932837EBA963}">
  <sheetPr>
    <tabColor rgb="FF00FF99"/>
  </sheetPr>
  <dimension ref="B1:V116"/>
  <sheetViews>
    <sheetView showGridLines="0" topLeftCell="B34" zoomScale="85" zoomScaleNormal="85" workbookViewId="0">
      <selection activeCell="E41" sqref="E41"/>
    </sheetView>
  </sheetViews>
  <sheetFormatPr baseColWidth="10" defaultColWidth="11.44140625" defaultRowHeight="15" customHeight="1" zeroHeight="1"/>
  <cols>
    <col min="1" max="1" width="3.6640625" style="517" customWidth="1"/>
    <col min="2" max="2" width="47.33203125" style="517" customWidth="1"/>
    <col min="3" max="3" width="20.33203125" style="519" customWidth="1"/>
    <col min="4" max="4" width="18.88671875" style="519" customWidth="1"/>
    <col min="5" max="5" width="22.77734375" style="519" customWidth="1"/>
    <col min="6" max="6" width="19.44140625" style="517" customWidth="1"/>
    <col min="7" max="7" width="47" style="517" customWidth="1"/>
    <col min="8" max="15" width="11.44140625" style="517"/>
    <col min="16" max="16" width="62.44140625" style="517" bestFit="1" customWidth="1"/>
    <col min="17" max="17" width="40" style="517" customWidth="1"/>
    <col min="18" max="16355" width="11.44140625" style="517"/>
    <col min="16356" max="16356" width="1.44140625" style="517" customWidth="1"/>
    <col min="16357" max="16384" width="2.88671875" style="517" customWidth="1"/>
  </cols>
  <sheetData>
    <row r="1" spans="2:22" s="456" customFormat="1">
      <c r="D1" s="459"/>
      <c r="E1" s="457"/>
      <c r="F1" s="458"/>
      <c r="G1" s="458"/>
      <c r="H1" s="458"/>
      <c r="I1" s="458"/>
      <c r="J1" s="458"/>
      <c r="K1" s="458"/>
      <c r="L1" s="458"/>
      <c r="V1" s="459"/>
    </row>
    <row r="2" spans="2:22" s="456" customFormat="1" ht="28.95" customHeight="1">
      <c r="B2" s="1395" t="s">
        <v>891</v>
      </c>
      <c r="C2" s="1426" t="s">
        <v>900</v>
      </c>
      <c r="D2" s="1426"/>
      <c r="E2" s="1426"/>
      <c r="F2" s="1426"/>
      <c r="G2" s="1426"/>
      <c r="H2" s="1426"/>
      <c r="I2" s="511"/>
      <c r="J2" s="511"/>
      <c r="K2" s="511"/>
      <c r="L2" s="511"/>
      <c r="M2" s="511"/>
      <c r="N2" s="1082"/>
      <c r="O2" s="1082"/>
      <c r="P2" s="1082"/>
      <c r="Q2" s="1082"/>
      <c r="R2" s="1082"/>
      <c r="S2" s="1082"/>
      <c r="T2" s="1082"/>
      <c r="U2" s="1082"/>
      <c r="V2" s="459"/>
    </row>
    <row r="3" spans="2:22" s="456" customFormat="1" ht="17.399999999999999" customHeight="1">
      <c r="B3" s="1395"/>
      <c r="C3" s="1427" t="s">
        <v>1162</v>
      </c>
      <c r="D3" s="1427"/>
      <c r="E3" s="1427"/>
      <c r="F3" s="1427"/>
      <c r="G3" s="1427"/>
      <c r="H3" s="1427"/>
      <c r="I3" s="510"/>
      <c r="J3" s="510"/>
      <c r="K3" s="510"/>
      <c r="L3" s="510"/>
      <c r="M3" s="510"/>
      <c r="N3" s="1081"/>
      <c r="O3" s="1081"/>
      <c r="P3" s="1081"/>
      <c r="Q3" s="1081"/>
      <c r="R3" s="1081"/>
      <c r="S3" s="1081"/>
      <c r="T3" s="1081"/>
      <c r="U3" s="1081"/>
      <c r="V3" s="460"/>
    </row>
    <row r="4" spans="2:22" s="456" customFormat="1" ht="6" customHeight="1">
      <c r="B4" s="544"/>
      <c r="D4" s="1428"/>
      <c r="E4" s="1428"/>
      <c r="F4" s="1428"/>
      <c r="G4" s="1428"/>
      <c r="H4" s="1428"/>
      <c r="I4" s="502"/>
      <c r="J4" s="502"/>
      <c r="K4" s="502"/>
      <c r="L4" s="502"/>
      <c r="M4" s="502"/>
      <c r="N4" s="1079"/>
      <c r="O4" s="1079"/>
      <c r="P4" s="1079"/>
      <c r="Q4" s="1079"/>
      <c r="R4" s="1079"/>
      <c r="S4" s="1079"/>
      <c r="T4" s="1079"/>
      <c r="U4" s="1079"/>
      <c r="V4" s="461"/>
    </row>
    <row r="5" spans="2:22" s="456" customFormat="1" ht="19.5" customHeight="1">
      <c r="B5" s="1047" t="str">
        <f>+'2.Infor Detallado Desempeño POA'!C7</f>
        <v xml:space="preserve">Fecha de corte: </v>
      </c>
      <c r="C5" s="1088">
        <v>44742</v>
      </c>
      <c r="D5" s="503"/>
      <c r="E5" s="463"/>
      <c r="V5" s="459"/>
    </row>
    <row r="6" spans="2:22" ht="1.95" customHeight="1">
      <c r="B6" s="520"/>
    </row>
    <row r="7" spans="2:22" ht="8.4" customHeight="1">
      <c r="B7" s="520"/>
    </row>
    <row r="8" spans="2:22" ht="54" customHeight="1">
      <c r="B8" s="1077" t="s">
        <v>751</v>
      </c>
      <c r="C8" s="1076" t="s">
        <v>1163</v>
      </c>
      <c r="D8" s="521"/>
      <c r="E8" s="517"/>
    </row>
    <row r="9" spans="2:22">
      <c r="B9" s="522" t="s">
        <v>725</v>
      </c>
      <c r="C9" s="523">
        <f>+F41</f>
        <v>0.30107142857142855</v>
      </c>
      <c r="D9" s="524"/>
      <c r="E9" s="517"/>
    </row>
    <row r="10" spans="2:22">
      <c r="B10" s="522" t="s">
        <v>727</v>
      </c>
      <c r="C10" s="523">
        <f>+F42</f>
        <v>5.921052631578947E-2</v>
      </c>
      <c r="D10" s="524"/>
      <c r="E10" s="517"/>
      <c r="H10" s="588"/>
      <c r="I10" s="589" t="s">
        <v>1164</v>
      </c>
    </row>
    <row r="11" spans="2:22">
      <c r="B11" s="522" t="s">
        <v>728</v>
      </c>
      <c r="C11" s="523">
        <f>+F43</f>
        <v>0.17500000000000002</v>
      </c>
      <c r="D11" s="524"/>
      <c r="E11" s="517"/>
      <c r="H11" s="916"/>
      <c r="I11" s="589" t="s">
        <v>907</v>
      </c>
    </row>
    <row r="12" spans="2:22">
      <c r="B12" s="522" t="s">
        <v>729</v>
      </c>
      <c r="C12" s="523">
        <f>+F44</f>
        <v>0.5</v>
      </c>
      <c r="D12" s="524"/>
      <c r="E12" s="517"/>
      <c r="H12" s="590"/>
      <c r="I12" s="589" t="s">
        <v>908</v>
      </c>
    </row>
    <row r="13" spans="2:22">
      <c r="B13" s="522" t="s">
        <v>740</v>
      </c>
      <c r="C13" s="523">
        <f>+F45</f>
        <v>0.46629629629629626</v>
      </c>
      <c r="D13" s="525"/>
      <c r="E13" s="517"/>
      <c r="H13" s="591"/>
      <c r="I13" s="589" t="s">
        <v>909</v>
      </c>
    </row>
    <row r="14" spans="2:22">
      <c r="B14" s="522" t="s">
        <v>730</v>
      </c>
      <c r="C14" s="523">
        <f>+F47</f>
        <v>0.23809622023450236</v>
      </c>
      <c r="D14" s="524"/>
      <c r="E14" s="517"/>
    </row>
    <row r="15" spans="2:22">
      <c r="B15" s="522" t="s">
        <v>865</v>
      </c>
      <c r="C15" s="523">
        <f>+F48</f>
        <v>0.11701830507800658</v>
      </c>
      <c r="D15" s="524"/>
      <c r="E15" s="517"/>
    </row>
    <row r="16" spans="2:22">
      <c r="B16" s="522" t="s">
        <v>733</v>
      </c>
      <c r="C16" s="523">
        <f>+F49</f>
        <v>0.19645833333333335</v>
      </c>
      <c r="D16" s="524"/>
      <c r="E16" s="517"/>
    </row>
    <row r="17" spans="2:17">
      <c r="B17" s="522" t="s">
        <v>734</v>
      </c>
      <c r="C17" s="523">
        <f t="shared" ref="C17:C22" si="0">+F51</f>
        <v>0.39953681972789118</v>
      </c>
      <c r="D17" s="524"/>
      <c r="E17" s="517"/>
    </row>
    <row r="18" spans="2:17">
      <c r="B18" s="522" t="s">
        <v>735</v>
      </c>
      <c r="C18" s="523">
        <f t="shared" si="0"/>
        <v>0.53144329896907228</v>
      </c>
      <c r="D18" s="524"/>
      <c r="E18" s="517"/>
    </row>
    <row r="19" spans="2:17">
      <c r="B19" s="522" t="s">
        <v>736</v>
      </c>
      <c r="C19" s="523">
        <f t="shared" si="0"/>
        <v>0.22459649122807021</v>
      </c>
      <c r="D19" s="524"/>
      <c r="E19" s="517"/>
    </row>
    <row r="20" spans="2:17">
      <c r="B20" s="522" t="s">
        <v>737</v>
      </c>
      <c r="C20" s="523">
        <f t="shared" si="0"/>
        <v>0.53749999999999998</v>
      </c>
      <c r="D20" s="524"/>
      <c r="E20" s="517"/>
    </row>
    <row r="21" spans="2:17">
      <c r="B21" s="522" t="s">
        <v>738</v>
      </c>
      <c r="C21" s="523">
        <f t="shared" si="0"/>
        <v>0.37603618421052631</v>
      </c>
      <c r="D21" s="524"/>
      <c r="E21" s="517"/>
    </row>
    <row r="22" spans="2:17">
      <c r="B22" s="522" t="s">
        <v>739</v>
      </c>
      <c r="C22" s="523">
        <f t="shared" si="0"/>
        <v>0.5</v>
      </c>
      <c r="D22" s="524"/>
      <c r="E22" s="517"/>
    </row>
    <row r="23" spans="2:17">
      <c r="B23" s="522" t="s">
        <v>741</v>
      </c>
      <c r="C23" s="523">
        <f>+F58</f>
        <v>0.51666666666666672</v>
      </c>
      <c r="D23" s="524"/>
      <c r="E23" s="517"/>
    </row>
    <row r="24" spans="2:17" ht="15.6" thickBot="1">
      <c r="B24" s="526" t="s">
        <v>742</v>
      </c>
      <c r="C24" s="523">
        <f>+F59</f>
        <v>0.11666666666666665</v>
      </c>
      <c r="D24" s="524"/>
      <c r="E24" s="517"/>
    </row>
    <row r="25" spans="2:17" ht="16.2" thickBot="1">
      <c r="B25" s="527" t="s">
        <v>892</v>
      </c>
      <c r="C25" s="970">
        <f>+F62</f>
        <v>0.30725635053531092</v>
      </c>
      <c r="D25" s="528"/>
      <c r="E25" s="517"/>
    </row>
    <row r="26" spans="2:17" s="529" customFormat="1">
      <c r="C26" s="530"/>
      <c r="D26" s="530"/>
      <c r="E26" s="530"/>
      <c r="P26" s="517"/>
      <c r="Q26" s="517"/>
    </row>
    <row r="27" spans="2:17" s="529" customFormat="1" ht="56.25" customHeight="1" thickBot="1">
      <c r="B27" s="529" t="s">
        <v>681</v>
      </c>
      <c r="C27" s="530"/>
      <c r="G27" s="1093"/>
      <c r="P27" s="517"/>
      <c r="Q27" s="517"/>
    </row>
    <row r="28" spans="2:17" ht="57" customHeight="1">
      <c r="B28" s="1429" t="s">
        <v>932</v>
      </c>
      <c r="C28" s="1431" t="s">
        <v>863</v>
      </c>
      <c r="D28" s="1433" t="s">
        <v>933</v>
      </c>
      <c r="E28" s="1434"/>
      <c r="F28" s="1435"/>
      <c r="H28" s="519"/>
    </row>
    <row r="29" spans="2:17" ht="57.6" customHeight="1" thickBot="1">
      <c r="B29" s="1430"/>
      <c r="C29" s="1432"/>
      <c r="D29" s="661" t="str">
        <f>+D39</f>
        <v>Segundo Trimestre</v>
      </c>
      <c r="E29" s="665" t="s">
        <v>934</v>
      </c>
      <c r="F29" s="667" t="s">
        <v>926</v>
      </c>
      <c r="H29" s="519"/>
    </row>
    <row r="30" spans="2:17" ht="29.4" customHeight="1">
      <c r="B30" s="648" t="s">
        <v>927</v>
      </c>
      <c r="C30" s="631">
        <f>+C46</f>
        <v>20</v>
      </c>
      <c r="D30" s="662">
        <f>IFERROR(AVERAGE(D41:D45),0)</f>
        <v>0</v>
      </c>
      <c r="E30" s="668">
        <f>IFERROR(AVERAGE(E41:E45),0)</f>
        <v>0.4793953121478477</v>
      </c>
      <c r="F30" s="914">
        <f>IFERROR(AVERAGE(F41:F45),0)</f>
        <v>0.30031565023670287</v>
      </c>
      <c r="H30" s="519"/>
    </row>
    <row r="31" spans="2:17" ht="36.6" customHeight="1">
      <c r="B31" s="633" t="s">
        <v>928</v>
      </c>
      <c r="C31" s="632">
        <f>+C50</f>
        <v>35</v>
      </c>
      <c r="D31" s="663">
        <f>IFERROR(AVERAGE(D47:D49),0)</f>
        <v>0</v>
      </c>
      <c r="E31" s="668">
        <f>IFERROR(AVERAGE(E47:E49),0)</f>
        <v>0.37166431283593632</v>
      </c>
      <c r="F31" s="914">
        <f>IFERROR(AVERAGE(F47:F49),0)</f>
        <v>0.1838576195486141</v>
      </c>
      <c r="H31" s="519"/>
    </row>
    <row r="32" spans="2:17" ht="41.4" customHeight="1">
      <c r="B32" s="633" t="s">
        <v>929</v>
      </c>
      <c r="C32" s="632">
        <f>+C57</f>
        <v>26</v>
      </c>
      <c r="D32" s="663">
        <f>IFERROR(AVERAGE(D51:D56),0)</f>
        <v>0</v>
      </c>
      <c r="E32" s="668">
        <f>IFERROR(AVERAGE(E51:E56),0)</f>
        <v>0.59454641365201422</v>
      </c>
      <c r="F32" s="914">
        <f>IFERROR(AVERAGE(F51:F56),0)</f>
        <v>0.42818546568926003</v>
      </c>
      <c r="H32" s="519"/>
    </row>
    <row r="33" spans="2:22" ht="40.799999999999997">
      <c r="B33" s="633" t="s">
        <v>930</v>
      </c>
      <c r="C33" s="632">
        <f>+C60</f>
        <v>6</v>
      </c>
      <c r="D33" s="664">
        <f>IFERROR(AVERAGE(D58:D59),0)</f>
        <v>0</v>
      </c>
      <c r="E33" s="669">
        <f>IFERROR(AVERAGE(E58:E59),0)</f>
        <v>0.71378406708595388</v>
      </c>
      <c r="F33" s="915">
        <f>IFERROR(AVERAGE(F58:F59),0)</f>
        <v>0.31666666666666671</v>
      </c>
      <c r="H33" s="519"/>
    </row>
    <row r="34" spans="2:22" ht="23.4">
      <c r="B34" s="635" t="s">
        <v>931</v>
      </c>
      <c r="C34" s="641">
        <f>SUM(C30:C33)</f>
        <v>87</v>
      </c>
      <c r="D34" s="634">
        <f>AVERAGE(D30:D33)</f>
        <v>0</v>
      </c>
      <c r="E34" s="666">
        <f>AVERAGE(E30:E33)</f>
        <v>0.5398475264304381</v>
      </c>
      <c r="F34" s="666">
        <f>AVERAGE(F30:F33)</f>
        <v>0.30725635053531092</v>
      </c>
      <c r="H34" s="519"/>
    </row>
    <row r="35" spans="2:22" s="639" customFormat="1" ht="23.4">
      <c r="B35" s="636"/>
      <c r="C35" s="637"/>
      <c r="D35" s="638"/>
      <c r="E35" s="638"/>
      <c r="H35" s="640"/>
    </row>
    <row r="36" spans="2:22" s="529" customFormat="1">
      <c r="C36" s="530"/>
      <c r="P36" s="517"/>
      <c r="Q36" s="517"/>
    </row>
    <row r="37" spans="2:22" s="456" customFormat="1" ht="19.5" customHeight="1" thickBot="1">
      <c r="B37" s="462" t="str">
        <f>+B5</f>
        <v xml:space="preserve">Fecha de corte: </v>
      </c>
      <c r="D37" s="463"/>
      <c r="E37" s="463"/>
      <c r="V37" s="459"/>
    </row>
    <row r="38" spans="2:22" s="456" customFormat="1" ht="21" customHeight="1">
      <c r="B38" s="1418" t="s">
        <v>751</v>
      </c>
      <c r="C38" s="1420" t="s">
        <v>863</v>
      </c>
      <c r="D38" s="1420" t="s">
        <v>902</v>
      </c>
      <c r="E38" s="1420"/>
      <c r="F38" s="1422"/>
      <c r="G38" s="457"/>
      <c r="H38" s="457"/>
      <c r="I38" s="457"/>
      <c r="U38" s="459"/>
    </row>
    <row r="39" spans="2:22" s="456" customFormat="1" ht="49.5" customHeight="1" thickBot="1">
      <c r="B39" s="1419"/>
      <c r="C39" s="1421"/>
      <c r="D39" s="1080" t="str">
        <f>+'2.Infor Detallado Desempeño POA'!T11</f>
        <v>Segundo Trimestre</v>
      </c>
      <c r="E39" s="1080" t="str">
        <f>+'2.Infor Detallado Desempeño POA'!U11</f>
        <v>Acumulado Corte 
30/06/2022</v>
      </c>
      <c r="F39" s="650" t="str">
        <f>+'2.Infor Detallado Desempeño POA'!V11</f>
        <v>Anual</v>
      </c>
      <c r="G39" s="545"/>
      <c r="H39" s="457"/>
      <c r="I39" s="457"/>
      <c r="J39" s="457"/>
      <c r="V39" s="459"/>
    </row>
    <row r="40" spans="2:22" s="644" customFormat="1" ht="6" customHeight="1" thickBot="1">
      <c r="B40" s="1423"/>
      <c r="C40" s="1424"/>
      <c r="D40" s="1424"/>
      <c r="E40" s="1424"/>
      <c r="F40" s="1425"/>
      <c r="G40" s="642"/>
      <c r="H40" s="643"/>
      <c r="I40" s="643"/>
      <c r="J40" s="643"/>
      <c r="V40" s="645"/>
    </row>
    <row r="41" spans="2:22" s="456" customFormat="1">
      <c r="B41" s="464" t="s">
        <v>725</v>
      </c>
      <c r="C41" s="465">
        <f>+'Rango indicadores'!D111</f>
        <v>4</v>
      </c>
      <c r="D41" s="466" t="str">
        <f>IF(AND('2.Infor Detallado Desempeño POA'!T16&gt;0),'2.Infor Detallado Desempeño POA'!T16,"No Programado")</f>
        <v>No Programado</v>
      </c>
      <c r="E41" s="466">
        <f>IF(AND('2.Infor Detallado Desempeño POA'!U16&gt;0),'2.Infor Detallado Desempeño POA'!U16,"No Programado")</f>
        <v>0.51419878296146049</v>
      </c>
      <c r="F41" s="466">
        <f>IF(AND('2.Infor Detallado Desempeño POA'!V16&gt;0),'2.Infor Detallado Desempeño POA'!V16,"No Programado")</f>
        <v>0.30107142857142855</v>
      </c>
      <c r="G41" s="467"/>
      <c r="H41" s="467"/>
      <c r="I41" s="467"/>
      <c r="J41" s="467"/>
      <c r="V41" s="459"/>
    </row>
    <row r="42" spans="2:22" s="456" customFormat="1">
      <c r="B42" s="468" t="s">
        <v>727</v>
      </c>
      <c r="C42" s="465">
        <f>+'Rango indicadores'!D112</f>
        <v>4</v>
      </c>
      <c r="D42" s="466" t="str">
        <f>IF(AND('2.Infor Detallado Desempeño POA'!T25&gt;0),'2.Infor Detallado Desempeño POA'!T25,"No Programado")</f>
        <v>No Programado</v>
      </c>
      <c r="E42" s="466">
        <f>IF(AND('2.Infor Detallado Desempeño POA'!U25&gt;0),'2.Infor Detallado Desempeño POA'!U25,"No Programado")</f>
        <v>0.25</v>
      </c>
      <c r="F42" s="466">
        <f>IF(AND('2.Infor Detallado Desempeño POA'!V25&gt;0),'2.Infor Detallado Desempeño POA'!V25,"No Programado")</f>
        <v>5.921052631578947E-2</v>
      </c>
      <c r="G42" s="467"/>
      <c r="H42" s="467"/>
      <c r="I42" s="467"/>
      <c r="J42" s="467"/>
      <c r="V42" s="459"/>
    </row>
    <row r="43" spans="2:22" s="456" customFormat="1">
      <c r="B43" s="468" t="s">
        <v>728</v>
      </c>
      <c r="C43" s="465">
        <f>+'Rango indicadores'!D113</f>
        <v>7</v>
      </c>
      <c r="D43" s="466" t="str">
        <f>IF(AND('2.Infor Detallado Desempeño POA'!T37&gt;0),'2.Infor Detallado Desempeño POA'!T37,"No Programado")</f>
        <v>No Programado</v>
      </c>
      <c r="E43" s="466">
        <f>IF(AND('2.Infor Detallado Desempeño POA'!U37&gt;0),'2.Infor Detallado Desempeño POA'!U37,"No Programado")</f>
        <v>0.35000000000000003</v>
      </c>
      <c r="F43" s="466">
        <f>IF(AND('2.Infor Detallado Desempeño POA'!V37&gt;0),'2.Infor Detallado Desempeño POA'!V37,"No Programado")</f>
        <v>0.17500000000000002</v>
      </c>
      <c r="G43" s="467"/>
      <c r="H43" s="467"/>
      <c r="I43" s="467"/>
      <c r="J43" s="467"/>
      <c r="V43" s="459"/>
    </row>
    <row r="44" spans="2:22" s="456" customFormat="1">
      <c r="B44" s="468" t="s">
        <v>729</v>
      </c>
      <c r="C44" s="465">
        <f>+'Rango indicadores'!D114</f>
        <v>2</v>
      </c>
      <c r="D44" s="466" t="str">
        <f>IF(AND('2.Infor Detallado Desempeño POA'!T44&gt;0),'2.Infor Detallado Desempeño POA'!T44,"No Programado")</f>
        <v>No Programado</v>
      </c>
      <c r="E44" s="466">
        <f>IF(AND('2.Infor Detallado Desempeño POA'!U44&gt;0),'2.Infor Detallado Desempeño POA'!U44,"No Programado")</f>
        <v>0.5</v>
      </c>
      <c r="F44" s="466">
        <f>IF(AND('2.Infor Detallado Desempeño POA'!V44&gt;0),'2.Infor Detallado Desempeño POA'!V44,"No Programado")</f>
        <v>0.5</v>
      </c>
      <c r="G44" s="467"/>
      <c r="H44" s="467"/>
      <c r="I44" s="467"/>
      <c r="J44" s="467"/>
      <c r="V44" s="459"/>
    </row>
    <row r="45" spans="2:22" s="456" customFormat="1" ht="15.6" thickBot="1">
      <c r="B45" s="469" t="s">
        <v>740</v>
      </c>
      <c r="C45" s="465">
        <f>+'Rango indicadores'!D124</f>
        <v>3</v>
      </c>
      <c r="D45" s="466" t="str">
        <f>IF(AND('2.Infor Detallado Desempeño POA'!T52&gt;0),'2.Infor Detallado Desempeño POA'!T52,"No Programado")</f>
        <v>No Programado</v>
      </c>
      <c r="E45" s="466">
        <f>IF(AND('2.Infor Detallado Desempeño POA'!U52&gt;0),'2.Infor Detallado Desempeño POA'!U52,"No Programado")</f>
        <v>0.78277777777777779</v>
      </c>
      <c r="F45" s="466">
        <f>IF(AND('2.Infor Detallado Desempeño POA'!V52&gt;0),'2.Infor Detallado Desempeño POA'!V52,"No Programado")</f>
        <v>0.46629629629629626</v>
      </c>
      <c r="G45" s="467"/>
      <c r="H45" s="467"/>
      <c r="I45" s="467"/>
      <c r="J45" s="467"/>
      <c r="V45" s="459"/>
    </row>
    <row r="46" spans="2:22" s="456" customFormat="1" ht="34.950000000000003" customHeight="1" thickBot="1">
      <c r="B46" s="651" t="s">
        <v>903</v>
      </c>
      <c r="C46" s="652">
        <f>SUM(C41:C45)</f>
        <v>20</v>
      </c>
      <c r="D46" s="653">
        <f>IFERROR(AVERAGE(D41:D45),0)</f>
        <v>0</v>
      </c>
      <c r="E46" s="653">
        <f>IFERROR(AVERAGE(E41:E45),0)</f>
        <v>0.4793953121478477</v>
      </c>
      <c r="F46" s="653">
        <f>IFERROR(AVERAGE(F41:F45),0)</f>
        <v>0.30031565023670287</v>
      </c>
      <c r="G46" s="470"/>
      <c r="H46" s="467"/>
      <c r="I46" s="467"/>
      <c r="J46" s="467"/>
      <c r="V46" s="459"/>
    </row>
    <row r="47" spans="2:22" s="456" customFormat="1">
      <c r="B47" s="464" t="s">
        <v>730</v>
      </c>
      <c r="C47" s="465">
        <f>+'Rango indicadores'!D115</f>
        <v>20</v>
      </c>
      <c r="D47" s="466" t="str">
        <f>IF(AND('2.Infor Detallado Desempeño POA'!T77&gt;0),'2.Infor Detallado Desempeño POA'!T77,"No Programado")</f>
        <v>No Programado</v>
      </c>
      <c r="E47" s="466">
        <f>IF(AND('2.Infor Detallado Desempeño POA'!U77&gt;0),'2.Infor Detallado Desempeño POA'!U77,"No Programado")</f>
        <v>0.51809589686200108</v>
      </c>
      <c r="F47" s="466">
        <f>IF(AND('2.Infor Detallado Desempeño POA'!V77&gt;0),'2.Infor Detallado Desempeño POA'!V77,"No Programado")</f>
        <v>0.23809622023450236</v>
      </c>
      <c r="G47" s="467"/>
      <c r="H47" s="467"/>
      <c r="I47" s="467"/>
      <c r="J47" s="467"/>
      <c r="V47" s="459"/>
    </row>
    <row r="48" spans="2:22" s="456" customFormat="1">
      <c r="B48" s="468" t="s">
        <v>865</v>
      </c>
      <c r="C48" s="465">
        <f>+'Rango indicadores'!D116</f>
        <v>7</v>
      </c>
      <c r="D48" s="466" t="str">
        <f>IF(AND('2.Infor Detallado Desempeño POA'!T89&gt;0),'2.Infor Detallado Desempeño POA'!T89,"No Programado")</f>
        <v>No Programado</v>
      </c>
      <c r="E48" s="466">
        <f>IF(AND('2.Infor Detallado Desempeño POA'!U89&gt;0),'2.Infor Detallado Desempeño POA'!U89,"No Programado")</f>
        <v>0.28291633037395747</v>
      </c>
      <c r="F48" s="466">
        <f>IF(AND('2.Infor Detallado Desempeño POA'!V89&gt;0),'2.Infor Detallado Desempeño POA'!V89,"No Programado")</f>
        <v>0.11701830507800658</v>
      </c>
      <c r="G48" s="467"/>
      <c r="H48" s="467"/>
      <c r="I48" s="467"/>
      <c r="J48" s="467"/>
      <c r="V48" s="459"/>
    </row>
    <row r="49" spans="2:22" s="456" customFormat="1" ht="15.6" thickBot="1">
      <c r="B49" s="469" t="s">
        <v>733</v>
      </c>
      <c r="C49" s="465">
        <f>+'Rango indicadores'!D117</f>
        <v>8</v>
      </c>
      <c r="D49" s="466" t="str">
        <f>IF(AND('2.Infor Detallado Desempeño POA'!T102&gt;0),'2.Infor Detallado Desempeño POA'!T102,"No Programado")</f>
        <v>No Programado</v>
      </c>
      <c r="E49" s="466">
        <f>IF(AND('2.Infor Detallado Desempeño POA'!U102&gt;0),'2.Infor Detallado Desempeño POA'!U102,"No Programado")</f>
        <v>0.31398071127185051</v>
      </c>
      <c r="F49" s="466">
        <f>IF(AND('2.Infor Detallado Desempeño POA'!V102&gt;0),'2.Infor Detallado Desempeño POA'!V102,"No Programado")</f>
        <v>0.19645833333333335</v>
      </c>
      <c r="G49" s="467"/>
      <c r="H49" s="467"/>
      <c r="I49" s="467"/>
      <c r="J49" s="467"/>
      <c r="V49" s="459"/>
    </row>
    <row r="50" spans="2:22" s="456" customFormat="1" ht="34.950000000000003" customHeight="1" thickBot="1">
      <c r="B50" s="651" t="s">
        <v>904</v>
      </c>
      <c r="C50" s="652">
        <f>SUM(C47:C49)</f>
        <v>35</v>
      </c>
      <c r="D50" s="653">
        <f>IFERROR(AVERAGE(D47:D49),0)</f>
        <v>0</v>
      </c>
      <c r="E50" s="653">
        <f>IFERROR(AVERAGE(E47:E49),0)</f>
        <v>0.37166431283593632</v>
      </c>
      <c r="F50" s="653">
        <f>IFERROR(AVERAGE(F47:F49),0)</f>
        <v>0.1838576195486141</v>
      </c>
      <c r="G50" s="470"/>
      <c r="H50" s="467"/>
      <c r="I50" s="467"/>
      <c r="J50" s="467"/>
      <c r="V50" s="459"/>
    </row>
    <row r="51" spans="2:22" s="456" customFormat="1">
      <c r="B51" s="464" t="s">
        <v>734</v>
      </c>
      <c r="C51" s="465">
        <f>+'Rango indicadores'!D118</f>
        <v>8</v>
      </c>
      <c r="D51" s="466" t="str">
        <f>IF(AND('2.Infor Detallado Desempeño POA'!T115&gt;0),'2.Infor Detallado Desempeño POA'!T115,"No Programado")</f>
        <v>No Programado</v>
      </c>
      <c r="E51" s="466">
        <f>IF(AND('2.Infor Detallado Desempeño POA'!U115&gt;0),'2.Infor Detallado Desempeño POA'!U115,"No Programado")</f>
        <v>0.60044112207452738</v>
      </c>
      <c r="F51" s="466">
        <f>IF(AND('2.Infor Detallado Desempeño POA'!V115&gt;0),'2.Infor Detallado Desempeño POA'!V115,"No Programado")</f>
        <v>0.39953681972789118</v>
      </c>
      <c r="G51" s="467"/>
      <c r="H51" s="467"/>
      <c r="I51" s="467"/>
      <c r="J51" s="467"/>
      <c r="V51" s="459"/>
    </row>
    <row r="52" spans="2:22" s="456" customFormat="1">
      <c r="B52" s="468" t="s">
        <v>735</v>
      </c>
      <c r="C52" s="465">
        <f>+'Rango indicadores'!D119</f>
        <v>2</v>
      </c>
      <c r="D52" s="466" t="str">
        <f>IF(AND('2.Infor Detallado Desempeño POA'!T122),'2.Infor Detallado Desempeño POA'!T122,"No Programado")</f>
        <v>No Programado</v>
      </c>
      <c r="E52" s="466">
        <f>IF(AND('2.Infor Detallado Desempeño POA'!U122),'2.Infor Detallado Desempeño POA'!U122,"No Programado")</f>
        <v>0.53152920962199313</v>
      </c>
      <c r="F52" s="466">
        <f>IF(AND('2.Infor Detallado Desempeño POA'!V122),'2.Infor Detallado Desempeño POA'!V122,"No Programado")</f>
        <v>0.53144329896907228</v>
      </c>
      <c r="G52" s="467"/>
      <c r="H52" s="467"/>
      <c r="I52" s="467"/>
      <c r="J52" s="467"/>
      <c r="V52" s="459"/>
    </row>
    <row r="53" spans="2:22" s="456" customFormat="1">
      <c r="B53" s="468" t="s">
        <v>736</v>
      </c>
      <c r="C53" s="465">
        <f>+'Rango indicadores'!D120</f>
        <v>3</v>
      </c>
      <c r="D53" s="466" t="str">
        <f>IF(AND('2.Infor Detallado Desempeño POA'!T130&gt;0),'2.Infor Detallado Desempeño POA'!T130,"No Programado")</f>
        <v>No Programado</v>
      </c>
      <c r="E53" s="466">
        <f>IF(AND('2.Infor Detallado Desempeño POA'!U130&gt;0),'2.Infor Detallado Desempeño POA'!U130,"No Programado")</f>
        <v>0.47134388070558281</v>
      </c>
      <c r="F53" s="466">
        <f>IF(AND('2.Infor Detallado Desempeño POA'!V130&gt;0),'2.Infor Detallado Desempeño POA'!V130,"No Programado")</f>
        <v>0.22459649122807021</v>
      </c>
      <c r="G53" s="467"/>
      <c r="H53" s="467"/>
      <c r="I53" s="467"/>
      <c r="J53" s="467"/>
      <c r="V53" s="459"/>
    </row>
    <row r="54" spans="2:22" s="456" customFormat="1">
      <c r="B54" s="468" t="s">
        <v>737</v>
      </c>
      <c r="C54" s="465">
        <f>+'Rango indicadores'!D121</f>
        <v>4</v>
      </c>
      <c r="D54" s="466" t="str">
        <f>IF(AND('2.Infor Detallado Desempeño POA'!T139&gt;0),'2.Infor Detallado Desempeño POA'!T139,"No Programado")</f>
        <v>No Programado</v>
      </c>
      <c r="E54" s="466">
        <f>IF(AND('2.Infor Detallado Desempeño POA'!U139&gt;0),'2.Infor Detallado Desempeño POA'!U139,"No Programado")</f>
        <v>0.9683908045977011</v>
      </c>
      <c r="F54" s="466">
        <f>IF(AND('2.Infor Detallado Desempeño POA'!V139&gt;0),'2.Infor Detallado Desempeño POA'!V139,"No Programado")</f>
        <v>0.53749999999999998</v>
      </c>
      <c r="G54" s="467"/>
      <c r="H54" s="467"/>
      <c r="I54" s="467"/>
      <c r="J54" s="467"/>
      <c r="V54" s="459"/>
    </row>
    <row r="55" spans="2:22" s="456" customFormat="1">
      <c r="B55" s="468" t="s">
        <v>738</v>
      </c>
      <c r="C55" s="465">
        <f>+'Rango indicadores'!D122</f>
        <v>4</v>
      </c>
      <c r="D55" s="466" t="str">
        <f>IF(AND('2.Infor Detallado Desempeño POA'!T148&gt;0),'2.Infor Detallado Desempeño POA'!T148,"No Programado")</f>
        <v>No Programado</v>
      </c>
      <c r="E55" s="466">
        <f>IF(AND('2.Infor Detallado Desempeño POA'!U148&gt;0),'2.Infor Detallado Desempeño POA'!U148,"No Programado")</f>
        <v>0.49557346491228077</v>
      </c>
      <c r="F55" s="466">
        <f>IF(AND('2.Infor Detallado Desempeño POA'!V148&gt;0),'2.Infor Detallado Desempeño POA'!V148,"No Programado")</f>
        <v>0.37603618421052631</v>
      </c>
      <c r="G55" s="467"/>
      <c r="H55" s="467"/>
      <c r="I55" s="467"/>
      <c r="J55" s="467"/>
      <c r="V55" s="459"/>
    </row>
    <row r="56" spans="2:22" s="456" customFormat="1" ht="15.6" thickBot="1">
      <c r="B56" s="469" t="s">
        <v>739</v>
      </c>
      <c r="C56" s="465">
        <f>+'Rango indicadores'!D123</f>
        <v>5</v>
      </c>
      <c r="D56" s="466" t="str">
        <f>IF(AND('2.Infor Detallado Desempeño POA'!T158&gt;0),'2.Infor Detallado Desempeño POA'!T158,"No Programado")</f>
        <v>No Programado</v>
      </c>
      <c r="E56" s="466">
        <f>IF(AND('2.Infor Detallado Desempeño POA'!U158&gt;0),'2.Infor Detallado Desempeño POA'!U158,"No Programado")</f>
        <v>0.5</v>
      </c>
      <c r="F56" s="466">
        <f>IF(AND('2.Infor Detallado Desempeño POA'!V158&gt;0),'2.Infor Detallado Desempeño POA'!V158,"No Programado")</f>
        <v>0.5</v>
      </c>
      <c r="G56" s="467"/>
      <c r="H56" s="467"/>
      <c r="I56" s="467"/>
      <c r="J56" s="467"/>
      <c r="V56" s="459"/>
    </row>
    <row r="57" spans="2:22" s="456" customFormat="1" ht="34.950000000000003" customHeight="1" thickBot="1">
      <c r="B57" s="651" t="s">
        <v>905</v>
      </c>
      <c r="C57" s="652">
        <f>SUM(C51:C56)</f>
        <v>26</v>
      </c>
      <c r="D57" s="653">
        <f>IFERROR(AVERAGE(D51:D56),0)</f>
        <v>0</v>
      </c>
      <c r="E57" s="653">
        <f>IFERROR(AVERAGE(E51:E56),0)</f>
        <v>0.59454641365201422</v>
      </c>
      <c r="F57" s="653">
        <f>IFERROR(AVERAGE(F51:F56),0)</f>
        <v>0.42818546568926003</v>
      </c>
      <c r="G57" s="470"/>
      <c r="H57" s="467"/>
      <c r="I57" s="467"/>
      <c r="J57" s="467"/>
      <c r="V57" s="459"/>
    </row>
    <row r="58" spans="2:22" s="456" customFormat="1">
      <c r="B58" s="468" t="s">
        <v>741</v>
      </c>
      <c r="C58" s="465">
        <f>+'Rango indicadores'!D125</f>
        <v>3</v>
      </c>
      <c r="D58" s="466" t="str">
        <f>IF(AND('2.Infor Detallado Desempeño POA'!T166&gt;0),'2.Infor Detallado Desempeño POA'!T166,"No Programado")</f>
        <v>No Programado</v>
      </c>
      <c r="E58" s="466">
        <f>IF(AND('2.Infor Detallado Desempeño POA'!U166&gt;0),'2.Infor Detallado Desempeño POA'!U166,"No Programado")</f>
        <v>1.0775681341719077</v>
      </c>
      <c r="F58" s="466">
        <f>IF(AND('2.Infor Detallado Desempeño POA'!V166&gt;0),'2.Infor Detallado Desempeño POA'!V166,"No Programado")</f>
        <v>0.51666666666666672</v>
      </c>
      <c r="G58" s="467"/>
      <c r="H58" s="467"/>
      <c r="I58" s="467"/>
      <c r="J58" s="467"/>
      <c r="V58" s="459"/>
    </row>
    <row r="59" spans="2:22" s="456" customFormat="1" ht="15.6" thickBot="1">
      <c r="B59" s="553" t="s">
        <v>742</v>
      </c>
      <c r="C59" s="554">
        <f>+'Rango indicadores'!D126</f>
        <v>3</v>
      </c>
      <c r="D59" s="466" t="str">
        <f>IF(AND('2.Infor Detallado Desempeño POA'!T174&gt;0),'2.Infor Detallado Desempeño POA'!T174,"No Programado")</f>
        <v>No Programado</v>
      </c>
      <c r="E59" s="466">
        <f>IF(AND('2.Infor Detallado Desempeño POA'!U174&gt;0),'2.Infor Detallado Desempeño POA'!U174,"No Programado")</f>
        <v>0.35</v>
      </c>
      <c r="F59" s="466">
        <f>IF(AND('2.Infor Detallado Desempeño POA'!V174&gt;0),'2.Infor Detallado Desempeño POA'!V174,"No Programado")</f>
        <v>0.11666666666666665</v>
      </c>
      <c r="G59" s="467"/>
      <c r="H59" s="467"/>
      <c r="I59" s="467"/>
      <c r="J59" s="467"/>
      <c r="V59" s="459"/>
    </row>
    <row r="60" spans="2:22" s="456" customFormat="1" ht="46.95" customHeight="1" thickBot="1">
      <c r="B60" s="654" t="s">
        <v>866</v>
      </c>
      <c r="C60" s="652">
        <f>SUM(C58:C59)</f>
        <v>6</v>
      </c>
      <c r="D60" s="653">
        <f>IFERROR(AVERAGE(D58:D59),0)</f>
        <v>0</v>
      </c>
      <c r="E60" s="653">
        <f>IFERROR(AVERAGE(E58:E59),0)</f>
        <v>0.71378406708595388</v>
      </c>
      <c r="F60" s="653">
        <f>IFERROR(AVERAGE(F58:F59),0)</f>
        <v>0.31666666666666671</v>
      </c>
      <c r="G60" s="470"/>
      <c r="H60" s="467"/>
      <c r="I60" s="467"/>
      <c r="J60" s="467"/>
      <c r="V60" s="459"/>
    </row>
    <row r="61" spans="2:22" s="644" customFormat="1" ht="6" customHeight="1">
      <c r="B61" s="646"/>
      <c r="C61" s="647"/>
      <c r="D61" s="642"/>
      <c r="E61" s="642"/>
      <c r="F61" s="642"/>
      <c r="G61" s="642"/>
      <c r="H61" s="643"/>
      <c r="I61" s="643"/>
      <c r="J61" s="643"/>
      <c r="V61" s="645"/>
    </row>
    <row r="62" spans="2:22" ht="15" customHeight="1">
      <c r="B62" s="630" t="s">
        <v>931</v>
      </c>
      <c r="C62" s="641">
        <f>+C60+C57+C50+C46</f>
        <v>87</v>
      </c>
      <c r="D62" s="634">
        <f>AVERAGE(D46,D50,D57,D60)</f>
        <v>0</v>
      </c>
      <c r="E62" s="634">
        <f>AVERAGE(E46,E50,E57,E60)</f>
        <v>0.5398475264304381</v>
      </c>
      <c r="F62" s="634">
        <f>AVERAGE(F46,F50,F57,F60)</f>
        <v>0.30725635053531092</v>
      </c>
      <c r="G62" s="674"/>
    </row>
    <row r="63" spans="2:22" ht="15" customHeight="1"/>
    <row r="64" spans="2:22" ht="15" customHeight="1">
      <c r="D64" s="660"/>
    </row>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row r="85"/>
    <row r="86"/>
    <row r="87"/>
    <row r="88"/>
    <row r="89"/>
    <row r="90"/>
    <row r="91"/>
    <row r="92"/>
    <row r="93"/>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sheetData>
  <mergeCells count="11">
    <mergeCell ref="B38:B39"/>
    <mergeCell ref="C38:C39"/>
    <mergeCell ref="D38:F38"/>
    <mergeCell ref="B40:F40"/>
    <mergeCell ref="B2:B3"/>
    <mergeCell ref="C2:H2"/>
    <mergeCell ref="C3:H3"/>
    <mergeCell ref="D4:H4"/>
    <mergeCell ref="B28:B29"/>
    <mergeCell ref="C28:C29"/>
    <mergeCell ref="D28:F28"/>
  </mergeCells>
  <conditionalFormatting sqref="D41:F45 D47:F49 D51:F56 D58:F59">
    <cfRule type="cellIs" dxfId="948" priority="1" operator="equal">
      <formula>"No Programado"</formula>
    </cfRule>
    <cfRule type="cellIs" dxfId="947" priority="2" operator="lessThanOrEqual">
      <formula>0.6</formula>
    </cfRule>
    <cfRule type="cellIs" dxfId="946" priority="3" operator="between">
      <formula>0.6</formula>
      <formula>0.899999999999999</formula>
    </cfRule>
    <cfRule type="cellIs" dxfId="945" priority="4" operator="greaterThan">
      <formula>1</formula>
    </cfRule>
    <cfRule type="cellIs" dxfId="944" priority="5" operator="between">
      <formula>0.9</formula>
      <formula>1</formula>
    </cfRule>
  </conditionalFormatting>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FE2B1-122C-478C-A0A2-84234DA98240}">
  <sheetPr>
    <tabColor rgb="FF00FF99"/>
  </sheetPr>
  <dimension ref="B1:V116"/>
  <sheetViews>
    <sheetView showGridLines="0" topLeftCell="A35" zoomScale="85" zoomScaleNormal="85" workbookViewId="0">
      <selection activeCell="H1" sqref="H1:I1048576"/>
    </sheetView>
  </sheetViews>
  <sheetFormatPr baseColWidth="10" defaultColWidth="11.44140625" defaultRowHeight="15" customHeight="1" zeroHeight="1"/>
  <cols>
    <col min="1" max="1" width="3.6640625" style="517" customWidth="1"/>
    <col min="2" max="2" width="47.33203125" style="517" customWidth="1"/>
    <col min="3" max="3" width="20.33203125" style="519" customWidth="1"/>
    <col min="4" max="5" width="18.88671875" style="519" customWidth="1"/>
    <col min="6" max="6" width="19.44140625" style="517" customWidth="1"/>
    <col min="7" max="7" width="47" style="517" customWidth="1"/>
    <col min="8" max="15" width="11.44140625" style="517"/>
    <col min="16" max="16" width="62.44140625" style="517" bestFit="1" customWidth="1"/>
    <col min="17" max="17" width="40" style="517" customWidth="1"/>
    <col min="18" max="16355" width="11.44140625" style="517"/>
    <col min="16356" max="16356" width="1.44140625" style="517" customWidth="1"/>
    <col min="16357" max="16384" width="2.88671875" style="517" customWidth="1"/>
  </cols>
  <sheetData>
    <row r="1" spans="2:22" s="456" customFormat="1">
      <c r="D1" s="459"/>
      <c r="E1" s="457"/>
      <c r="F1" s="458"/>
      <c r="G1" s="458"/>
      <c r="H1" s="458"/>
      <c r="I1" s="458"/>
      <c r="J1" s="458"/>
      <c r="K1" s="458"/>
      <c r="L1" s="458"/>
      <c r="V1" s="459"/>
    </row>
    <row r="2" spans="2:22" s="456" customFormat="1" ht="28.95" customHeight="1">
      <c r="B2" s="1395" t="s">
        <v>891</v>
      </c>
      <c r="C2" s="1426" t="s">
        <v>900</v>
      </c>
      <c r="D2" s="1426"/>
      <c r="E2" s="1426"/>
      <c r="F2" s="1426"/>
      <c r="G2" s="1426"/>
      <c r="H2" s="1426"/>
      <c r="I2" s="511"/>
      <c r="J2" s="511"/>
      <c r="K2" s="511"/>
      <c r="L2" s="511"/>
      <c r="M2" s="511"/>
      <c r="N2" s="1082"/>
      <c r="O2" s="1082"/>
      <c r="P2" s="1082"/>
      <c r="Q2" s="1082"/>
      <c r="R2" s="1082"/>
      <c r="S2" s="1082"/>
      <c r="T2" s="1082"/>
      <c r="U2" s="1082"/>
      <c r="V2" s="459"/>
    </row>
    <row r="3" spans="2:22" s="456" customFormat="1" ht="17.399999999999999" customHeight="1">
      <c r="B3" s="1395"/>
      <c r="C3" s="1427" t="s">
        <v>1162</v>
      </c>
      <c r="D3" s="1427"/>
      <c r="E3" s="1427"/>
      <c r="F3" s="1427"/>
      <c r="G3" s="1427"/>
      <c r="H3" s="1427"/>
      <c r="I3" s="510"/>
      <c r="J3" s="510"/>
      <c r="K3" s="510"/>
      <c r="L3" s="510"/>
      <c r="M3" s="510"/>
      <c r="N3" s="1081"/>
      <c r="O3" s="1081"/>
      <c r="P3" s="1081"/>
      <c r="Q3" s="1081"/>
      <c r="R3" s="1081"/>
      <c r="S3" s="1081"/>
      <c r="T3" s="1081"/>
      <c r="U3" s="1081"/>
      <c r="V3" s="460"/>
    </row>
    <row r="4" spans="2:22" s="456" customFormat="1" ht="6" customHeight="1">
      <c r="B4" s="544"/>
      <c r="D4" s="1428"/>
      <c r="E4" s="1428"/>
      <c r="F4" s="1428"/>
      <c r="G4" s="1428"/>
      <c r="H4" s="1428"/>
      <c r="I4" s="502"/>
      <c r="J4" s="502"/>
      <c r="K4" s="502"/>
      <c r="L4" s="502"/>
      <c r="M4" s="502"/>
      <c r="N4" s="1079"/>
      <c r="O4" s="1079"/>
      <c r="P4" s="1079"/>
      <c r="Q4" s="1079"/>
      <c r="R4" s="1079"/>
      <c r="S4" s="1079"/>
      <c r="T4" s="1079"/>
      <c r="U4" s="1079"/>
      <c r="V4" s="461"/>
    </row>
    <row r="5" spans="2:22" s="456" customFormat="1" ht="19.5" customHeight="1">
      <c r="B5" s="1047" t="str">
        <f>+'2.Infor Detallado Desempeño POA'!C7</f>
        <v xml:space="preserve">Fecha de corte: </v>
      </c>
      <c r="C5" s="1088">
        <v>44834</v>
      </c>
      <c r="D5" s="503"/>
      <c r="E5" s="463"/>
      <c r="V5" s="459"/>
    </row>
    <row r="6" spans="2:22" ht="1.95" customHeight="1">
      <c r="B6" s="520"/>
    </row>
    <row r="7" spans="2:22" ht="8.4" customHeight="1">
      <c r="B7" s="520"/>
    </row>
    <row r="8" spans="2:22" ht="54" customHeight="1">
      <c r="B8" s="1077" t="s">
        <v>751</v>
      </c>
      <c r="C8" s="1076" t="s">
        <v>1163</v>
      </c>
      <c r="D8" s="521"/>
      <c r="E8" s="517"/>
    </row>
    <row r="9" spans="2:22">
      <c r="B9" s="522" t="s">
        <v>725</v>
      </c>
      <c r="C9" s="523">
        <f>+F41</f>
        <v>0.30107142857142855</v>
      </c>
      <c r="D9" s="524"/>
      <c r="E9" s="517"/>
    </row>
    <row r="10" spans="2:22">
      <c r="B10" s="522" t="s">
        <v>727</v>
      </c>
      <c r="C10" s="523">
        <f>+F42</f>
        <v>5.921052631578947E-2</v>
      </c>
      <c r="D10" s="524"/>
      <c r="E10" s="517"/>
      <c r="H10" s="588"/>
      <c r="I10" s="589" t="s">
        <v>1164</v>
      </c>
    </row>
    <row r="11" spans="2:22">
      <c r="B11" s="522" t="s">
        <v>728</v>
      </c>
      <c r="C11" s="523">
        <f>+F43</f>
        <v>0.17500000000000002</v>
      </c>
      <c r="D11" s="524"/>
      <c r="E11" s="517"/>
      <c r="H11" s="916"/>
      <c r="I11" s="589" t="s">
        <v>907</v>
      </c>
    </row>
    <row r="12" spans="2:22">
      <c r="B12" s="522" t="s">
        <v>729</v>
      </c>
      <c r="C12" s="523">
        <f>+F44</f>
        <v>0.33300000000000002</v>
      </c>
      <c r="D12" s="524"/>
      <c r="E12" s="517"/>
      <c r="H12" s="590"/>
      <c r="I12" s="589" t="s">
        <v>908</v>
      </c>
    </row>
    <row r="13" spans="2:22">
      <c r="B13" s="522" t="s">
        <v>740</v>
      </c>
      <c r="C13" s="523">
        <f>+F45</f>
        <v>0.28851851851851845</v>
      </c>
      <c r="D13" s="525"/>
      <c r="E13" s="517"/>
      <c r="H13" s="591"/>
      <c r="I13" s="589" t="s">
        <v>909</v>
      </c>
    </row>
    <row r="14" spans="2:22">
      <c r="B14" s="522" t="s">
        <v>730</v>
      </c>
      <c r="C14" s="523">
        <f>+F47</f>
        <v>0.22884414267217554</v>
      </c>
      <c r="D14" s="524"/>
      <c r="E14" s="517"/>
    </row>
    <row r="15" spans="2:22">
      <c r="B15" s="522" t="s">
        <v>865</v>
      </c>
      <c r="C15" s="523">
        <f>+F48</f>
        <v>0.11701830507800658</v>
      </c>
      <c r="D15" s="524"/>
      <c r="E15" s="517"/>
    </row>
    <row r="16" spans="2:22">
      <c r="B16" s="522" t="s">
        <v>733</v>
      </c>
      <c r="C16" s="523">
        <f>+F49</f>
        <v>0.15908333333333333</v>
      </c>
      <c r="D16" s="524"/>
      <c r="E16" s="517"/>
    </row>
    <row r="17" spans="2:17">
      <c r="B17" s="522" t="s">
        <v>734</v>
      </c>
      <c r="C17" s="523">
        <f t="shared" ref="C17:C22" si="0">+F51</f>
        <v>0.33756116071428571</v>
      </c>
      <c r="D17" s="524"/>
      <c r="E17" s="517"/>
    </row>
    <row r="18" spans="2:17">
      <c r="B18" s="522" t="s">
        <v>735</v>
      </c>
      <c r="C18" s="523">
        <f t="shared" si="0"/>
        <v>0.35412886597938142</v>
      </c>
      <c r="D18" s="524"/>
      <c r="E18" s="517"/>
    </row>
    <row r="19" spans="2:17">
      <c r="B19" s="522" t="s">
        <v>736</v>
      </c>
      <c r="C19" s="523">
        <f t="shared" si="0"/>
        <v>0.22459649122807021</v>
      </c>
      <c r="D19" s="524"/>
      <c r="E19" s="517"/>
    </row>
    <row r="20" spans="2:17">
      <c r="B20" s="522" t="s">
        <v>737</v>
      </c>
      <c r="C20" s="523">
        <f t="shared" si="0"/>
        <v>0.39124999999999999</v>
      </c>
      <c r="D20" s="524"/>
      <c r="E20" s="517"/>
    </row>
    <row r="21" spans="2:17">
      <c r="B21" s="522" t="s">
        <v>738</v>
      </c>
      <c r="C21" s="523">
        <f t="shared" si="0"/>
        <v>0.28725328947368423</v>
      </c>
      <c r="D21" s="524"/>
      <c r="E21" s="517"/>
    </row>
    <row r="22" spans="2:17">
      <c r="B22" s="522" t="s">
        <v>739</v>
      </c>
      <c r="C22" s="523">
        <f t="shared" si="0"/>
        <v>0.33300000000000002</v>
      </c>
      <c r="D22" s="524"/>
      <c r="E22" s="517"/>
    </row>
    <row r="23" spans="2:17">
      <c r="B23" s="522" t="s">
        <v>741</v>
      </c>
      <c r="C23" s="523">
        <f>+F58</f>
        <v>0.51666666666666672</v>
      </c>
      <c r="D23" s="524"/>
      <c r="E23" s="517"/>
    </row>
    <row r="24" spans="2:17" ht="15.6" thickBot="1">
      <c r="B24" s="526" t="s">
        <v>742</v>
      </c>
      <c r="C24" s="523">
        <f>+F59</f>
        <v>0.11666666666666665</v>
      </c>
      <c r="D24" s="524"/>
      <c r="E24" s="517"/>
    </row>
    <row r="25" spans="2:17" ht="16.2" thickBot="1">
      <c r="B25" s="527" t="s">
        <v>892</v>
      </c>
      <c r="C25" s="970">
        <f>+F62</f>
        <v>0.25941008073538901</v>
      </c>
      <c r="D25" s="528"/>
      <c r="E25" s="517"/>
    </row>
    <row r="26" spans="2:17" s="529" customFormat="1">
      <c r="C26" s="530"/>
      <c r="D26" s="530"/>
      <c r="E26" s="530"/>
      <c r="P26" s="517"/>
      <c r="Q26" s="517"/>
    </row>
    <row r="27" spans="2:17" s="529" customFormat="1" ht="56.25" customHeight="1" thickBot="1">
      <c r="B27" s="529" t="s">
        <v>681</v>
      </c>
      <c r="C27" s="530"/>
      <c r="P27" s="517"/>
      <c r="Q27" s="517"/>
    </row>
    <row r="28" spans="2:17" ht="57" customHeight="1">
      <c r="B28" s="1429" t="s">
        <v>932</v>
      </c>
      <c r="C28" s="1431" t="s">
        <v>863</v>
      </c>
      <c r="D28" s="1433" t="s">
        <v>933</v>
      </c>
      <c r="E28" s="1434"/>
      <c r="F28" s="1435"/>
      <c r="H28" s="519"/>
    </row>
    <row r="29" spans="2:17" ht="54.6" customHeight="1" thickBot="1">
      <c r="B29" s="1430"/>
      <c r="C29" s="1432"/>
      <c r="D29" s="661" t="str">
        <f>+D39</f>
        <v>Tercer Trimestre</v>
      </c>
      <c r="E29" s="665" t="s">
        <v>934</v>
      </c>
      <c r="F29" s="667" t="s">
        <v>926</v>
      </c>
      <c r="H29" s="519"/>
    </row>
    <row r="30" spans="2:17" ht="29.4" customHeight="1">
      <c r="B30" s="648" t="s">
        <v>927</v>
      </c>
      <c r="C30" s="631">
        <f>+C46</f>
        <v>20</v>
      </c>
      <c r="D30" s="662">
        <f>IFERROR(AVERAGE(D41:D45),0)</f>
        <v>0</v>
      </c>
      <c r="E30" s="668">
        <f>IFERROR(AVERAGE(E41:E45),0)</f>
        <v>0.26017727886148939</v>
      </c>
      <c r="F30" s="914">
        <f>IFERROR(AVERAGE(F41:F45),0)</f>
        <v>0.23136009468114729</v>
      </c>
      <c r="H30" s="519"/>
    </row>
    <row r="31" spans="2:17" ht="36.6" customHeight="1">
      <c r="B31" s="633" t="s">
        <v>928</v>
      </c>
      <c r="C31" s="632">
        <f>+C50</f>
        <v>35</v>
      </c>
      <c r="D31" s="663">
        <f>IFERROR(AVERAGE(D47:D49),0)</f>
        <v>0</v>
      </c>
      <c r="E31" s="668">
        <f>IFERROR(AVERAGE(E47:E49),0)</f>
        <v>0.21984658156851511</v>
      </c>
      <c r="F31" s="914">
        <f>IFERROR(AVERAGE(F47:F49),0)</f>
        <v>0.16831526036117181</v>
      </c>
      <c r="H31" s="519"/>
    </row>
    <row r="32" spans="2:17" ht="41.4" customHeight="1">
      <c r="B32" s="633" t="s">
        <v>929</v>
      </c>
      <c r="C32" s="632">
        <f>+C57</f>
        <v>26</v>
      </c>
      <c r="D32" s="663">
        <f>IFERROR(AVERAGE(D51:D56),0)</f>
        <v>0</v>
      </c>
      <c r="E32" s="668">
        <f>IFERROR(AVERAGE(E51:E56),0)</f>
        <v>0.41037669678195354</v>
      </c>
      <c r="F32" s="914">
        <f>IFERROR(AVERAGE(F51:F56),0)</f>
        <v>0.32129830123257025</v>
      </c>
      <c r="H32" s="519"/>
    </row>
    <row r="33" spans="2:22" ht="40.799999999999997">
      <c r="B33" s="633" t="s">
        <v>930</v>
      </c>
      <c r="C33" s="632">
        <f>+C60</f>
        <v>6</v>
      </c>
      <c r="D33" s="664">
        <f>IFERROR(AVERAGE(D58:D59),0)</f>
        <v>0</v>
      </c>
      <c r="E33" s="669">
        <f>IFERROR(AVERAGE(E58:E59),0)</f>
        <v>0.42740014431247442</v>
      </c>
      <c r="F33" s="915">
        <f>IFERROR(AVERAGE(F58:F59),0)</f>
        <v>0.31666666666666671</v>
      </c>
      <c r="H33" s="519"/>
    </row>
    <row r="34" spans="2:22" ht="23.4">
      <c r="B34" s="635" t="s">
        <v>931</v>
      </c>
      <c r="C34" s="641">
        <f>SUM(C30:C33)</f>
        <v>87</v>
      </c>
      <c r="D34" s="634">
        <f>AVERAGE(D30:D33)</f>
        <v>0</v>
      </c>
      <c r="E34" s="666">
        <f>AVERAGE(E30:E33)</f>
        <v>0.3294501753811081</v>
      </c>
      <c r="F34" s="666">
        <f>AVERAGE(F30:F33)</f>
        <v>0.25941008073538901</v>
      </c>
      <c r="H34" s="519"/>
    </row>
    <row r="35" spans="2:22" s="639" customFormat="1" ht="23.4">
      <c r="B35" s="636"/>
      <c r="C35" s="637"/>
      <c r="D35" s="638"/>
      <c r="E35" s="638"/>
      <c r="H35" s="640"/>
    </row>
    <row r="36" spans="2:22" s="529" customFormat="1">
      <c r="C36" s="530"/>
      <c r="P36" s="517"/>
      <c r="Q36" s="517"/>
    </row>
    <row r="37" spans="2:22" s="456" customFormat="1" ht="19.5" customHeight="1" thickBot="1">
      <c r="B37" s="1047" t="str">
        <f>+B5</f>
        <v xml:space="preserve">Fecha de corte: </v>
      </c>
      <c r="C37" s="1088">
        <f>+C5</f>
        <v>44834</v>
      </c>
      <c r="D37" s="463"/>
      <c r="E37" s="463"/>
      <c r="V37" s="459"/>
    </row>
    <row r="38" spans="2:22" s="456" customFormat="1" ht="21" customHeight="1">
      <c r="B38" s="1418" t="s">
        <v>751</v>
      </c>
      <c r="C38" s="1420" t="s">
        <v>863</v>
      </c>
      <c r="D38" s="1420" t="s">
        <v>902</v>
      </c>
      <c r="E38" s="1420"/>
      <c r="F38" s="1422"/>
      <c r="G38" s="457"/>
      <c r="H38" s="457"/>
      <c r="I38" s="457"/>
      <c r="U38" s="459"/>
    </row>
    <row r="39" spans="2:22" s="456" customFormat="1" ht="49.5" customHeight="1" thickBot="1">
      <c r="B39" s="1419"/>
      <c r="C39" s="1421"/>
      <c r="D39" s="1080" t="str">
        <f>+'2.Infor Detallado Desempeño POA'!AC11</f>
        <v>Tercer Trimestre</v>
      </c>
      <c r="E39" s="1080" t="str">
        <f>+'2.Infor Detallado Desempeño POA'!AD11</f>
        <v>Acumulado Corte 
30/09/2022</v>
      </c>
      <c r="F39" s="650" t="str">
        <f>+'2.Infor Detallado Desempeño POA'!AE11</f>
        <v>Anual</v>
      </c>
      <c r="G39" s="545"/>
      <c r="H39" s="457"/>
      <c r="I39" s="457"/>
      <c r="J39" s="457"/>
      <c r="V39" s="459"/>
    </row>
    <row r="40" spans="2:22" s="644" customFormat="1" ht="6" customHeight="1" thickBot="1">
      <c r="B40" s="1423"/>
      <c r="C40" s="1424"/>
      <c r="D40" s="1424"/>
      <c r="E40" s="1424"/>
      <c r="F40" s="1425"/>
      <c r="G40" s="642"/>
      <c r="H40" s="643"/>
      <c r="I40" s="643"/>
      <c r="J40" s="643"/>
      <c r="V40" s="645"/>
    </row>
    <row r="41" spans="2:22" s="456" customFormat="1">
      <c r="B41" s="464" t="s">
        <v>725</v>
      </c>
      <c r="C41" s="465">
        <f>+'Rango indicadores'!D111</f>
        <v>4</v>
      </c>
      <c r="D41" s="466" t="str">
        <f>IF(AND('2.Infor Detallado Desempeño POA'!AC16&gt;0),'2.Infor Detallado Desempeño POA'!AC16,"No Programado")</f>
        <v>No Programado</v>
      </c>
      <c r="E41" s="466">
        <f>IF(AND('2.Infor Detallado Desempeño POA'!AD16&gt;0),'2.Infor Detallado Desempeño POA'!AD16,"No Programado")</f>
        <v>0.35543184885290147</v>
      </c>
      <c r="F41" s="466">
        <f>IF(AND('2.Infor Detallado Desempeño POA'!AE16&gt;0),'2.Infor Detallado Desempeño POA'!AE16,"No Programado")</f>
        <v>0.30107142857142855</v>
      </c>
      <c r="G41" s="467"/>
      <c r="H41" s="467"/>
      <c r="I41" s="467"/>
      <c r="J41" s="467"/>
      <c r="V41" s="459"/>
    </row>
    <row r="42" spans="2:22" s="456" customFormat="1">
      <c r="B42" s="468" t="s">
        <v>727</v>
      </c>
      <c r="C42" s="465">
        <f>+'Rango indicadores'!D112</f>
        <v>4</v>
      </c>
      <c r="D42" s="466" t="str">
        <f>IF(AND('2.Infor Detallado Desempeño POA'!AC25&gt;0),'2.Infor Detallado Desempeño POA'!AC25,"No Programado")</f>
        <v>No Programado</v>
      </c>
      <c r="E42" s="466">
        <f>IF(AND('2.Infor Detallado Desempeño POA'!AD25&gt;0),'2.Infor Detallado Desempeño POA'!AD25,"No Programado")</f>
        <v>0.15</v>
      </c>
      <c r="F42" s="466">
        <f>IF(AND('2.Infor Detallado Desempeño POA'!AE25&gt;0),'2.Infor Detallado Desempeño POA'!AE25,"No Programado")</f>
        <v>5.921052631578947E-2</v>
      </c>
      <c r="G42" s="467"/>
      <c r="H42" s="467"/>
      <c r="I42" s="467"/>
      <c r="J42" s="467"/>
      <c r="V42" s="459"/>
    </row>
    <row r="43" spans="2:22" s="456" customFormat="1">
      <c r="B43" s="468" t="s">
        <v>728</v>
      </c>
      <c r="C43" s="465">
        <f>+'Rango indicadores'!D113</f>
        <v>7</v>
      </c>
      <c r="D43" s="466" t="str">
        <f>IF(AND('2.Infor Detallado Desempeño POA'!AC37&gt;0),'2.Infor Detallado Desempeño POA'!AC37,"No Programado")</f>
        <v>No Programado</v>
      </c>
      <c r="E43" s="466">
        <f>IF(AND('2.Infor Detallado Desempeño POA'!AD37&gt;0),'2.Infor Detallado Desempeño POA'!AD37,"No Programado")</f>
        <v>0.21212121212121213</v>
      </c>
      <c r="F43" s="466">
        <f>IF(AND('2.Infor Detallado Desempeño POA'!AE37&gt;0),'2.Infor Detallado Desempeño POA'!AE37,"No Programado")</f>
        <v>0.17500000000000002</v>
      </c>
      <c r="G43" s="467"/>
      <c r="H43" s="467"/>
      <c r="I43" s="467"/>
      <c r="J43" s="467"/>
      <c r="V43" s="459"/>
    </row>
    <row r="44" spans="2:22" s="456" customFormat="1">
      <c r="B44" s="468" t="s">
        <v>729</v>
      </c>
      <c r="C44" s="465">
        <f>+'Rango indicadores'!D114</f>
        <v>2</v>
      </c>
      <c r="D44" s="466" t="str">
        <f>IF(AND('2.Infor Detallado Desempeño POA'!T44&gt;0),'2.Infor Detallado Desempeño POA'!T44,"No Programado")</f>
        <v>No Programado</v>
      </c>
      <c r="E44" s="466">
        <f>IF(AND('2.Infor Detallado Desempeño POA'!AD44&gt;0),'2.Infor Detallado Desempeño POA'!AD44,"No Programado")</f>
        <v>0.33333333333333331</v>
      </c>
      <c r="F44" s="466">
        <f>IF(AND('2.Infor Detallado Desempeño POA'!AE44&gt;0),'2.Infor Detallado Desempeño POA'!AE44,"No Programado")</f>
        <v>0.33300000000000002</v>
      </c>
      <c r="G44" s="467"/>
      <c r="H44" s="467"/>
      <c r="I44" s="467"/>
      <c r="J44" s="467"/>
      <c r="V44" s="459"/>
    </row>
    <row r="45" spans="2:22" s="456" customFormat="1" ht="15.6" thickBot="1">
      <c r="B45" s="469" t="s">
        <v>740</v>
      </c>
      <c r="C45" s="465">
        <f>+'Rango indicadores'!D124</f>
        <v>3</v>
      </c>
      <c r="D45" s="466" t="str">
        <f>IF(AND('2.Infor Detallado Desempeño POA'!AC52&gt;0),'2.Infor Detallado Desempeño POA'!AC52,"No Programado")</f>
        <v>No Programado</v>
      </c>
      <c r="E45" s="466">
        <f>IF(AND('2.Infor Detallado Desempeño POA'!AD52&gt;0),'2.Infor Detallado Desempeño POA'!AD52,"No Programado")</f>
        <v>0.25</v>
      </c>
      <c r="F45" s="466">
        <f>IF(AND('2.Infor Detallado Desempeño POA'!AE52&gt;0),'2.Infor Detallado Desempeño POA'!AE52,"No Programado")</f>
        <v>0.28851851851851845</v>
      </c>
      <c r="G45" s="467"/>
      <c r="H45" s="467"/>
      <c r="I45" s="467"/>
      <c r="J45" s="467"/>
      <c r="V45" s="459"/>
    </row>
    <row r="46" spans="2:22" s="456" customFormat="1" ht="34.950000000000003" customHeight="1" thickBot="1">
      <c r="B46" s="651" t="s">
        <v>903</v>
      </c>
      <c r="C46" s="652">
        <f>SUM(C41:C45)</f>
        <v>20</v>
      </c>
      <c r="D46" s="653">
        <f>IFERROR(AVERAGE(D41:D45),0)</f>
        <v>0</v>
      </c>
      <c r="E46" s="653">
        <f>IFERROR(AVERAGE(E41:E45),0)</f>
        <v>0.26017727886148939</v>
      </c>
      <c r="F46" s="653">
        <f>IFERROR(AVERAGE(F41:F45),0)</f>
        <v>0.23136009468114729</v>
      </c>
      <c r="G46" s="470"/>
      <c r="H46" s="467"/>
      <c r="I46" s="467"/>
      <c r="J46" s="467"/>
      <c r="V46" s="459"/>
    </row>
    <row r="47" spans="2:22" s="456" customFormat="1">
      <c r="B47" s="464" t="s">
        <v>730</v>
      </c>
      <c r="C47" s="465">
        <f>+'Rango indicadores'!D115</f>
        <v>20</v>
      </c>
      <c r="D47" s="466" t="str">
        <f>IF(AND('2.Infor Detallado Desempeño POA'!AC77&gt;0),'2.Infor Detallado Desempeño POA'!AC77,"No Programado")</f>
        <v>No Programado</v>
      </c>
      <c r="E47" s="466">
        <f>IF(AND('2.Infor Detallado Desempeño POA'!AD77&gt;0),'2.Infor Detallado Desempeño POA'!AD77,"No Programado")</f>
        <v>0.31407964878567507</v>
      </c>
      <c r="F47" s="466">
        <f>IF(AND('2.Infor Detallado Desempeño POA'!AE77&gt;0),'2.Infor Detallado Desempeño POA'!AE77,"No Programado")</f>
        <v>0.22884414267217554</v>
      </c>
      <c r="G47" s="467"/>
      <c r="H47" s="467"/>
      <c r="I47" s="467"/>
      <c r="J47" s="467"/>
      <c r="V47" s="459"/>
    </row>
    <row r="48" spans="2:22" s="456" customFormat="1">
      <c r="B48" s="468" t="s">
        <v>865</v>
      </c>
      <c r="C48" s="465">
        <f>+'Rango indicadores'!D116</f>
        <v>7</v>
      </c>
      <c r="D48" s="466" t="str">
        <f>IF(AND('2.Infor Detallado Desempeño POA'!AC89&gt;0),'2.Infor Detallado Desempeño POA'!AC89,"No Programado")</f>
        <v>No Programado</v>
      </c>
      <c r="E48" s="466">
        <f>IF(AND('2.Infor Detallado Desempeño POA'!AD89&gt;0),'2.Infor Detallado Desempeño POA'!AD89,"No Programado")</f>
        <v>0.14506899002524326</v>
      </c>
      <c r="F48" s="466">
        <f>IF(AND('2.Infor Detallado Desempeño POA'!AE89&gt;0),'2.Infor Detallado Desempeño POA'!AE89,"No Programado")</f>
        <v>0.11701830507800658</v>
      </c>
      <c r="G48" s="467"/>
      <c r="H48" s="467"/>
      <c r="I48" s="467"/>
      <c r="J48" s="467"/>
      <c r="V48" s="459"/>
    </row>
    <row r="49" spans="2:22" s="456" customFormat="1" ht="15.6" thickBot="1">
      <c r="B49" s="469" t="s">
        <v>733</v>
      </c>
      <c r="C49" s="465">
        <f>+'Rango indicadores'!D117</f>
        <v>8</v>
      </c>
      <c r="D49" s="466" t="str">
        <f>IF(AND('2.Infor Detallado Desempeño POA'!AC102&gt;0),'2.Infor Detallado Desempeño POA'!AC102,"No Programado")</f>
        <v>No Programado</v>
      </c>
      <c r="E49" s="466">
        <f>IF(AND('2.Infor Detallado Desempeño POA'!AD102&gt;0),'2.Infor Detallado Desempeño POA'!AD102,"No Programado")</f>
        <v>0.20039110589462703</v>
      </c>
      <c r="F49" s="466">
        <f>IF(AND('2.Infor Detallado Desempeño POA'!AE102&gt;0),'2.Infor Detallado Desempeño POA'!AE102,"No Programado")</f>
        <v>0.15908333333333333</v>
      </c>
      <c r="G49" s="467"/>
      <c r="H49" s="467"/>
      <c r="I49" s="467"/>
      <c r="J49" s="467"/>
      <c r="V49" s="459"/>
    </row>
    <row r="50" spans="2:22" s="456" customFormat="1" ht="34.950000000000003" customHeight="1" thickBot="1">
      <c r="B50" s="651" t="s">
        <v>904</v>
      </c>
      <c r="C50" s="652">
        <f>SUM(C47:C49)</f>
        <v>35</v>
      </c>
      <c r="D50" s="653">
        <f>IFERROR(AVERAGE(D47:D49),0)</f>
        <v>0</v>
      </c>
      <c r="E50" s="653">
        <f>IFERROR(AVERAGE(E47:E49),0)</f>
        <v>0.21984658156851511</v>
      </c>
      <c r="F50" s="653">
        <f>IFERROR(AVERAGE(F47:F49),0)</f>
        <v>0.16831526036117181</v>
      </c>
      <c r="G50" s="470"/>
      <c r="H50" s="467"/>
      <c r="I50" s="467"/>
      <c r="J50" s="467"/>
      <c r="V50" s="459"/>
    </row>
    <row r="51" spans="2:22" s="456" customFormat="1">
      <c r="B51" s="464" t="s">
        <v>734</v>
      </c>
      <c r="C51" s="465">
        <f>+'Rango indicadores'!D118</f>
        <v>8</v>
      </c>
      <c r="D51" s="466" t="str">
        <f>IF(AND('2.Infor Detallado Desempeño POA'!AC115&gt;0),'2.Infor Detallado Desempeño POA'!AC115,"No Programado")</f>
        <v>No Programado</v>
      </c>
      <c r="E51" s="466">
        <f>IF(AND('2.Infor Detallado Desempeño POA'!AD115&gt;0),'2.Infor Detallado Desempeño POA'!AD115,"No Programado")</f>
        <v>0.43240590442860283</v>
      </c>
      <c r="F51" s="466">
        <f>IF(AND('2.Infor Detallado Desempeño POA'!AE115&gt;0),'2.Infor Detallado Desempeño POA'!AE115,"No Programado")</f>
        <v>0.33756116071428571</v>
      </c>
      <c r="G51" s="467"/>
      <c r="H51" s="467"/>
      <c r="I51" s="467"/>
      <c r="J51" s="467"/>
      <c r="V51" s="459"/>
    </row>
    <row r="52" spans="2:22" s="456" customFormat="1">
      <c r="B52" s="468" t="s">
        <v>735</v>
      </c>
      <c r="C52" s="465">
        <f>+'Rango indicadores'!D119</f>
        <v>2</v>
      </c>
      <c r="D52" s="466" t="str">
        <f>IF(AND('2.Infor Detallado Desempeño POA'!AC122),'2.Infor Detallado Desempeño POA'!AC122,"No Programado")</f>
        <v>No Programado</v>
      </c>
      <c r="E52" s="466">
        <f>IF(AND('2.Infor Detallado Desempeño POA'!AD122),'2.Infor Detallado Desempeño POA'!AD122,"No Programado")</f>
        <v>0.35435280641466205</v>
      </c>
      <c r="F52" s="466">
        <f>IF(AND('2.Infor Detallado Desempeño POA'!AE122),'2.Infor Detallado Desempeño POA'!AE122,"No Programado")</f>
        <v>0.35412886597938142</v>
      </c>
      <c r="G52" s="467"/>
      <c r="H52" s="467"/>
      <c r="I52" s="467"/>
      <c r="J52" s="467"/>
      <c r="V52" s="459"/>
    </row>
    <row r="53" spans="2:22" s="456" customFormat="1">
      <c r="B53" s="468" t="s">
        <v>736</v>
      </c>
      <c r="C53" s="465">
        <f>+'Rango indicadores'!D120</f>
        <v>3</v>
      </c>
      <c r="D53" s="466" t="str">
        <f>IF(AND('2.Infor Detallado Desempeño POA'!AC130&gt;0),'2.Infor Detallado Desempeño POA'!AC130,"No Programado")</f>
        <v>No Programado</v>
      </c>
      <c r="E53" s="466">
        <f>IF(AND('2.Infor Detallado Desempeño POA'!AD130&gt;0),'2.Infor Detallado Desempeño POA'!AD130,"No Programado")</f>
        <v>0.3073267622461171</v>
      </c>
      <c r="F53" s="466">
        <f>IF(AND('2.Infor Detallado Desempeño POA'!AE130&gt;0),'2.Infor Detallado Desempeño POA'!AE130,"No Programado")</f>
        <v>0.22459649122807021</v>
      </c>
      <c r="G53" s="467"/>
      <c r="H53" s="467"/>
      <c r="I53" s="467"/>
      <c r="J53" s="467"/>
      <c r="V53" s="459"/>
    </row>
    <row r="54" spans="2:22" s="456" customFormat="1">
      <c r="B54" s="468" t="s">
        <v>737</v>
      </c>
      <c r="C54" s="465">
        <f>+'Rango indicadores'!D121</f>
        <v>4</v>
      </c>
      <c r="D54" s="466" t="str">
        <f>IF(AND('2.Infor Detallado Desempeño POA'!AC139&gt;0),'2.Infor Detallado Desempeño POA'!AC139,"No Programado")</f>
        <v>No Programado</v>
      </c>
      <c r="E54" s="466">
        <f>IF(AND('2.Infor Detallado Desempeño POA'!AD139&gt;0),'2.Infor Detallado Desempeño POA'!AD139,"No Programado")</f>
        <v>0.71249999999999991</v>
      </c>
      <c r="F54" s="466">
        <f>IF(AND('2.Infor Detallado Desempeño POA'!AE139&gt;0),'2.Infor Detallado Desempeño POA'!AE139,"No Programado")</f>
        <v>0.39124999999999999</v>
      </c>
      <c r="G54" s="467"/>
      <c r="H54" s="467"/>
      <c r="I54" s="467"/>
      <c r="J54" s="467"/>
      <c r="V54" s="459"/>
    </row>
    <row r="55" spans="2:22" s="456" customFormat="1">
      <c r="B55" s="468" t="s">
        <v>738</v>
      </c>
      <c r="C55" s="465">
        <f>+'Rango indicadores'!D122</f>
        <v>4</v>
      </c>
      <c r="D55" s="466" t="str">
        <f>IF(AND('2.Infor Detallado Desempeño POA'!AC148&gt;0),'2.Infor Detallado Desempeño POA'!AC148,"No Programado")</f>
        <v>No Programado</v>
      </c>
      <c r="E55" s="466">
        <f>IF(AND('2.Infor Detallado Desempeño POA'!AD148&gt;0),'2.Infor Detallado Desempeño POA'!AD148,"No Programado")</f>
        <v>0.32234137426900578</v>
      </c>
      <c r="F55" s="466">
        <f>IF(AND('2.Infor Detallado Desempeño POA'!AE148&gt;0),'2.Infor Detallado Desempeño POA'!AE148,"No Programado")</f>
        <v>0.28725328947368423</v>
      </c>
      <c r="G55" s="467"/>
      <c r="H55" s="467"/>
      <c r="I55" s="467"/>
      <c r="J55" s="467"/>
      <c r="V55" s="459"/>
    </row>
    <row r="56" spans="2:22" s="456" customFormat="1" ht="15.6" thickBot="1">
      <c r="B56" s="469" t="s">
        <v>739</v>
      </c>
      <c r="C56" s="465">
        <f>+'Rango indicadores'!D123</f>
        <v>5</v>
      </c>
      <c r="D56" s="466" t="str">
        <f>IF(AND('2.Infor Detallado Desempeño POA'!AC158&gt;0),'2.Infor Detallado Desempeño POA'!AC158,"No Programado")</f>
        <v>No Programado</v>
      </c>
      <c r="E56" s="466">
        <f>IF(AND('2.Infor Detallado Desempeño POA'!AD158&gt;0),'2.Infor Detallado Desempeño POA'!AD158,"No Programado")</f>
        <v>0.33333333333333331</v>
      </c>
      <c r="F56" s="466">
        <f>IF(AND('2.Infor Detallado Desempeño POA'!AE158&gt;0),'2.Infor Detallado Desempeño POA'!AE158,"No Programado")</f>
        <v>0.33300000000000002</v>
      </c>
      <c r="G56" s="467"/>
      <c r="H56" s="467"/>
      <c r="I56" s="467"/>
      <c r="J56" s="467"/>
      <c r="V56" s="459"/>
    </row>
    <row r="57" spans="2:22" s="456" customFormat="1" ht="34.950000000000003" customHeight="1" thickBot="1">
      <c r="B57" s="651" t="s">
        <v>905</v>
      </c>
      <c r="C57" s="652">
        <f>SUM(C51:C56)</f>
        <v>26</v>
      </c>
      <c r="D57" s="653">
        <f>IFERROR(AVERAGE(D51:D56),0)</f>
        <v>0</v>
      </c>
      <c r="E57" s="653">
        <f>IFERROR(AVERAGE(E51:E56),0)</f>
        <v>0.41037669678195354</v>
      </c>
      <c r="F57" s="653">
        <f>IFERROR(AVERAGE(F51:F56),0)</f>
        <v>0.32129830123257025</v>
      </c>
      <c r="G57" s="470"/>
      <c r="H57" s="467"/>
      <c r="I57" s="467"/>
      <c r="J57" s="467"/>
      <c r="V57" s="459"/>
    </row>
    <row r="58" spans="2:22" s="456" customFormat="1">
      <c r="B58" s="468" t="s">
        <v>741</v>
      </c>
      <c r="C58" s="465">
        <f>+'Rango indicadores'!D125</f>
        <v>3</v>
      </c>
      <c r="D58" s="466" t="str">
        <f>IF(AND('2.Infor Detallado Desempeño POA'!AC166&gt;0),'2.Infor Detallado Desempeño POA'!AC166,"No Programado")</f>
        <v>No Programado</v>
      </c>
      <c r="E58" s="466">
        <f>IF(AND('2.Infor Detallado Desempeño POA'!AD166&gt;0),'2.Infor Detallado Desempeño POA'!AD166,"No Programado")</f>
        <v>0.66863007585899148</v>
      </c>
      <c r="F58" s="466">
        <f>IF(AND('2.Infor Detallado Desempeño POA'!AE166&gt;0),'2.Infor Detallado Desempeño POA'!AE166,"No Programado")</f>
        <v>0.51666666666666672</v>
      </c>
      <c r="G58" s="467"/>
      <c r="H58" s="467"/>
      <c r="I58" s="467"/>
      <c r="J58" s="467"/>
      <c r="V58" s="459"/>
    </row>
    <row r="59" spans="2:22" s="456" customFormat="1" ht="15.6" thickBot="1">
      <c r="B59" s="553" t="s">
        <v>742</v>
      </c>
      <c r="C59" s="554">
        <f>+'Rango indicadores'!D126</f>
        <v>3</v>
      </c>
      <c r="D59" s="466" t="str">
        <f>IF(AND('2.Infor Detallado Desempeño POA'!AC174&gt;0),'2.Infor Detallado Desempeño POA'!AC174,"No Programado")</f>
        <v>No Programado</v>
      </c>
      <c r="E59" s="466">
        <f>IF(AND('2.Infor Detallado Desempeño POA'!AD174&gt;0),'2.Infor Detallado Desempeño POA'!AD174,"No Programado")</f>
        <v>0.18617021276595741</v>
      </c>
      <c r="F59" s="466">
        <f>IF(AND('2.Infor Detallado Desempeño POA'!AE174&gt;0),'2.Infor Detallado Desempeño POA'!AE174,"No Programado")</f>
        <v>0.11666666666666665</v>
      </c>
      <c r="G59" s="467"/>
      <c r="H59" s="467"/>
      <c r="I59" s="467"/>
      <c r="J59" s="467"/>
      <c r="V59" s="459"/>
    </row>
    <row r="60" spans="2:22" s="456" customFormat="1" ht="46.95" customHeight="1" thickBot="1">
      <c r="B60" s="654" t="s">
        <v>866</v>
      </c>
      <c r="C60" s="652">
        <f>SUM(C58:C59)</f>
        <v>6</v>
      </c>
      <c r="D60" s="653">
        <f>IFERROR(AVERAGE(D58:D59),0)</f>
        <v>0</v>
      </c>
      <c r="E60" s="653">
        <f>IFERROR(AVERAGE(E58:E59),0)</f>
        <v>0.42740014431247442</v>
      </c>
      <c r="F60" s="653">
        <f>IFERROR(AVERAGE(F58:F59),0)</f>
        <v>0.31666666666666671</v>
      </c>
      <c r="G60" s="470"/>
      <c r="H60" s="467"/>
      <c r="I60" s="467"/>
      <c r="J60" s="467"/>
      <c r="V60" s="459"/>
    </row>
    <row r="61" spans="2:22" s="644" customFormat="1" ht="6" customHeight="1">
      <c r="B61" s="646"/>
      <c r="C61" s="647"/>
      <c r="D61" s="642"/>
      <c r="E61" s="642"/>
      <c r="F61" s="642"/>
      <c r="G61" s="642"/>
      <c r="H61" s="643"/>
      <c r="I61" s="643"/>
      <c r="J61" s="643"/>
      <c r="V61" s="645"/>
    </row>
    <row r="62" spans="2:22" ht="15" customHeight="1">
      <c r="B62" s="630" t="s">
        <v>931</v>
      </c>
      <c r="C62" s="641">
        <f>+C60+C57+C50+C46</f>
        <v>87</v>
      </c>
      <c r="D62" s="634">
        <f>AVERAGE(D46,D50,D57,D60)</f>
        <v>0</v>
      </c>
      <c r="E62" s="634">
        <f>AVERAGE(E46,E50,E57,E60)</f>
        <v>0.3294501753811081</v>
      </c>
      <c r="F62" s="634">
        <f>AVERAGE(F46,F50,F57,F60)</f>
        <v>0.25941008073538901</v>
      </c>
      <c r="G62" s="674"/>
    </row>
    <row r="63" spans="2:22" ht="15" customHeight="1"/>
    <row r="64" spans="2:22" ht="15" customHeight="1">
      <c r="D64" s="660"/>
    </row>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row r="85"/>
    <row r="86"/>
    <row r="87"/>
    <row r="88"/>
    <row r="89"/>
    <row r="90"/>
    <row r="91"/>
    <row r="92"/>
    <row r="93"/>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sheetData>
  <mergeCells count="11">
    <mergeCell ref="B38:B39"/>
    <mergeCell ref="C38:C39"/>
    <mergeCell ref="D38:F38"/>
    <mergeCell ref="B40:F40"/>
    <mergeCell ref="B2:B3"/>
    <mergeCell ref="C2:H2"/>
    <mergeCell ref="C3:H3"/>
    <mergeCell ref="D4:H4"/>
    <mergeCell ref="B28:B29"/>
    <mergeCell ref="C28:C29"/>
    <mergeCell ref="D28:F28"/>
  </mergeCells>
  <conditionalFormatting sqref="D41:F45 D47:F49 D51:F56 D58:F59">
    <cfRule type="cellIs" dxfId="943" priority="1" operator="equal">
      <formula>"No Programado"</formula>
    </cfRule>
    <cfRule type="cellIs" dxfId="942" priority="2" operator="lessThanOrEqual">
      <formula>0.6</formula>
    </cfRule>
    <cfRule type="cellIs" dxfId="941" priority="3" operator="between">
      <formula>0.6</formula>
      <formula>0.899999999999999</formula>
    </cfRule>
    <cfRule type="cellIs" dxfId="940" priority="4" operator="greaterThan">
      <formula>1</formula>
    </cfRule>
    <cfRule type="cellIs" dxfId="939" priority="5" operator="between">
      <formula>0.9</formula>
      <formula>1</formula>
    </cfRule>
  </conditionalFormatting>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C768A-941F-43A9-B2B7-F769F295165F}">
  <sheetPr>
    <tabColor rgb="FF0070C0"/>
  </sheetPr>
  <dimension ref="B1:R84"/>
  <sheetViews>
    <sheetView showGridLines="0" topLeftCell="C1" workbookViewId="0">
      <selection activeCell="K30" sqref="K30"/>
    </sheetView>
  </sheetViews>
  <sheetFormatPr baseColWidth="10" defaultColWidth="11.44140625" defaultRowHeight="15"/>
  <cols>
    <col min="1" max="1" width="3.6640625" style="517" customWidth="1"/>
    <col min="2" max="2" width="52.44140625" style="517" customWidth="1"/>
    <col min="3" max="5" width="18.44140625" style="519" customWidth="1"/>
    <col min="6" max="7" width="18.44140625" style="517" customWidth="1"/>
    <col min="8" max="8" width="6.109375" style="519" hidden="1" customWidth="1"/>
    <col min="9" max="9" width="11.44140625" style="517" hidden="1" customWidth="1"/>
    <col min="10" max="16" width="11.44140625" style="517"/>
    <col min="17" max="17" width="62.44140625" style="517" bestFit="1" customWidth="1"/>
    <col min="18" max="18" width="40" style="517" customWidth="1"/>
    <col min="19" max="16356" width="11.44140625" style="517"/>
    <col min="16357" max="16357" width="1.44140625" style="517" customWidth="1"/>
    <col min="16358" max="16384" width="2.88671875" style="517" customWidth="1"/>
  </cols>
  <sheetData>
    <row r="1" spans="2:18">
      <c r="C1" s="518"/>
      <c r="D1" s="518"/>
      <c r="E1" s="518"/>
    </row>
    <row r="2" spans="2:18" ht="15.6">
      <c r="B2" s="1395" t="s">
        <v>891</v>
      </c>
      <c r="C2" s="1396" t="s">
        <v>896</v>
      </c>
      <c r="D2" s="1397"/>
      <c r="E2" s="1397"/>
      <c r="F2" s="1397"/>
      <c r="G2" s="1398"/>
      <c r="H2" s="566"/>
    </row>
    <row r="3" spans="2:18" ht="17.399999999999999">
      <c r="B3" s="1395"/>
      <c r="C3" s="1399" t="str">
        <f>+'3.Resum Desemp Procesos POA T1'!C3</f>
        <v>PLAN OPERATIVO ANUAL 2022</v>
      </c>
      <c r="D3" s="1400"/>
      <c r="E3" s="1400"/>
      <c r="F3" s="1400"/>
      <c r="G3" s="1401"/>
      <c r="H3" s="566"/>
    </row>
    <row r="4" spans="2:18" ht="9.75" customHeight="1">
      <c r="B4" s="1410"/>
      <c r="C4" s="1410"/>
      <c r="D4" s="1410"/>
      <c r="E4" s="1410"/>
      <c r="F4" s="1410"/>
      <c r="G4" s="1078"/>
      <c r="H4" s="539"/>
    </row>
    <row r="5" spans="2:18" ht="19.5" customHeight="1">
      <c r="B5" s="1094" t="str">
        <f>+'3.Resum Desemp Procesos POA T1'!B5</f>
        <v xml:space="preserve">Fecha de corte: </v>
      </c>
      <c r="C5" s="1089">
        <f>+'3.Resum Desemp Procesos POA T1'!C5</f>
        <v>44651</v>
      </c>
    </row>
    <row r="6" spans="2:18" ht="19.5" customHeight="1">
      <c r="B6" s="520"/>
    </row>
    <row r="7" spans="2:18" s="529" customFormat="1" ht="31.5" customHeight="1">
      <c r="B7" s="1359" t="s">
        <v>718</v>
      </c>
      <c r="C7" s="1411" t="s">
        <v>1165</v>
      </c>
      <c r="D7" s="1412"/>
      <c r="E7" s="1412"/>
      <c r="F7" s="1412"/>
      <c r="G7" s="1413"/>
      <c r="H7" s="530"/>
      <c r="Q7" s="517"/>
      <c r="R7" s="517"/>
    </row>
    <row r="8" spans="2:18" s="529" customFormat="1" ht="74.400000000000006" customHeight="1">
      <c r="B8" s="1359"/>
      <c r="C8" s="613" t="s">
        <v>897</v>
      </c>
      <c r="D8" s="613" t="s">
        <v>898</v>
      </c>
      <c r="E8" s="613" t="s">
        <v>899</v>
      </c>
      <c r="F8" s="613" t="s">
        <v>906</v>
      </c>
      <c r="G8" s="571" t="s">
        <v>925</v>
      </c>
      <c r="H8" s="530"/>
      <c r="Q8" s="517"/>
      <c r="R8" s="517"/>
    </row>
    <row r="9" spans="2:18">
      <c r="B9" s="522" t="s">
        <v>725</v>
      </c>
      <c r="C9" s="618">
        <f>+'4.Segto Medición POA 2022 T4'!C64</f>
        <v>4</v>
      </c>
      <c r="D9" s="542">
        <f>COUNTIF('2.Infor Detallado Desempeño POA'!K12:K15,"=100%")</f>
        <v>4</v>
      </c>
      <c r="E9" s="543">
        <f>COUNTIF('2.Infor Detallado Desempeño POA'!K12:K15,"&gt;100%")</f>
        <v>0</v>
      </c>
      <c r="F9" s="616">
        <f>COUNTIF('2.Infor Detallado Desempeño POA'!K12:K15,"&lt;100%")</f>
        <v>0</v>
      </c>
      <c r="G9" s="614">
        <f>COUNTIF('2.Infor Detallado Desempeño POA'!K12:K15,"=No programado")</f>
        <v>0</v>
      </c>
      <c r="H9" s="540">
        <f>SUM(D9:G9)</f>
        <v>4</v>
      </c>
      <c r="I9" s="541">
        <f t="shared" ref="I9:I25" si="0">C9-H9</f>
        <v>0</v>
      </c>
    </row>
    <row r="10" spans="2:18">
      <c r="B10" s="522" t="s">
        <v>727</v>
      </c>
      <c r="C10" s="618">
        <f>+'4.Segto Medición POA 2022 T4'!C65</f>
        <v>4</v>
      </c>
      <c r="D10" s="542">
        <f>COUNTIF('2.Infor Detallado Desempeño POA'!K21:K24,"=100%")</f>
        <v>0</v>
      </c>
      <c r="E10" s="543">
        <f>COUNTIF('2.Infor Detallado Desempeño POA'!K21:K24,"&gt;100%")</f>
        <v>1</v>
      </c>
      <c r="F10" s="616">
        <f>COUNTIF('2.Infor Detallado Desempeño POA'!K21:K24,"&lt;100%")</f>
        <v>0</v>
      </c>
      <c r="G10" s="614">
        <f>COUNTIF('2.Infor Detallado Desempeño POA'!K21:K24,"=No programado")</f>
        <v>3</v>
      </c>
      <c r="H10" s="540">
        <f t="shared" ref="H10:H24" si="1">SUM(D10:G10)</f>
        <v>4</v>
      </c>
      <c r="I10" s="541">
        <f t="shared" si="0"/>
        <v>0</v>
      </c>
    </row>
    <row r="11" spans="2:18">
      <c r="B11" s="522" t="s">
        <v>728</v>
      </c>
      <c r="C11" s="618">
        <f>+'4.Segto Medición POA 2022 T4'!C66</f>
        <v>7</v>
      </c>
      <c r="D11" s="542">
        <f>COUNTIF('2.Infor Detallado Desempeño POA'!K30:K36,"=100%")</f>
        <v>7</v>
      </c>
      <c r="E11" s="543">
        <f>COUNTIF('2.Infor Detallado Desempeño POA'!K30:K36,"&gt;100%")</f>
        <v>0</v>
      </c>
      <c r="F11" s="616">
        <f>COUNTIF('2.Infor Detallado Desempeño POA'!K30:K36,"&lt;100%")</f>
        <v>0</v>
      </c>
      <c r="G11" s="614">
        <f>COUNTIF('2.Infor Detallado Desempeño POA'!K30:K36,"=No programado")</f>
        <v>0</v>
      </c>
      <c r="H11" s="540">
        <f t="shared" si="1"/>
        <v>7</v>
      </c>
      <c r="I11" s="541">
        <f t="shared" si="0"/>
        <v>0</v>
      </c>
    </row>
    <row r="12" spans="2:18">
      <c r="B12" s="522" t="s">
        <v>729</v>
      </c>
      <c r="C12" s="618">
        <f>+'4.Segto Medición POA 2022 T4'!C67</f>
        <v>2</v>
      </c>
      <c r="D12" s="542">
        <f>COUNTIF('2.Infor Detallado Desempeño POA'!K42:K43,"=100%")</f>
        <v>2</v>
      </c>
      <c r="E12" s="543">
        <f>COUNTIF('2.Infor Detallado Desempeño POA'!K42:K43,"&gt;100%")</f>
        <v>0</v>
      </c>
      <c r="F12" s="616">
        <f>COUNTIF('2.Infor Detallado Desempeño POA'!K42:K43,"&lt;100%")</f>
        <v>0</v>
      </c>
      <c r="G12" s="614">
        <f>COUNTIF('2.Infor Detallado Desempeño POA'!K42:K43,"=No programado")</f>
        <v>0</v>
      </c>
      <c r="H12" s="540">
        <f>SUM(D12:G12)</f>
        <v>2</v>
      </c>
      <c r="I12" s="541">
        <f t="shared" si="0"/>
        <v>0</v>
      </c>
    </row>
    <row r="13" spans="2:18">
      <c r="B13" s="522" t="s">
        <v>740</v>
      </c>
      <c r="C13" s="618">
        <f>+'4.Segto Medición POA 2022 T4'!C68</f>
        <v>3</v>
      </c>
      <c r="D13" s="542">
        <f>COUNTIF('2.Infor Detallado Desempeño POA'!K49:K51,"=100%")</f>
        <v>1</v>
      </c>
      <c r="E13" s="543">
        <f>COUNTIF('2.Infor Detallado Desempeño POA'!K49:K51,"&gt;100%")</f>
        <v>1</v>
      </c>
      <c r="F13" s="616">
        <f>COUNTIF('2.Infor Detallado Desempeño POA'!K49:K51,"&lt;100%")</f>
        <v>0</v>
      </c>
      <c r="G13" s="614">
        <f>COUNTIF('2.Infor Detallado Desempeño POA'!K49:K51,"=No programado")</f>
        <v>1</v>
      </c>
      <c r="H13" s="540">
        <f t="shared" si="1"/>
        <v>3</v>
      </c>
      <c r="I13" s="541">
        <f t="shared" si="0"/>
        <v>0</v>
      </c>
    </row>
    <row r="14" spans="2:18">
      <c r="B14" s="522" t="s">
        <v>730</v>
      </c>
      <c r="C14" s="618">
        <f>+'4.Segto Medición POA 2022 T4'!C69</f>
        <v>20</v>
      </c>
      <c r="D14" s="542">
        <f>COUNTIF('2.Infor Detallado Desempeño POA'!K57:K76,"=100%")</f>
        <v>0</v>
      </c>
      <c r="E14" s="543">
        <f>COUNTIF('2.Infor Detallado Desempeño POA'!K57:K76,"&gt;100%")</f>
        <v>11</v>
      </c>
      <c r="F14" s="616">
        <f>COUNTIF('2.Infor Detallado Desempeño POA'!K57:K76,"&lt;100%")</f>
        <v>5</v>
      </c>
      <c r="G14" s="614">
        <f>COUNTIF('2.Infor Detallado Desempeño POA'!K57:K76,"=No programado")</f>
        <v>4</v>
      </c>
      <c r="H14" s="540">
        <f t="shared" si="1"/>
        <v>20</v>
      </c>
      <c r="I14" s="541">
        <f t="shared" si="0"/>
        <v>0</v>
      </c>
    </row>
    <row r="15" spans="2:18">
      <c r="B15" s="522" t="s">
        <v>865</v>
      </c>
      <c r="C15" s="618">
        <f>+'4.Segto Medición POA 2022 T4'!C70</f>
        <v>7</v>
      </c>
      <c r="D15" s="542">
        <f>COUNTIF('2.Infor Detallado Desempeño POA'!K82:K88,"=100%")</f>
        <v>0</v>
      </c>
      <c r="E15" s="543">
        <f>COUNTIF('2.Infor Detallado Desempeño POA'!K82:K88,"&gt;100%")</f>
        <v>3</v>
      </c>
      <c r="F15" s="616">
        <f>COUNTIF('2.Infor Detallado Desempeño POA'!K82:K88,"&lt;100%")</f>
        <v>2</v>
      </c>
      <c r="G15" s="614">
        <f>COUNTIF('2.Infor Detallado Desempeño POA'!K82:K88,"=No programado")</f>
        <v>2</v>
      </c>
      <c r="H15" s="540">
        <f t="shared" si="1"/>
        <v>7</v>
      </c>
      <c r="I15" s="541">
        <f t="shared" si="0"/>
        <v>0</v>
      </c>
    </row>
    <row r="16" spans="2:18">
      <c r="B16" s="522" t="s">
        <v>733</v>
      </c>
      <c r="C16" s="618">
        <f>+'4.Segto Medición POA 2022 T4'!C71</f>
        <v>8</v>
      </c>
      <c r="D16" s="542">
        <f>COUNTIF('2.Infor Detallado Desempeño POA'!K94:K101,"=100%")</f>
        <v>3</v>
      </c>
      <c r="E16" s="543">
        <f>COUNTIF('2.Infor Detallado Desempeño POA'!K94:K101,"&gt;100%")</f>
        <v>1</v>
      </c>
      <c r="F16" s="616">
        <f>COUNTIF('2.Infor Detallado Desempeño POA'!K94:K101,"&lt;100%")</f>
        <v>2</v>
      </c>
      <c r="G16" s="614">
        <f>COUNTIF('2.Infor Detallado Desempeño POA'!K94:K101,"=No programado")</f>
        <v>2</v>
      </c>
      <c r="H16" s="540">
        <f t="shared" si="1"/>
        <v>8</v>
      </c>
      <c r="I16" s="541">
        <f t="shared" si="0"/>
        <v>0</v>
      </c>
    </row>
    <row r="17" spans="2:9">
      <c r="B17" s="522" t="s">
        <v>734</v>
      </c>
      <c r="C17" s="618">
        <f>+'4.Segto Medición POA 2022 T4'!C72</f>
        <v>8</v>
      </c>
      <c r="D17" s="542">
        <f>COUNTIF('2.Infor Detallado Desempeño POA'!K107:K114,"=100%")</f>
        <v>6</v>
      </c>
      <c r="E17" s="543">
        <f>COUNTIF('2.Infor Detallado Desempeño POA'!K107:K114,"&gt;100%")</f>
        <v>1</v>
      </c>
      <c r="F17" s="616">
        <f>COUNTIF('2.Infor Detallado Desempeño POA'!K107:K114,"&lt;100%")</f>
        <v>1</v>
      </c>
      <c r="G17" s="614">
        <f>COUNTIF('2.Infor Detallado Desempeño POA'!K107:K114,"=No programado")</f>
        <v>0</v>
      </c>
      <c r="H17" s="540">
        <f t="shared" si="1"/>
        <v>8</v>
      </c>
      <c r="I17" s="541">
        <f t="shared" si="0"/>
        <v>0</v>
      </c>
    </row>
    <row r="18" spans="2:9" ht="16.5" customHeight="1">
      <c r="B18" s="522" t="s">
        <v>735</v>
      </c>
      <c r="C18" s="618">
        <f>+'4.Segto Medición POA 2022 T4'!C73</f>
        <v>2</v>
      </c>
      <c r="D18" s="542">
        <f>COUNTIF('2.Infor Detallado Desempeño POA'!K120:K121,"=100%")</f>
        <v>1</v>
      </c>
      <c r="E18" s="543">
        <f>COUNTIF('2.Infor Detallado Desempeño POA'!K120:K121,"&gt;100%")</f>
        <v>1</v>
      </c>
      <c r="F18" s="616">
        <f>COUNTIF('2.Infor Detallado Desempeño POA'!K120:K121,"&lt;100%")</f>
        <v>0</v>
      </c>
      <c r="G18" s="614">
        <f>COUNTIF('2.Infor Detallado Desempeño POA'!K120:K121,"=No programado")</f>
        <v>0</v>
      </c>
      <c r="H18" s="540">
        <f t="shared" si="1"/>
        <v>2</v>
      </c>
      <c r="I18" s="541">
        <f t="shared" si="0"/>
        <v>0</v>
      </c>
    </row>
    <row r="19" spans="2:9">
      <c r="B19" s="522" t="s">
        <v>736</v>
      </c>
      <c r="C19" s="618">
        <f>+'4.Segto Medición POA 2022 T4'!C74</f>
        <v>3</v>
      </c>
      <c r="D19" s="542">
        <f>COUNTIF('2.Infor Detallado Desempeño POA'!K127:K129,"=100%")</f>
        <v>1</v>
      </c>
      <c r="E19" s="543">
        <f>COUNTIF('2.Infor Detallado Desempeño POA'!K127:K129,"&gt;100%")</f>
        <v>1</v>
      </c>
      <c r="F19" s="616">
        <f>COUNTIF('2.Infor Detallado Desempeño POA'!K127:K129,"&lt;100%")</f>
        <v>1</v>
      </c>
      <c r="G19" s="614">
        <f>COUNTIF('2.Infor Detallado Desempeño POA'!K127:K129,"=No programado")</f>
        <v>0</v>
      </c>
      <c r="H19" s="540">
        <f t="shared" si="1"/>
        <v>3</v>
      </c>
      <c r="I19" s="541">
        <f t="shared" si="0"/>
        <v>0</v>
      </c>
    </row>
    <row r="20" spans="2:9">
      <c r="B20" s="522" t="s">
        <v>737</v>
      </c>
      <c r="C20" s="618">
        <f>+'4.Segto Medición POA 2022 T4'!C75</f>
        <v>4</v>
      </c>
      <c r="D20" s="542">
        <f>COUNTIF('2.Infor Detallado Desempeño POA'!K135:K138,"=100%")</f>
        <v>1</v>
      </c>
      <c r="E20" s="543">
        <f>COUNTIF('2.Infor Detallado Desempeño POA'!K135:K138,"&gt;100%")</f>
        <v>2</v>
      </c>
      <c r="F20" s="616">
        <f>COUNTIF('2.Infor Detallado Desempeño POA'!K135:K138,"&lt;100%")</f>
        <v>0</v>
      </c>
      <c r="G20" s="614">
        <f>COUNTIF('2.Infor Detallado Desempeño POA'!K135:K138,"=No programado")</f>
        <v>1</v>
      </c>
      <c r="H20" s="540">
        <f t="shared" si="1"/>
        <v>4</v>
      </c>
      <c r="I20" s="541">
        <f t="shared" si="0"/>
        <v>0</v>
      </c>
    </row>
    <row r="21" spans="2:9">
      <c r="B21" s="522" t="s">
        <v>738</v>
      </c>
      <c r="C21" s="618">
        <f>+'4.Segto Medición POA 2022 T4'!C76</f>
        <v>4</v>
      </c>
      <c r="D21" s="542">
        <f>COUNTIF('2.Infor Detallado Desempeño POA'!K144:K147,"=100%")</f>
        <v>1</v>
      </c>
      <c r="E21" s="543">
        <f>COUNTIF('2.Infor Detallado Desempeño POA'!K144:K147,"&gt;100%")</f>
        <v>3</v>
      </c>
      <c r="F21" s="616">
        <f>COUNTIF('2.Infor Detallado Desempeño POA'!K144:K147,"&lt;100%")</f>
        <v>0</v>
      </c>
      <c r="G21" s="614">
        <f>COUNTIF('2.Infor Detallado Desempeño POA'!K144:K147,"=No programado")</f>
        <v>0</v>
      </c>
      <c r="H21" s="540">
        <f t="shared" si="1"/>
        <v>4</v>
      </c>
      <c r="I21" s="541">
        <f t="shared" si="0"/>
        <v>0</v>
      </c>
    </row>
    <row r="22" spans="2:9">
      <c r="B22" s="522" t="s">
        <v>739</v>
      </c>
      <c r="C22" s="618">
        <f>+'4.Segto Medición POA 2022 T4'!C77</f>
        <v>5</v>
      </c>
      <c r="D22" s="542">
        <f>COUNTIF('2.Infor Detallado Desempeño POA'!K153:K157,"=100%")</f>
        <v>5</v>
      </c>
      <c r="E22" s="543">
        <f>COUNTIF('2.Infor Detallado Desempeño POA'!K153:K157,"&gt;100%")</f>
        <v>0</v>
      </c>
      <c r="F22" s="616">
        <f>COUNTIF('2.Infor Detallado Desempeño POA'!K153:K157,"&lt;100%")</f>
        <v>0</v>
      </c>
      <c r="G22" s="614">
        <f>COUNTIF('2.Infor Detallado Desempeño POA'!K153:K157,"=No programado")</f>
        <v>0</v>
      </c>
      <c r="H22" s="540">
        <f t="shared" si="1"/>
        <v>5</v>
      </c>
      <c r="I22" s="541">
        <f t="shared" si="0"/>
        <v>0</v>
      </c>
    </row>
    <row r="23" spans="2:9">
      <c r="B23" s="522" t="s">
        <v>741</v>
      </c>
      <c r="C23" s="618">
        <f>+'4.Segto Medición POA 2022 T4'!C78</f>
        <v>3</v>
      </c>
      <c r="D23" s="542">
        <f>COUNTIF('2.Infor Detallado Desempeño POA'!K163:K165,"=100%")</f>
        <v>0</v>
      </c>
      <c r="E23" s="543">
        <f>COUNTIF('2.Infor Detallado Desempeño POA'!K163:K165,"&gt;100%")</f>
        <v>2</v>
      </c>
      <c r="F23" s="616">
        <f>COUNTIF('2.Infor Detallado Desempeño POA'!K163:K165,"&lt;100%")</f>
        <v>0</v>
      </c>
      <c r="G23" s="614">
        <f>COUNTIF('2.Infor Detallado Desempeño POA'!K163:K165,"=No programado")</f>
        <v>1</v>
      </c>
      <c r="H23" s="540">
        <f t="shared" si="1"/>
        <v>3</v>
      </c>
      <c r="I23" s="541">
        <f t="shared" si="0"/>
        <v>0</v>
      </c>
    </row>
    <row r="24" spans="2:9">
      <c r="B24" s="522" t="s">
        <v>742</v>
      </c>
      <c r="C24" s="618">
        <f>+'4.Segto Medición POA 2022 T4'!C79</f>
        <v>3</v>
      </c>
      <c r="D24" s="542">
        <f>COUNTIF('2.Infor Detallado Desempeño POA'!K171:K173,"=100%")</f>
        <v>1</v>
      </c>
      <c r="E24" s="543">
        <f>COUNTIF('2.Infor Detallado Desempeño POA'!K171:K173,"&gt;100%")</f>
        <v>0</v>
      </c>
      <c r="F24" s="616">
        <f>COUNTIF('2.Infor Detallado Desempeño POA'!K171:K173,"&lt;100%")</f>
        <v>0</v>
      </c>
      <c r="G24" s="614">
        <f>COUNTIF('2.Infor Detallado Desempeño POA'!K171:K173,"=No programado")</f>
        <v>2</v>
      </c>
      <c r="H24" s="540">
        <f t="shared" si="1"/>
        <v>3</v>
      </c>
      <c r="I24" s="541">
        <f t="shared" si="0"/>
        <v>0</v>
      </c>
    </row>
    <row r="25" spans="2:9" ht="19.5" customHeight="1">
      <c r="B25" s="555" t="s">
        <v>895</v>
      </c>
      <c r="C25" s="556">
        <f>SUM(C9:C24)</f>
        <v>87</v>
      </c>
      <c r="D25" s="557">
        <f t="shared" ref="D25:E25" si="2">SUM(D9:D24)</f>
        <v>33</v>
      </c>
      <c r="E25" s="558">
        <f t="shared" si="2"/>
        <v>27</v>
      </c>
      <c r="F25" s="617">
        <f>SUM(F9:F24)</f>
        <v>11</v>
      </c>
      <c r="G25" s="615">
        <f>SUM(G9:G24)</f>
        <v>16</v>
      </c>
      <c r="H25" s="540">
        <f>SUM(D25:G25)</f>
        <v>87</v>
      </c>
      <c r="I25" s="541">
        <f t="shared" si="0"/>
        <v>0</v>
      </c>
    </row>
    <row r="27" spans="2:9" s="624" customFormat="1" ht="2.4" customHeight="1">
      <c r="C27" s="628"/>
      <c r="D27" s="920" t="str">
        <f>+D8</f>
        <v>No de Indicadores con Meta Cumplida según programación</v>
      </c>
      <c r="E27" s="921">
        <f>+D25</f>
        <v>33</v>
      </c>
      <c r="H27" s="625"/>
    </row>
    <row r="28" spans="2:9" s="624" customFormat="1" ht="2.4" customHeight="1">
      <c r="C28" s="628"/>
      <c r="D28" s="920" t="str">
        <f>+E8</f>
        <v xml:space="preserve">No de Indicadores con ejecución superior a la programada </v>
      </c>
      <c r="E28" s="921">
        <f>+E25</f>
        <v>27</v>
      </c>
      <c r="H28" s="625"/>
    </row>
    <row r="29" spans="2:9" s="624" customFormat="1" ht="2.4" customHeight="1">
      <c r="C29" s="628"/>
      <c r="D29" s="920" t="str">
        <f>+F8</f>
        <v xml:space="preserve">No de Indicadores con ejecución menor a la programada </v>
      </c>
      <c r="E29" s="921">
        <f>+F25</f>
        <v>11</v>
      </c>
      <c r="H29" s="625"/>
    </row>
    <row r="30" spans="2:9" s="624" customFormat="1" ht="2.4" customHeight="1">
      <c r="C30" s="628"/>
      <c r="D30" s="920" t="str">
        <f>+G8</f>
        <v>No de indicadores sin programar en el periodo</v>
      </c>
      <c r="E30" s="921">
        <f>+G25</f>
        <v>16</v>
      </c>
      <c r="H30" s="625"/>
    </row>
    <row r="31" spans="2:9" s="624" customFormat="1">
      <c r="C31" s="625"/>
      <c r="D31" s="625"/>
      <c r="E31" s="625"/>
      <c r="H31" s="625"/>
    </row>
    <row r="32" spans="2:9" s="624" customFormat="1">
      <c r="C32" s="625"/>
      <c r="D32" s="625"/>
      <c r="E32" s="625"/>
      <c r="H32" s="625"/>
    </row>
    <row r="33" spans="2:9" s="624" customFormat="1" hidden="1">
      <c r="C33" s="625"/>
      <c r="D33" s="625"/>
      <c r="E33" s="625"/>
      <c r="H33" s="625"/>
    </row>
    <row r="34" spans="2:9" s="627" customFormat="1" ht="10.199999999999999" hidden="1" customHeight="1">
      <c r="C34" s="628"/>
      <c r="D34" s="1409" t="str">
        <f>+C7</f>
        <v>CUMPLIMIENTO PROGRAMACIÓN EN EL PERIODO 
Primer Trimestre de 2022</v>
      </c>
      <c r="E34" s="1409"/>
      <c r="H34" s="628"/>
    </row>
    <row r="35" spans="2:9" s="627" customFormat="1" ht="28.2" customHeight="1">
      <c r="B35" s="1359" t="s">
        <v>718</v>
      </c>
      <c r="C35" s="1414" t="s">
        <v>1166</v>
      </c>
      <c r="D35" s="1415"/>
      <c r="E35" s="1415"/>
      <c r="F35" s="1415"/>
      <c r="G35" s="1416"/>
      <c r="H35" s="628"/>
    </row>
    <row r="36" spans="2:9" s="627" customFormat="1" ht="29.4" customHeight="1">
      <c r="B36" s="1359"/>
      <c r="C36" s="1090"/>
      <c r="D36" s="1092" t="s">
        <v>1167</v>
      </c>
      <c r="E36" s="1417">
        <f>C5</f>
        <v>44651</v>
      </c>
      <c r="F36" s="1417"/>
      <c r="G36" s="1091"/>
      <c r="H36" s="628"/>
    </row>
    <row r="37" spans="2:9" s="627" customFormat="1" ht="72.599999999999994" customHeight="1">
      <c r="B37" s="1359"/>
      <c r="C37" s="613" t="s">
        <v>897</v>
      </c>
      <c r="D37" s="613" t="s">
        <v>1168</v>
      </c>
      <c r="E37" s="613" t="s">
        <v>899</v>
      </c>
      <c r="F37" s="613" t="s">
        <v>906</v>
      </c>
      <c r="G37" s="571" t="s">
        <v>925</v>
      </c>
      <c r="H37" s="628"/>
    </row>
    <row r="38" spans="2:9" s="627" customFormat="1" ht="19.95" customHeight="1">
      <c r="B38" s="522" t="s">
        <v>725</v>
      </c>
      <c r="C38" s="618">
        <f>+C64</f>
        <v>4</v>
      </c>
      <c r="D38" s="542">
        <f>COUNTIF('2.Infor Detallado Desempeño POA'!L12:L15,"&gt;=99%")-COUNTIF('2.Infor Detallado Desempeño POA'!L12:L15,"&gt;100%")</f>
        <v>4</v>
      </c>
      <c r="E38" s="543">
        <f>COUNTIF('2.Infor Detallado Desempeño POA'!L12:L15,"&gt;100%")</f>
        <v>0</v>
      </c>
      <c r="F38" s="616">
        <f>COUNTIF('2.Infor Detallado Desempeño POA'!L12:L15,"&lt;99%")</f>
        <v>0</v>
      </c>
      <c r="G38" s="614">
        <f>COUNTIF('2.Infor Detallado Desempeño POA'!L12:L15,"=No programado")</f>
        <v>0</v>
      </c>
      <c r="H38" s="540">
        <f>SUM(D38:G38)</f>
        <v>4</v>
      </c>
      <c r="I38" s="541">
        <f t="shared" ref="I38:I54" si="3">C38-H38</f>
        <v>0</v>
      </c>
    </row>
    <row r="39" spans="2:9" s="627" customFormat="1" ht="19.95" customHeight="1">
      <c r="B39" s="522" t="s">
        <v>727</v>
      </c>
      <c r="C39" s="618">
        <f t="shared" ref="C39:C53" si="4">+C65</f>
        <v>4</v>
      </c>
      <c r="D39" s="542">
        <f>COUNTIF('2.Infor Detallado Desempeño POA'!L21:L24,"&gt;=99%")-COUNTIF('2.Infor Detallado Desempeño POA'!L21:L24,"&gt;100%")</f>
        <v>0</v>
      </c>
      <c r="E39" s="543">
        <f>COUNTIF('2.Infor Detallado Desempeño POA'!L21:L24,"&gt;100%")</f>
        <v>1</v>
      </c>
      <c r="F39" s="616">
        <f>COUNTIF('2.Infor Detallado Desempeño POA'!L24:L24,"&lt;99%")</f>
        <v>0</v>
      </c>
      <c r="G39" s="614">
        <f>COUNTIF('2.Infor Detallado Desempeño POA'!L21:L24,"=No programado")</f>
        <v>3</v>
      </c>
      <c r="H39" s="540">
        <f t="shared" ref="H39:H40" si="5">SUM(D39:G39)</f>
        <v>4</v>
      </c>
      <c r="I39" s="541">
        <f t="shared" si="3"/>
        <v>0</v>
      </c>
    </row>
    <row r="40" spans="2:9" s="627" customFormat="1" ht="19.95" customHeight="1">
      <c r="B40" s="522" t="s">
        <v>728</v>
      </c>
      <c r="C40" s="618">
        <f t="shared" si="4"/>
        <v>7</v>
      </c>
      <c r="D40" s="542">
        <f>COUNTIF('2.Infor Detallado Desempeño POA'!L30:L36,"&gt;=99%")-COUNTIF('2.Infor Detallado Desempeño POA'!L30:L36,"&gt;100%")</f>
        <v>7</v>
      </c>
      <c r="E40" s="543">
        <f>COUNTIF('2.Infor Detallado Desempeño POA'!L30:L36,"&gt;100%")</f>
        <v>0</v>
      </c>
      <c r="F40" s="616">
        <f>COUNTIF('2.Infor Detallado Desempeño POA'!L30:L36,"&lt;99%")</f>
        <v>0</v>
      </c>
      <c r="G40" s="614">
        <f>COUNTIF('2.Infor Detallado Desempeño POA'!L30:L36,"=No programado")</f>
        <v>0</v>
      </c>
      <c r="H40" s="540">
        <f t="shared" si="5"/>
        <v>7</v>
      </c>
      <c r="I40" s="541">
        <f t="shared" si="3"/>
        <v>0</v>
      </c>
    </row>
    <row r="41" spans="2:9" s="627" customFormat="1" ht="19.95" customHeight="1">
      <c r="B41" s="522" t="s">
        <v>729</v>
      </c>
      <c r="C41" s="618">
        <f t="shared" si="4"/>
        <v>2</v>
      </c>
      <c r="D41" s="542">
        <f>COUNTIF('2.Infor Detallado Desempeño POA'!L42:L43,"&gt;=99%")-COUNTIF('2.Infor Detallado Desempeño POA'!L42:L43,"&gt;100%")</f>
        <v>2</v>
      </c>
      <c r="E41" s="543">
        <f>COUNTIF('2.Infor Detallado Desempeño POA'!L42:L43,"&gt;100%")</f>
        <v>0</v>
      </c>
      <c r="F41" s="616">
        <f>COUNTIF('2.Infor Detallado Desempeño POA'!L42:L43,"&lt;99%")</f>
        <v>0</v>
      </c>
      <c r="G41" s="614">
        <f>COUNTIF('2.Infor Detallado Desempeño POA'!L42:L43,"=No programado")</f>
        <v>0</v>
      </c>
      <c r="H41" s="540">
        <f>SUM(D41:G41)</f>
        <v>2</v>
      </c>
      <c r="I41" s="541">
        <f t="shared" si="3"/>
        <v>0</v>
      </c>
    </row>
    <row r="42" spans="2:9" s="627" customFormat="1" ht="19.95" customHeight="1">
      <c r="B42" s="522" t="s">
        <v>740</v>
      </c>
      <c r="C42" s="618">
        <f t="shared" si="4"/>
        <v>3</v>
      </c>
      <c r="D42" s="542">
        <f>COUNTIF('2.Infor Detallado Desempeño POA'!L49:L51,"&gt;=99%")-COUNTIF('2.Infor Detallado Desempeño POA'!L49:L51,"&gt;100%")</f>
        <v>1</v>
      </c>
      <c r="E42" s="543">
        <f>COUNTIF('2.Infor Detallado Desempeño POA'!L49:L51,"&gt;100%")</f>
        <v>1</v>
      </c>
      <c r="F42" s="616">
        <f>COUNTIF('2.Infor Detallado Desempeño POA'!L49:L51,"&lt;99%")</f>
        <v>0</v>
      </c>
      <c r="G42" s="614">
        <f>COUNTIF('2.Infor Detallado Desempeño POA'!L49:L51,"=No programado")</f>
        <v>1</v>
      </c>
      <c r="H42" s="540">
        <f t="shared" ref="H42:H53" si="6">SUM(D42:G42)</f>
        <v>3</v>
      </c>
      <c r="I42" s="541">
        <f t="shared" si="3"/>
        <v>0</v>
      </c>
    </row>
    <row r="43" spans="2:9" s="627" customFormat="1" ht="19.95" customHeight="1">
      <c r="B43" s="522" t="s">
        <v>730</v>
      </c>
      <c r="C43" s="618">
        <f t="shared" si="4"/>
        <v>20</v>
      </c>
      <c r="D43" s="542">
        <f>COUNTIF('2.Infor Detallado Desempeño POA'!L57:L76,"&gt;=99%")-COUNTIF('2.Infor Detallado Desempeño POA'!L57:L76,"&gt;100%")</f>
        <v>0</v>
      </c>
      <c r="E43" s="543">
        <f>COUNTIF('2.Infor Detallado Desempeño POA'!L57:L76,"&gt;100%")</f>
        <v>11</v>
      </c>
      <c r="F43" s="616">
        <f>COUNTIF('2.Infor Detallado Desempeño POA'!L57:L76,"&lt;99%")</f>
        <v>5</v>
      </c>
      <c r="G43" s="614">
        <f>COUNTIF('2.Infor Detallado Desempeño POA'!L57:L76,"=No programado")</f>
        <v>4</v>
      </c>
      <c r="H43" s="540">
        <f t="shared" si="6"/>
        <v>20</v>
      </c>
      <c r="I43" s="541">
        <f t="shared" si="3"/>
        <v>0</v>
      </c>
    </row>
    <row r="44" spans="2:9" s="627" customFormat="1" ht="19.95" customHeight="1">
      <c r="B44" s="522" t="s">
        <v>865</v>
      </c>
      <c r="C44" s="618">
        <f t="shared" si="4"/>
        <v>7</v>
      </c>
      <c r="D44" s="542">
        <f>COUNTIF('2.Infor Detallado Desempeño POA'!L82:L88,"&gt;=99%")-COUNTIF('2.Infor Detallado Desempeño POA'!L82:L88,"&gt;100%")</f>
        <v>0</v>
      </c>
      <c r="E44" s="543">
        <f>COUNTIF('2.Infor Detallado Desempeño POA'!L82:L88,"&gt;100%")</f>
        <v>3</v>
      </c>
      <c r="F44" s="616">
        <f>COUNTIF('2.Infor Detallado Desempeño POA'!L82:L88,"&lt;99%")</f>
        <v>2</v>
      </c>
      <c r="G44" s="614">
        <f>COUNTIF('2.Infor Detallado Desempeño POA'!L82:L88,"=No programado")</f>
        <v>2</v>
      </c>
      <c r="H44" s="540">
        <f t="shared" si="6"/>
        <v>7</v>
      </c>
      <c r="I44" s="541">
        <f t="shared" si="3"/>
        <v>0</v>
      </c>
    </row>
    <row r="45" spans="2:9" s="627" customFormat="1" ht="19.95" customHeight="1">
      <c r="B45" s="522" t="s">
        <v>733</v>
      </c>
      <c r="C45" s="618">
        <f t="shared" si="4"/>
        <v>8</v>
      </c>
      <c r="D45" s="542">
        <f>COUNTIF('2.Infor Detallado Desempeño POA'!L94:L101,"&gt;=99%")-COUNTIF('2.Infor Detallado Desempeño POA'!L94:L101,"&gt;100%")</f>
        <v>3</v>
      </c>
      <c r="E45" s="543">
        <f>COUNTIF('2.Infor Detallado Desempeño POA'!L94:L101,"&gt;100%")</f>
        <v>1</v>
      </c>
      <c r="F45" s="616">
        <f>COUNTIF('2.Infor Detallado Desempeño POA'!L94:L101,"&lt;99%")</f>
        <v>2</v>
      </c>
      <c r="G45" s="614">
        <f>COUNTIF('2.Infor Detallado Desempeño POA'!L94:L101,"=No programado")</f>
        <v>2</v>
      </c>
      <c r="H45" s="540">
        <f t="shared" si="6"/>
        <v>8</v>
      </c>
      <c r="I45" s="541">
        <f t="shared" si="3"/>
        <v>0</v>
      </c>
    </row>
    <row r="46" spans="2:9" s="627" customFormat="1" ht="19.95" customHeight="1">
      <c r="B46" s="522" t="s">
        <v>734</v>
      </c>
      <c r="C46" s="618">
        <f t="shared" si="4"/>
        <v>8</v>
      </c>
      <c r="D46" s="542">
        <f>COUNTIF('2.Infor Detallado Desempeño POA'!L107:L114,"&gt;=99%")-COUNTIF('2.Infor Detallado Desempeño POA'!L107:L114,"&gt;100%")</f>
        <v>6</v>
      </c>
      <c r="E46" s="543">
        <f>COUNTIF('2.Infor Detallado Desempeño POA'!L107:L114,"&gt;100%")</f>
        <v>1</v>
      </c>
      <c r="F46" s="616">
        <f>COUNTIF('2.Infor Detallado Desempeño POA'!L107:L114,"&lt;99%")</f>
        <v>1</v>
      </c>
      <c r="G46" s="614">
        <f>COUNTIF('2.Infor Detallado Desempeño POA'!L107:L114,"=No programado")</f>
        <v>0</v>
      </c>
      <c r="H46" s="540">
        <f t="shared" si="6"/>
        <v>8</v>
      </c>
      <c r="I46" s="541">
        <f t="shared" si="3"/>
        <v>0</v>
      </c>
    </row>
    <row r="47" spans="2:9" s="627" customFormat="1" ht="19.95" customHeight="1">
      <c r="B47" s="522" t="s">
        <v>735</v>
      </c>
      <c r="C47" s="618">
        <f t="shared" si="4"/>
        <v>2</v>
      </c>
      <c r="D47" s="542">
        <f>COUNTIF('2.Infor Detallado Desempeño POA'!L120:L121,"&gt;=99%")-COUNTIF('2.Infor Detallado Desempeño POA'!L120:L121,"&gt;100%")</f>
        <v>1</v>
      </c>
      <c r="E47" s="543">
        <f>COUNTIF('2.Infor Detallado Desempeño POA'!L120:L121,"&gt;100%")</f>
        <v>1</v>
      </c>
      <c r="F47" s="616">
        <f>COUNTIF('2.Infor Detallado Desempeño POA'!L120:L121,"&lt;99%")</f>
        <v>0</v>
      </c>
      <c r="G47" s="614">
        <f>COUNTIF('2.Infor Detallado Desempeño POA'!L120:L121,"=No programado")</f>
        <v>0</v>
      </c>
      <c r="H47" s="540">
        <f t="shared" si="6"/>
        <v>2</v>
      </c>
      <c r="I47" s="541">
        <f t="shared" si="3"/>
        <v>0</v>
      </c>
    </row>
    <row r="48" spans="2:9" s="627" customFormat="1" ht="19.95" customHeight="1">
      <c r="B48" s="522" t="s">
        <v>736</v>
      </c>
      <c r="C48" s="618">
        <f t="shared" si="4"/>
        <v>3</v>
      </c>
      <c r="D48" s="542">
        <f>COUNTIF('2.Infor Detallado Desempeño POA'!L127:L129,"&gt;=99%")-COUNTIF('2.Infor Detallado Desempeño POA'!L127:L129,"&gt;100%")</f>
        <v>1</v>
      </c>
      <c r="E48" s="543">
        <f>COUNTIF('2.Infor Detallado Desempeño POA'!L127:L129,"&gt;100%")</f>
        <v>1</v>
      </c>
      <c r="F48" s="616">
        <f>COUNTIF('2.Infor Detallado Desempeño POA'!L127:L129,"&lt;99%")</f>
        <v>1</v>
      </c>
      <c r="G48" s="614">
        <f>COUNTIF('2.Infor Detallado Desempeño POA'!L127:L129,"=No programado")</f>
        <v>0</v>
      </c>
      <c r="H48" s="540">
        <f t="shared" si="6"/>
        <v>3</v>
      </c>
      <c r="I48" s="541">
        <f t="shared" si="3"/>
        <v>0</v>
      </c>
    </row>
    <row r="49" spans="2:17" s="627" customFormat="1" ht="19.95" customHeight="1">
      <c r="B49" s="522" t="s">
        <v>737</v>
      </c>
      <c r="C49" s="618">
        <f t="shared" si="4"/>
        <v>4</v>
      </c>
      <c r="D49" s="542">
        <f>COUNTIF('2.Infor Detallado Desempeño POA'!L135:L138,"&gt;=99%")-COUNTIF('2.Infor Detallado Desempeño POA'!L135:L138,"&gt;100%")</f>
        <v>1</v>
      </c>
      <c r="E49" s="543">
        <f>COUNTIF('2.Infor Detallado Desempeño POA'!L135:L138,"&gt;100%")</f>
        <v>2</v>
      </c>
      <c r="F49" s="616">
        <f>COUNTIF('2.Infor Detallado Desempeño POA'!L135:L138,"&lt;99%")</f>
        <v>0</v>
      </c>
      <c r="G49" s="614">
        <f>COUNTIF('2.Infor Detallado Desempeño POA'!L135:L138,"=No programado")</f>
        <v>1</v>
      </c>
      <c r="H49" s="540">
        <f t="shared" si="6"/>
        <v>4</v>
      </c>
      <c r="I49" s="541">
        <f t="shared" si="3"/>
        <v>0</v>
      </c>
    </row>
    <row r="50" spans="2:17" s="627" customFormat="1" ht="19.95" customHeight="1">
      <c r="B50" s="522" t="s">
        <v>738</v>
      </c>
      <c r="C50" s="618">
        <f t="shared" si="4"/>
        <v>4</v>
      </c>
      <c r="D50" s="542">
        <f>COUNTIF('2.Infor Detallado Desempeño POA'!L144:L147,"&gt;=99%")-COUNTIF('2.Infor Detallado Desempeño POA'!L144:L147,"&gt;100%")</f>
        <v>1</v>
      </c>
      <c r="E50" s="543">
        <f>COUNTIF('2.Infor Detallado Desempeño POA'!L144:L147,"&gt;100%")</f>
        <v>3</v>
      </c>
      <c r="F50" s="616">
        <f>COUNTIF('2.Infor Detallado Desempeño POA'!L144:L147,"&lt;99%")</f>
        <v>0</v>
      </c>
      <c r="G50" s="614">
        <f>COUNTIF('2.Infor Detallado Desempeño POA'!L144:L147,"=No programado")</f>
        <v>0</v>
      </c>
      <c r="H50" s="540">
        <f t="shared" si="6"/>
        <v>4</v>
      </c>
      <c r="I50" s="541">
        <f t="shared" si="3"/>
        <v>0</v>
      </c>
    </row>
    <row r="51" spans="2:17" s="627" customFormat="1" ht="19.95" customHeight="1">
      <c r="B51" s="522" t="s">
        <v>739</v>
      </c>
      <c r="C51" s="618">
        <f t="shared" si="4"/>
        <v>5</v>
      </c>
      <c r="D51" s="542">
        <f>COUNTIF('2.Infor Detallado Desempeño POA'!L153:L157,"&gt;=99%")-COUNTIF('2.Infor Detallado Desempeño POA'!L153:L157,"&gt;100%")</f>
        <v>5</v>
      </c>
      <c r="E51" s="543">
        <f>COUNTIF('2.Infor Detallado Desempeño POA'!L153:L157,"&gt;100%")</f>
        <v>0</v>
      </c>
      <c r="F51" s="616">
        <f>COUNTIF('2.Infor Detallado Desempeño POA'!L153:L157,"&lt;99%")</f>
        <v>0</v>
      </c>
      <c r="G51" s="614">
        <f>COUNTIF('2.Infor Detallado Desempeño POA'!L153:L157,"=No programado")</f>
        <v>0</v>
      </c>
      <c r="H51" s="540">
        <f t="shared" si="6"/>
        <v>5</v>
      </c>
      <c r="I51" s="541">
        <f t="shared" si="3"/>
        <v>0</v>
      </c>
    </row>
    <row r="52" spans="2:17" s="627" customFormat="1" ht="19.95" customHeight="1">
      <c r="B52" s="522" t="s">
        <v>741</v>
      </c>
      <c r="C52" s="618">
        <f t="shared" si="4"/>
        <v>3</v>
      </c>
      <c r="D52" s="542">
        <f>COUNTIF('2.Infor Detallado Desempeño POA'!L163:L165,"&gt;=99%")-COUNTIF('2.Infor Detallado Desempeño POA'!L163:L165,"&gt;100%")</f>
        <v>0</v>
      </c>
      <c r="E52" s="543">
        <f>COUNTIF('2.Infor Detallado Desempeño POA'!L163:L165,"&gt;100%")</f>
        <v>2</v>
      </c>
      <c r="F52" s="616">
        <f>COUNTIF('2.Infor Detallado Desempeño POA'!L163:L165,"&lt;99%")</f>
        <v>0</v>
      </c>
      <c r="G52" s="614">
        <f>COUNTIF('2.Infor Detallado Desempeño POA'!L163:L165,"=No programado")</f>
        <v>1</v>
      </c>
      <c r="H52" s="540">
        <f t="shared" si="6"/>
        <v>3</v>
      </c>
      <c r="I52" s="541">
        <f t="shared" si="3"/>
        <v>0</v>
      </c>
    </row>
    <row r="53" spans="2:17" s="627" customFormat="1" ht="19.95" customHeight="1">
      <c r="B53" s="522" t="s">
        <v>742</v>
      </c>
      <c r="C53" s="618">
        <f t="shared" si="4"/>
        <v>3</v>
      </c>
      <c r="D53" s="542">
        <f>COUNTIF('2.Infor Detallado Desempeño POA'!L171:L173,"&gt;=99%")-COUNTIF('2.Infor Detallado Desempeño POA'!L171:L173,"&gt;100%")</f>
        <v>1</v>
      </c>
      <c r="E53" s="543">
        <f>COUNTIF('2.Infor Detallado Desempeño POA'!L171:L173,"&gt;100%")</f>
        <v>0</v>
      </c>
      <c r="F53" s="616">
        <f>COUNTIF('2.Infor Detallado Desempeño POA'!L171:L173,"&lt;99%")</f>
        <v>0</v>
      </c>
      <c r="G53" s="614">
        <f>COUNTIF('2.Infor Detallado Desempeño POA'!L171:L173,"=No programado")</f>
        <v>2</v>
      </c>
      <c r="H53" s="540">
        <f t="shared" si="6"/>
        <v>3</v>
      </c>
      <c r="I53" s="541">
        <f t="shared" si="3"/>
        <v>0</v>
      </c>
    </row>
    <row r="54" spans="2:17" s="627" customFormat="1" ht="19.95" customHeight="1">
      <c r="B54" s="555" t="s">
        <v>895</v>
      </c>
      <c r="C54" s="556">
        <f>SUM(C38:C53)</f>
        <v>87</v>
      </c>
      <c r="D54" s="557">
        <f t="shared" ref="D54:E54" si="7">SUM(D38:D53)</f>
        <v>33</v>
      </c>
      <c r="E54" s="558">
        <f t="shared" si="7"/>
        <v>27</v>
      </c>
      <c r="F54" s="617">
        <f>SUM(F38:F53)</f>
        <v>11</v>
      </c>
      <c r="G54" s="615">
        <f>SUM(G38:G53)</f>
        <v>16</v>
      </c>
      <c r="H54" s="540">
        <f>SUM(D54:G54)</f>
        <v>87</v>
      </c>
      <c r="I54" s="541">
        <f t="shared" si="3"/>
        <v>0</v>
      </c>
    </row>
    <row r="55" spans="2:17" s="627" customFormat="1" ht="19.95" customHeight="1">
      <c r="B55" s="917"/>
      <c r="C55" s="919"/>
      <c r="D55" s="919"/>
      <c r="E55" s="919"/>
      <c r="F55" s="919"/>
      <c r="G55" s="919"/>
      <c r="H55" s="918"/>
      <c r="I55" s="541"/>
    </row>
    <row r="56" spans="2:17" s="627" customFormat="1" ht="3" customHeight="1">
      <c r="C56" s="922"/>
      <c r="D56" s="920" t="str">
        <f>+D37</f>
        <v>No de Indicadores con Meta Cumplida según progrLación</v>
      </c>
      <c r="E56" s="921">
        <f>+D54</f>
        <v>33</v>
      </c>
      <c r="F56" s="923"/>
      <c r="G56" s="924"/>
      <c r="H56" s="628"/>
    </row>
    <row r="57" spans="2:17" s="627" customFormat="1" ht="3" customHeight="1">
      <c r="C57" s="922"/>
      <c r="D57" s="920" t="str">
        <f>+E37</f>
        <v xml:space="preserve">No de Indicadores con ejecución superior a la programada </v>
      </c>
      <c r="E57" s="921">
        <f>+E54</f>
        <v>27</v>
      </c>
      <c r="F57" s="923"/>
      <c r="G57" s="924"/>
      <c r="H57" s="628"/>
    </row>
    <row r="58" spans="2:17" s="627" customFormat="1" ht="3" customHeight="1">
      <c r="C58" s="922"/>
      <c r="D58" s="920" t="str">
        <f>+F37</f>
        <v xml:space="preserve">No de Indicadores con ejecución menor a la programada </v>
      </c>
      <c r="E58" s="921">
        <f>+F54</f>
        <v>11</v>
      </c>
      <c r="F58" s="923"/>
      <c r="G58" s="924"/>
      <c r="H58" s="628"/>
    </row>
    <row r="59" spans="2:17" s="627" customFormat="1" ht="3" customHeight="1">
      <c r="C59" s="922"/>
      <c r="D59" s="920" t="str">
        <f>+G37</f>
        <v>No de indicadores sin programar en el periodo</v>
      </c>
      <c r="E59" s="921">
        <f>+G54</f>
        <v>16</v>
      </c>
      <c r="F59" s="923"/>
      <c r="G59" s="924"/>
      <c r="H59" s="628"/>
    </row>
    <row r="60" spans="2:17" s="627" customFormat="1" ht="10.199999999999999" customHeight="1">
      <c r="C60" s="628"/>
      <c r="D60" s="628"/>
      <c r="E60" s="629">
        <f>SUM(E27:E30)</f>
        <v>87</v>
      </c>
      <c r="F60" s="626"/>
      <c r="H60" s="628"/>
    </row>
    <row r="61" spans="2:17" ht="15.6" thickBot="1"/>
    <row r="62" spans="2:17" s="529" customFormat="1" ht="15.6">
      <c r="B62" s="1402" t="s">
        <v>751</v>
      </c>
      <c r="C62" s="1404" t="s">
        <v>893</v>
      </c>
      <c r="D62" s="1406" t="s">
        <v>894</v>
      </c>
      <c r="E62" s="1407"/>
      <c r="F62" s="1408"/>
      <c r="P62" s="517"/>
      <c r="Q62" s="517"/>
    </row>
    <row r="63" spans="2:17" ht="33" customHeight="1">
      <c r="B63" s="1403"/>
      <c r="C63" s="1405"/>
      <c r="D63" s="1075" t="s">
        <v>760</v>
      </c>
      <c r="E63" s="1075" t="s">
        <v>764</v>
      </c>
      <c r="F63" s="532" t="s">
        <v>768</v>
      </c>
      <c r="H63" s="517"/>
    </row>
    <row r="64" spans="2:17">
      <c r="B64" s="533" t="s">
        <v>725</v>
      </c>
      <c r="C64" s="534">
        <f>+'3.Resum Desemp Procesos POA T1'!C41</f>
        <v>4</v>
      </c>
      <c r="D64" s="534">
        <f>+'Rango indicadores'!E111</f>
        <v>4</v>
      </c>
      <c r="E64" s="534">
        <f>+'Rango indicadores'!F111</f>
        <v>0</v>
      </c>
      <c r="F64" s="535">
        <f>+'Rango indicadores'!G111</f>
        <v>0</v>
      </c>
      <c r="H64" s="517"/>
    </row>
    <row r="65" spans="2:8">
      <c r="B65" s="533" t="s">
        <v>727</v>
      </c>
      <c r="C65" s="534">
        <f>+'3.Resum Desemp Procesos POA T1'!C42</f>
        <v>4</v>
      </c>
      <c r="D65" s="534">
        <f>+'Rango indicadores'!E112</f>
        <v>4</v>
      </c>
      <c r="E65" s="534">
        <f>+'Rango indicadores'!F112</f>
        <v>0</v>
      </c>
      <c r="F65" s="535">
        <f>+'Rango indicadores'!G112</f>
        <v>0</v>
      </c>
      <c r="H65" s="517"/>
    </row>
    <row r="66" spans="2:8">
      <c r="B66" s="533" t="s">
        <v>728</v>
      </c>
      <c r="C66" s="534">
        <f>+'3.Resum Desemp Procesos POA T1'!C43</f>
        <v>7</v>
      </c>
      <c r="D66" s="534">
        <f>+'Rango indicadores'!E113</f>
        <v>7</v>
      </c>
      <c r="E66" s="534">
        <f>+'Rango indicadores'!F113</f>
        <v>0</v>
      </c>
      <c r="F66" s="535">
        <f>+'Rango indicadores'!G113</f>
        <v>0</v>
      </c>
      <c r="H66" s="517"/>
    </row>
    <row r="67" spans="2:8">
      <c r="B67" s="533" t="s">
        <v>729</v>
      </c>
      <c r="C67" s="534">
        <f>+'3.Resum Desemp Procesos POA T1'!C44</f>
        <v>2</v>
      </c>
      <c r="D67" s="534">
        <f>+'Rango indicadores'!E114</f>
        <v>2</v>
      </c>
      <c r="E67" s="534">
        <f>+'Rango indicadores'!F114</f>
        <v>0</v>
      </c>
      <c r="F67" s="535">
        <f>+'Rango indicadores'!G114</f>
        <v>0</v>
      </c>
      <c r="H67" s="517"/>
    </row>
    <row r="68" spans="2:8">
      <c r="B68" s="533" t="s">
        <v>740</v>
      </c>
      <c r="C68" s="534">
        <f>+'3.Resum Desemp Procesos POA T1'!C45</f>
        <v>3</v>
      </c>
      <c r="D68" s="534">
        <f>+'Rango indicadores'!E115</f>
        <v>21</v>
      </c>
      <c r="E68" s="534">
        <f>+'Rango indicadores'!F115</f>
        <v>0</v>
      </c>
      <c r="F68" s="535">
        <f>+'Rango indicadores'!G115</f>
        <v>0</v>
      </c>
      <c r="H68" s="517"/>
    </row>
    <row r="69" spans="2:8">
      <c r="B69" s="533" t="s">
        <v>730</v>
      </c>
      <c r="C69" s="534">
        <f>+'3.Resum Desemp Procesos POA T1'!C47</f>
        <v>20</v>
      </c>
      <c r="D69" s="534">
        <f>+'Rango indicadores'!E116</f>
        <v>7</v>
      </c>
      <c r="E69" s="534">
        <f>+'Rango indicadores'!F116</f>
        <v>0</v>
      </c>
      <c r="F69" s="535">
        <f>+'Rango indicadores'!G116</f>
        <v>0</v>
      </c>
      <c r="H69" s="517"/>
    </row>
    <row r="70" spans="2:8">
      <c r="B70" s="533" t="s">
        <v>865</v>
      </c>
      <c r="C70" s="534">
        <f>+'3.Resum Desemp Procesos POA T1'!C48</f>
        <v>7</v>
      </c>
      <c r="D70" s="534">
        <f>+'Rango indicadores'!E117</f>
        <v>8</v>
      </c>
      <c r="E70" s="534">
        <f>+'Rango indicadores'!F117</f>
        <v>0</v>
      </c>
      <c r="F70" s="535">
        <f>+'Rango indicadores'!G117</f>
        <v>0</v>
      </c>
      <c r="H70" s="517"/>
    </row>
    <row r="71" spans="2:8">
      <c r="B71" s="533" t="s">
        <v>733</v>
      </c>
      <c r="C71" s="534">
        <f>+'3.Resum Desemp Procesos POA T1'!C49</f>
        <v>8</v>
      </c>
      <c r="D71" s="534">
        <f>+'Rango indicadores'!E118</f>
        <v>7</v>
      </c>
      <c r="E71" s="534">
        <f>+'Rango indicadores'!F118</f>
        <v>0</v>
      </c>
      <c r="F71" s="535">
        <f>+'Rango indicadores'!G118</f>
        <v>1</v>
      </c>
      <c r="H71" s="517"/>
    </row>
    <row r="72" spans="2:8">
      <c r="B72" s="533" t="s">
        <v>734</v>
      </c>
      <c r="C72" s="534">
        <f>+'3.Resum Desemp Procesos POA T1'!C51</f>
        <v>8</v>
      </c>
      <c r="D72" s="534">
        <f>+'Rango indicadores'!E119</f>
        <v>2</v>
      </c>
      <c r="E72" s="534">
        <f>+'Rango indicadores'!F119</f>
        <v>0</v>
      </c>
      <c r="F72" s="535">
        <f>+'Rango indicadores'!G119</f>
        <v>0</v>
      </c>
      <c r="H72" s="517"/>
    </row>
    <row r="73" spans="2:8">
      <c r="B73" s="533" t="s">
        <v>735</v>
      </c>
      <c r="C73" s="534">
        <f>+'3.Resum Desemp Procesos POA T1'!C52</f>
        <v>2</v>
      </c>
      <c r="D73" s="534">
        <f>+'Rango indicadores'!E120</f>
        <v>3</v>
      </c>
      <c r="E73" s="534">
        <f>+'Rango indicadores'!F120</f>
        <v>0</v>
      </c>
      <c r="F73" s="535">
        <f>+'Rango indicadores'!G120</f>
        <v>0</v>
      </c>
      <c r="H73" s="517"/>
    </row>
    <row r="74" spans="2:8">
      <c r="B74" s="533" t="s">
        <v>736</v>
      </c>
      <c r="C74" s="534">
        <f>+'3.Resum Desemp Procesos POA T1'!C53</f>
        <v>3</v>
      </c>
      <c r="D74" s="534">
        <f>+'Rango indicadores'!E121</f>
        <v>1</v>
      </c>
      <c r="E74" s="534">
        <f>+'Rango indicadores'!F121</f>
        <v>3</v>
      </c>
      <c r="F74" s="535">
        <f>+'Rango indicadores'!G121</f>
        <v>0</v>
      </c>
      <c r="H74" s="517"/>
    </row>
    <row r="75" spans="2:8">
      <c r="B75" s="533" t="s">
        <v>737</v>
      </c>
      <c r="C75" s="534">
        <f>+'3.Resum Desemp Procesos POA T1'!C54</f>
        <v>4</v>
      </c>
      <c r="D75" s="534">
        <f>+'Rango indicadores'!E122</f>
        <v>3</v>
      </c>
      <c r="E75" s="534">
        <f>+'Rango indicadores'!F122</f>
        <v>1</v>
      </c>
      <c r="F75" s="535">
        <f>+'Rango indicadores'!G122</f>
        <v>0</v>
      </c>
      <c r="H75" s="517"/>
    </row>
    <row r="76" spans="2:8">
      <c r="B76" s="533" t="s">
        <v>738</v>
      </c>
      <c r="C76" s="534">
        <f>+'3.Resum Desemp Procesos POA T1'!C55</f>
        <v>4</v>
      </c>
      <c r="D76" s="534">
        <f>+'Rango indicadores'!E123</f>
        <v>5</v>
      </c>
      <c r="E76" s="534">
        <f>+'Rango indicadores'!F123</f>
        <v>0</v>
      </c>
      <c r="F76" s="535">
        <f>+'Rango indicadores'!G123</f>
        <v>0</v>
      </c>
      <c r="H76" s="517"/>
    </row>
    <row r="77" spans="2:8">
      <c r="B77" s="533" t="s">
        <v>739</v>
      </c>
      <c r="C77" s="534">
        <f>+'3.Resum Desemp Procesos POA T1'!C56</f>
        <v>5</v>
      </c>
      <c r="D77" s="534">
        <f>+'Rango indicadores'!E124</f>
        <v>3</v>
      </c>
      <c r="E77" s="534">
        <f>+'Rango indicadores'!F124</f>
        <v>0</v>
      </c>
      <c r="F77" s="535">
        <f>+'Rango indicadores'!G124</f>
        <v>0</v>
      </c>
      <c r="H77" s="517"/>
    </row>
    <row r="78" spans="2:8">
      <c r="B78" s="533" t="s">
        <v>741</v>
      </c>
      <c r="C78" s="534">
        <f>+'3.Resum Desemp Procesos POA T1'!C58</f>
        <v>3</v>
      </c>
      <c r="D78" s="534">
        <f>+'Rango indicadores'!E125</f>
        <v>3</v>
      </c>
      <c r="E78" s="534">
        <f>+'Rango indicadores'!F125</f>
        <v>0</v>
      </c>
      <c r="F78" s="535">
        <f>+'Rango indicadores'!G125</f>
        <v>0</v>
      </c>
      <c r="H78" s="517"/>
    </row>
    <row r="79" spans="2:8">
      <c r="B79" s="533" t="s">
        <v>742</v>
      </c>
      <c r="C79" s="534">
        <f>+'3.Resum Desemp Procesos POA T1'!C59</f>
        <v>3</v>
      </c>
      <c r="D79" s="534">
        <f>+'Rango indicadores'!E126</f>
        <v>3</v>
      </c>
      <c r="E79" s="534">
        <f>+'Rango indicadores'!F126</f>
        <v>0</v>
      </c>
      <c r="F79" s="535">
        <f>+'Rango indicadores'!G126</f>
        <v>0</v>
      </c>
      <c r="H79" s="517"/>
    </row>
    <row r="80" spans="2:8" ht="16.2" thickBot="1">
      <c r="B80" s="536" t="s">
        <v>895</v>
      </c>
      <c r="C80" s="537">
        <f>SUM(C64:C79)</f>
        <v>87</v>
      </c>
      <c r="D80" s="537">
        <f>SUM(D64:D79)</f>
        <v>83</v>
      </c>
      <c r="E80" s="537">
        <f>SUM(E64:E79)</f>
        <v>4</v>
      </c>
      <c r="F80" s="538">
        <f>SUM(F64:F79)</f>
        <v>1</v>
      </c>
      <c r="H80" s="517"/>
    </row>
    <row r="81" spans="8:8">
      <c r="H81" s="517"/>
    </row>
    <row r="82" spans="8:8">
      <c r="H82" s="517"/>
    </row>
    <row r="84" spans="8:8" ht="15" customHeight="1"/>
  </sheetData>
  <mergeCells count="13">
    <mergeCell ref="D62:F62"/>
    <mergeCell ref="D34:E34"/>
    <mergeCell ref="C35:G35"/>
    <mergeCell ref="B35:B37"/>
    <mergeCell ref="E36:F36"/>
    <mergeCell ref="B62:B63"/>
    <mergeCell ref="C62:C63"/>
    <mergeCell ref="B2:B3"/>
    <mergeCell ref="C2:G2"/>
    <mergeCell ref="C3:G3"/>
    <mergeCell ref="B4:F4"/>
    <mergeCell ref="B7:B8"/>
    <mergeCell ref="C7:G7"/>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08B69-D9E2-402F-B39A-5428B8BA47C6}">
  <sheetPr>
    <tabColor rgb="FF0070C0"/>
  </sheetPr>
  <dimension ref="B1:V116"/>
  <sheetViews>
    <sheetView showGridLines="0" zoomScale="70" zoomScaleNormal="70" workbookViewId="0">
      <selection activeCell="J20" sqref="J20"/>
    </sheetView>
  </sheetViews>
  <sheetFormatPr baseColWidth="10" defaultColWidth="11.44140625" defaultRowHeight="15" customHeight="1" zeroHeight="1"/>
  <cols>
    <col min="1" max="1" width="3.6640625" style="517" customWidth="1"/>
    <col min="2" max="2" width="47.33203125" style="517" customWidth="1"/>
    <col min="3" max="3" width="20.33203125" style="519" customWidth="1"/>
    <col min="4" max="4" width="18.88671875" style="519" customWidth="1"/>
    <col min="5" max="5" width="18.88671875" style="519" hidden="1" customWidth="1"/>
    <col min="6" max="6" width="19.44140625" style="517" customWidth="1"/>
    <col min="7" max="7" width="47" style="517" customWidth="1"/>
    <col min="8" max="15" width="11.44140625" style="517"/>
    <col min="16" max="16" width="62.44140625" style="517" bestFit="1" customWidth="1"/>
    <col min="17" max="17" width="40" style="517" customWidth="1"/>
    <col min="18" max="16355" width="11.44140625" style="517"/>
    <col min="16356" max="16356" width="1.44140625" style="517" customWidth="1"/>
    <col min="16357" max="16384" width="2.88671875" style="517" customWidth="1"/>
  </cols>
  <sheetData>
    <row r="1" spans="2:22" s="456" customFormat="1">
      <c r="D1" s="459"/>
      <c r="E1" s="457"/>
      <c r="F1" s="458"/>
      <c r="G1" s="458"/>
      <c r="H1" s="458"/>
      <c r="I1" s="458"/>
      <c r="J1" s="458"/>
      <c r="K1" s="458"/>
      <c r="L1" s="458"/>
      <c r="V1" s="459"/>
    </row>
    <row r="2" spans="2:22" s="456" customFormat="1" ht="28.95" customHeight="1">
      <c r="B2" s="1395" t="s">
        <v>891</v>
      </c>
      <c r="C2" s="1426" t="s">
        <v>900</v>
      </c>
      <c r="D2" s="1426"/>
      <c r="E2" s="1426"/>
      <c r="F2" s="1426"/>
      <c r="G2" s="1426"/>
      <c r="H2" s="1426"/>
      <c r="I2" s="511"/>
      <c r="J2" s="511"/>
      <c r="K2" s="511"/>
      <c r="L2" s="511"/>
      <c r="M2" s="511"/>
      <c r="N2" s="564"/>
      <c r="O2" s="564"/>
      <c r="P2" s="564"/>
      <c r="Q2" s="564"/>
      <c r="R2" s="564"/>
      <c r="S2" s="564"/>
      <c r="T2" s="564"/>
      <c r="U2" s="564"/>
      <c r="V2" s="459"/>
    </row>
    <row r="3" spans="2:22" s="456" customFormat="1" ht="17.399999999999999" customHeight="1">
      <c r="B3" s="1395"/>
      <c r="C3" s="1427" t="s">
        <v>1162</v>
      </c>
      <c r="D3" s="1427"/>
      <c r="E3" s="1427"/>
      <c r="F3" s="1427"/>
      <c r="G3" s="1427"/>
      <c r="H3" s="1427"/>
      <c r="I3" s="510"/>
      <c r="J3" s="510"/>
      <c r="K3" s="510"/>
      <c r="L3" s="510"/>
      <c r="M3" s="510"/>
      <c r="N3" s="563"/>
      <c r="O3" s="563"/>
      <c r="P3" s="563"/>
      <c r="Q3" s="563"/>
      <c r="R3" s="563"/>
      <c r="S3" s="563"/>
      <c r="T3" s="563"/>
      <c r="U3" s="563"/>
      <c r="V3" s="460"/>
    </row>
    <row r="4" spans="2:22" s="456" customFormat="1" ht="6" customHeight="1">
      <c r="B4" s="544"/>
      <c r="D4" s="1428"/>
      <c r="E4" s="1428"/>
      <c r="F4" s="1428"/>
      <c r="G4" s="1428"/>
      <c r="H4" s="1428"/>
      <c r="I4" s="502"/>
      <c r="J4" s="502"/>
      <c r="K4" s="502"/>
      <c r="L4" s="502"/>
      <c r="M4" s="502"/>
      <c r="N4" s="565"/>
      <c r="O4" s="565"/>
      <c r="P4" s="565"/>
      <c r="Q4" s="565"/>
      <c r="R4" s="565"/>
      <c r="S4" s="565"/>
      <c r="T4" s="565"/>
      <c r="U4" s="565"/>
      <c r="V4" s="461"/>
    </row>
    <row r="5" spans="2:22" s="456" customFormat="1" ht="19.5" customHeight="1">
      <c r="B5" s="1047" t="str">
        <f>+'2.Infor Detallado Desempeño POA'!C7</f>
        <v xml:space="preserve">Fecha de corte: </v>
      </c>
      <c r="C5" s="1095">
        <f>'2.Infor Detallado Desempeño POA'!D7</f>
        <v>44651</v>
      </c>
      <c r="D5" s="503"/>
      <c r="E5" s="463"/>
      <c r="V5" s="459"/>
    </row>
    <row r="6" spans="2:22" ht="1.95" customHeight="1">
      <c r="B6" s="520"/>
    </row>
    <row r="7" spans="2:22" ht="8.4" customHeight="1">
      <c r="B7" s="520"/>
    </row>
    <row r="8" spans="2:22" ht="54" customHeight="1">
      <c r="B8" s="572" t="s">
        <v>751</v>
      </c>
      <c r="C8" s="573" t="s">
        <v>1163</v>
      </c>
      <c r="D8" s="521"/>
      <c r="E8" s="517"/>
    </row>
    <row r="9" spans="2:22">
      <c r="B9" s="522" t="s">
        <v>725</v>
      </c>
      <c r="C9" s="523">
        <f>+F41</f>
        <v>0.30107142857142855</v>
      </c>
      <c r="D9" s="524"/>
      <c r="E9" s="517"/>
    </row>
    <row r="10" spans="2:22">
      <c r="B10" s="522" t="s">
        <v>727</v>
      </c>
      <c r="C10" s="523">
        <f>+F42</f>
        <v>5.921052631578947E-2</v>
      </c>
      <c r="D10" s="524"/>
      <c r="E10" s="517"/>
      <c r="H10" s="588"/>
      <c r="I10" s="589" t="s">
        <v>1164</v>
      </c>
    </row>
    <row r="11" spans="2:22">
      <c r="B11" s="522" t="s">
        <v>728</v>
      </c>
      <c r="C11" s="523">
        <f>+F43</f>
        <v>0.17500000000000002</v>
      </c>
      <c r="D11" s="524"/>
      <c r="E11" s="517"/>
      <c r="H11" s="916"/>
      <c r="I11" s="589" t="s">
        <v>907</v>
      </c>
    </row>
    <row r="12" spans="2:22">
      <c r="B12" s="522" t="s">
        <v>729</v>
      </c>
      <c r="C12" s="523">
        <f>+F44</f>
        <v>0.25</v>
      </c>
      <c r="D12" s="524"/>
      <c r="E12" s="517"/>
      <c r="H12" s="590"/>
      <c r="I12" s="589" t="s">
        <v>908</v>
      </c>
    </row>
    <row r="13" spans="2:22">
      <c r="B13" s="522" t="s">
        <v>740</v>
      </c>
      <c r="C13" s="523">
        <f>+F45</f>
        <v>0.19990740740740742</v>
      </c>
      <c r="D13" s="525"/>
      <c r="E13" s="517"/>
      <c r="H13" s="591"/>
      <c r="I13" s="589" t="s">
        <v>909</v>
      </c>
    </row>
    <row r="14" spans="2:22">
      <c r="B14" s="522" t="s">
        <v>730</v>
      </c>
      <c r="C14" s="523">
        <f>+F47</f>
        <v>0.22424580472203703</v>
      </c>
      <c r="D14" s="524"/>
      <c r="E14" s="517"/>
    </row>
    <row r="15" spans="2:22">
      <c r="B15" s="522" t="s">
        <v>865</v>
      </c>
      <c r="C15" s="523">
        <f>+F48</f>
        <v>0.11701830507800658</v>
      </c>
      <c r="D15" s="524"/>
      <c r="E15" s="517"/>
    </row>
    <row r="16" spans="2:22">
      <c r="B16" s="522" t="s">
        <v>733</v>
      </c>
      <c r="C16" s="523">
        <f>+F49</f>
        <v>0.14054166666666668</v>
      </c>
      <c r="D16" s="524"/>
      <c r="E16" s="517"/>
    </row>
    <row r="17" spans="2:17">
      <c r="B17" s="522" t="s">
        <v>734</v>
      </c>
      <c r="C17" s="1106">
        <f t="shared" ref="C17:C22" si="0">+F51</f>
        <v>0.30672285820578232</v>
      </c>
      <c r="D17" s="524"/>
      <c r="E17" s="517"/>
    </row>
    <row r="18" spans="2:17">
      <c r="B18" s="522" t="s">
        <v>735</v>
      </c>
      <c r="C18" s="523">
        <f t="shared" si="0"/>
        <v>0.26576460481099656</v>
      </c>
      <c r="D18" s="524"/>
      <c r="E18" s="517"/>
    </row>
    <row r="19" spans="2:17">
      <c r="B19" s="522" t="s">
        <v>736</v>
      </c>
      <c r="C19" s="523">
        <f t="shared" si="0"/>
        <v>0.22459649122807021</v>
      </c>
      <c r="D19" s="524"/>
      <c r="E19" s="517"/>
    </row>
    <row r="20" spans="2:17">
      <c r="B20" s="522" t="s">
        <v>737</v>
      </c>
      <c r="C20" s="1106">
        <f t="shared" si="0"/>
        <v>0.31874999999999998</v>
      </c>
      <c r="D20" s="524"/>
      <c r="E20" s="517"/>
    </row>
    <row r="21" spans="2:17">
      <c r="B21" s="522" t="s">
        <v>738</v>
      </c>
      <c r="C21" s="523">
        <f t="shared" si="0"/>
        <v>0.24320339912280703</v>
      </c>
      <c r="D21" s="524"/>
      <c r="E21" s="517"/>
    </row>
    <row r="22" spans="2:17">
      <c r="B22" s="522" t="s">
        <v>739</v>
      </c>
      <c r="C22" s="523">
        <f t="shared" si="0"/>
        <v>0.25</v>
      </c>
      <c r="D22" s="524"/>
      <c r="E22" s="517"/>
    </row>
    <row r="23" spans="2:17">
      <c r="B23" s="522" t="s">
        <v>741</v>
      </c>
      <c r="C23" s="1106">
        <f>+F58</f>
        <v>0.51666666666666672</v>
      </c>
      <c r="D23" s="524"/>
      <c r="E23" s="517"/>
    </row>
    <row r="24" spans="2:17" ht="15.6" thickBot="1">
      <c r="B24" s="526" t="s">
        <v>742</v>
      </c>
      <c r="C24" s="523">
        <f>+F59</f>
        <v>0.11666666666666665</v>
      </c>
      <c r="D24" s="524"/>
      <c r="E24" s="517"/>
    </row>
    <row r="25" spans="2:17" ht="16.2" thickBot="1">
      <c r="B25" s="527" t="s">
        <v>892</v>
      </c>
      <c r="C25" s="970">
        <f>+F62</f>
        <v>0.23561983921060947</v>
      </c>
      <c r="D25" s="528"/>
      <c r="E25" s="517"/>
    </row>
    <row r="26" spans="2:17" s="529" customFormat="1">
      <c r="C26" s="530"/>
      <c r="D26" s="530"/>
      <c r="E26" s="530"/>
      <c r="P26" s="517"/>
      <c r="Q26" s="517"/>
    </row>
    <row r="27" spans="2:17" s="529" customFormat="1" ht="56.25" customHeight="1" thickBot="1">
      <c r="B27" s="529" t="s">
        <v>681</v>
      </c>
      <c r="C27" s="530"/>
      <c r="P27" s="517"/>
      <c r="Q27" s="517"/>
    </row>
    <row r="28" spans="2:17" ht="57" customHeight="1">
      <c r="B28" s="1429" t="s">
        <v>932</v>
      </c>
      <c r="C28" s="1431" t="s">
        <v>863</v>
      </c>
      <c r="D28" s="1433" t="s">
        <v>933</v>
      </c>
      <c r="E28" s="1434"/>
      <c r="F28" s="1435"/>
      <c r="H28" s="519"/>
    </row>
    <row r="29" spans="2:17" ht="54.6" customHeight="1" thickBot="1">
      <c r="B29" s="1430"/>
      <c r="C29" s="1432"/>
      <c r="D29" s="661" t="str">
        <f>D39</f>
        <v>Primer Trimestre</v>
      </c>
      <c r="E29" s="665" t="s">
        <v>934</v>
      </c>
      <c r="F29" s="667" t="s">
        <v>926</v>
      </c>
      <c r="H29" s="519"/>
    </row>
    <row r="30" spans="2:17" ht="29.4" customHeight="1">
      <c r="B30" s="648" t="s">
        <v>927</v>
      </c>
      <c r="C30" s="631">
        <f>+C46</f>
        <v>20</v>
      </c>
      <c r="D30" s="662">
        <f>IFERROR(AVERAGE(D41:D45),0)</f>
        <v>1.1065555555555555</v>
      </c>
      <c r="E30" s="668">
        <f>IFERROR(AVERAGE(E41:E45),0)</f>
        <v>1.1065555555555555</v>
      </c>
      <c r="F30" s="914">
        <f>IFERROR(AVERAGE(F41:F45),0)</f>
        <v>0.1970378724589251</v>
      </c>
      <c r="H30" s="519"/>
    </row>
    <row r="31" spans="2:17" ht="36.6" customHeight="1">
      <c r="B31" s="633" t="s">
        <v>928</v>
      </c>
      <c r="C31" s="632">
        <f>+C50</f>
        <v>35</v>
      </c>
      <c r="D31" s="663">
        <f>IFERROR(AVERAGE(D47:D49),0)</f>
        <v>1.1236796504598734</v>
      </c>
      <c r="E31" s="668">
        <f>IFERROR(AVERAGE(E47:E49),0)</f>
        <v>1.1236796504598734</v>
      </c>
      <c r="F31" s="914">
        <f>IFERROR(AVERAGE(F47:F49),0)</f>
        <v>0.16060192548890342</v>
      </c>
      <c r="H31" s="519"/>
    </row>
    <row r="32" spans="2:17" ht="41.4" customHeight="1">
      <c r="B32" s="633" t="s">
        <v>929</v>
      </c>
      <c r="C32" s="632">
        <f>+C57</f>
        <v>26</v>
      </c>
      <c r="D32" s="663">
        <f>IFERROR(AVERAGE(D51:D56),0)</f>
        <v>1.0503230046138203</v>
      </c>
      <c r="E32" s="668">
        <f>IFERROR(AVERAGE(E51:E56),0)</f>
        <v>1.0503230046138203</v>
      </c>
      <c r="F32" s="914">
        <f>IFERROR(AVERAGE(F51:F56),0)</f>
        <v>0.26817289222794272</v>
      </c>
      <c r="H32" s="519"/>
    </row>
    <row r="33" spans="2:22" ht="40.799999999999997">
      <c r="B33" s="633" t="s">
        <v>930</v>
      </c>
      <c r="C33" s="632">
        <f>+C60</f>
        <v>6</v>
      </c>
      <c r="D33" s="664">
        <f>IFERROR(AVERAGE(D58:D59),0)</f>
        <v>1.9094202898550723</v>
      </c>
      <c r="E33" s="669">
        <f>IFERROR(AVERAGE(E58:E59),0)</f>
        <v>1.9094202898550723</v>
      </c>
      <c r="F33" s="915">
        <f>IFERROR(AVERAGE(F58:F59),0)</f>
        <v>0.31666666666666671</v>
      </c>
      <c r="H33" s="519"/>
    </row>
    <row r="34" spans="2:22" ht="23.4">
      <c r="B34" s="635" t="s">
        <v>931</v>
      </c>
      <c r="C34" s="641">
        <f>SUM(C30:C33)</f>
        <v>87</v>
      </c>
      <c r="D34" s="634">
        <f>AVERAGE(D30:D33)</f>
        <v>1.2974946251210804</v>
      </c>
      <c r="E34" s="666">
        <f>AVERAGE(E30:E33)</f>
        <v>1.2974946251210804</v>
      </c>
      <c r="F34" s="666">
        <f>AVERAGE(F30:F33)</f>
        <v>0.23561983921060947</v>
      </c>
      <c r="H34" s="519"/>
    </row>
    <row r="35" spans="2:22" s="639" customFormat="1" ht="23.4">
      <c r="B35" s="636"/>
      <c r="C35" s="637"/>
      <c r="D35" s="638"/>
      <c r="E35" s="638"/>
      <c r="H35" s="640"/>
    </row>
    <row r="36" spans="2:22" s="529" customFormat="1">
      <c r="C36" s="530"/>
      <c r="P36" s="517"/>
      <c r="Q36" s="517"/>
    </row>
    <row r="37" spans="2:22" s="456" customFormat="1" ht="19.5" customHeight="1" thickBot="1">
      <c r="B37" s="1047" t="str">
        <f>+B5</f>
        <v xml:space="preserve">Fecha de corte: </v>
      </c>
      <c r="C37" s="1095">
        <f>+C5</f>
        <v>44651</v>
      </c>
      <c r="D37" s="463"/>
      <c r="E37" s="463"/>
      <c r="V37" s="459"/>
    </row>
    <row r="38" spans="2:22" s="456" customFormat="1" ht="40.799999999999997" customHeight="1">
      <c r="B38" s="1418" t="s">
        <v>751</v>
      </c>
      <c r="C38" s="1420" t="s">
        <v>863</v>
      </c>
      <c r="D38" s="1420" t="s">
        <v>902</v>
      </c>
      <c r="E38" s="1420"/>
      <c r="F38" s="1422"/>
      <c r="G38" s="457"/>
      <c r="H38" s="457"/>
      <c r="I38" s="457"/>
      <c r="U38" s="459"/>
    </row>
    <row r="39" spans="2:22" s="456" customFormat="1" ht="49.5" customHeight="1" thickBot="1">
      <c r="B39" s="1419"/>
      <c r="C39" s="1421"/>
      <c r="D39" s="649" t="str">
        <f>+'2.Infor Detallado Desempeño POA'!K11</f>
        <v>Primer Trimestre</v>
      </c>
      <c r="E39" s="649" t="str">
        <f>+'2.Infor Detallado Desempeño POA'!L11</f>
        <v>Acumulado
Corte 
31/03/2022</v>
      </c>
      <c r="F39" s="650" t="str">
        <f>+'2.Infor Detallado Desempeño POA'!M11</f>
        <v>Anual</v>
      </c>
      <c r="G39" s="545"/>
      <c r="H39" s="457"/>
      <c r="I39" s="457"/>
      <c r="J39" s="457"/>
      <c r="V39" s="459"/>
    </row>
    <row r="40" spans="2:22" s="644" customFormat="1" ht="6" customHeight="1" thickBot="1">
      <c r="B40" s="1423"/>
      <c r="C40" s="1424"/>
      <c r="D40" s="1424"/>
      <c r="E40" s="1424"/>
      <c r="F40" s="1425"/>
      <c r="G40" s="642"/>
      <c r="H40" s="643"/>
      <c r="I40" s="643"/>
      <c r="J40" s="643"/>
      <c r="V40" s="645"/>
    </row>
    <row r="41" spans="2:22" s="456" customFormat="1">
      <c r="B41" s="464" t="s">
        <v>725</v>
      </c>
      <c r="C41" s="465">
        <f>+'Rango indicadores'!D111</f>
        <v>4</v>
      </c>
      <c r="D41" s="466">
        <f>IF(AND('2.Infor Detallado Desempeño POA'!K16&gt;0),'2.Infor Detallado Desempeño POA'!K16,"No Programado")</f>
        <v>1</v>
      </c>
      <c r="E41" s="466">
        <f>IF(AND('2.Infor Detallado Desempeño POA'!L16&gt;0),'2.Infor Detallado Desempeño POA'!L16,"No Programado")</f>
        <v>1</v>
      </c>
      <c r="F41" s="466">
        <f>IF(AND('2.Infor Detallado Desempeño POA'!M16&gt;0),'2.Infor Detallado Desempeño POA'!M16,"No Programado")</f>
        <v>0.30107142857142855</v>
      </c>
      <c r="G41" s="467"/>
      <c r="H41" s="467"/>
      <c r="I41" s="467"/>
      <c r="J41" s="467"/>
      <c r="V41" s="459"/>
    </row>
    <row r="42" spans="2:22" s="456" customFormat="1">
      <c r="B42" s="468" t="s">
        <v>727</v>
      </c>
      <c r="C42" s="465">
        <f>+'Rango indicadores'!D112</f>
        <v>4</v>
      </c>
      <c r="D42" s="466">
        <f>IF(AND('2.Infor Detallado Desempeño POA'!K25&gt;0),'2.Infor Detallado Desempeño POA'!K25,"No Programado")</f>
        <v>1.5</v>
      </c>
      <c r="E42" s="466">
        <f>IF(AND('2.Infor Detallado Desempeño POA'!L25&gt;0),'2.Infor Detallado Desempeño POA'!L25,"No Programado")</f>
        <v>1.5</v>
      </c>
      <c r="F42" s="466">
        <f>IF(AND('2.Infor Detallado Desempeño POA'!M25&gt;0),'2.Infor Detallado Desempeño POA'!M25,"No Programado")</f>
        <v>5.921052631578947E-2</v>
      </c>
      <c r="G42" s="467"/>
      <c r="H42" s="467"/>
      <c r="I42" s="467"/>
      <c r="J42" s="467"/>
      <c r="V42" s="459"/>
    </row>
    <row r="43" spans="2:22" s="456" customFormat="1">
      <c r="B43" s="468" t="s">
        <v>728</v>
      </c>
      <c r="C43" s="465">
        <f>+'Rango indicadores'!D113</f>
        <v>7</v>
      </c>
      <c r="D43" s="466">
        <f>IF(AND('2.Infor Detallado Desempeño POA'!K37&gt;0),'2.Infor Detallado Desempeño POA'!K37,"No Programado")</f>
        <v>1</v>
      </c>
      <c r="E43" s="466">
        <f>IF(AND('2.Infor Detallado Desempeño POA'!L37&gt;0),'2.Infor Detallado Desempeño POA'!L37,"No Programado")</f>
        <v>1</v>
      </c>
      <c r="F43" s="466">
        <f>IF(AND('2.Infor Detallado Desempeño POA'!M37&gt;0),'2.Infor Detallado Desempeño POA'!M37,"No Programado")</f>
        <v>0.17500000000000002</v>
      </c>
      <c r="G43" s="467"/>
      <c r="H43" s="467"/>
      <c r="I43" s="467"/>
      <c r="J43" s="467"/>
      <c r="V43" s="459"/>
    </row>
    <row r="44" spans="2:22" s="456" customFormat="1">
      <c r="B44" s="468" t="s">
        <v>729</v>
      </c>
      <c r="C44" s="465">
        <f>+'Rango indicadores'!D114</f>
        <v>2</v>
      </c>
      <c r="D44" s="466">
        <f>IF(AND('2.Infor Detallado Desempeño POA'!K44&gt;0),'2.Infor Detallado Desempeño POA'!K44,"No Programado")</f>
        <v>1</v>
      </c>
      <c r="E44" s="466">
        <f>IF(AND('2.Infor Detallado Desempeño POA'!L44&gt;0),'2.Infor Detallado Desempeño POA'!L44,"No Programado")</f>
        <v>1</v>
      </c>
      <c r="F44" s="466">
        <f>IF(AND('2.Infor Detallado Desempeño POA'!M44&gt;0),'2.Infor Detallado Desempeño POA'!M44,"No Programado")</f>
        <v>0.25</v>
      </c>
      <c r="G44" s="467"/>
      <c r="H44" s="467"/>
      <c r="I44" s="467"/>
      <c r="J44" s="467"/>
      <c r="V44" s="459"/>
    </row>
    <row r="45" spans="2:22" s="456" customFormat="1" ht="15.6" thickBot="1">
      <c r="B45" s="469" t="s">
        <v>740</v>
      </c>
      <c r="C45" s="465">
        <f>+'Rango indicadores'!D124</f>
        <v>3</v>
      </c>
      <c r="D45" s="466">
        <f>IF(AND('2.Infor Detallado Desempeño POA'!K52&gt;0),'2.Infor Detallado Desempeño POA'!K52,"No Programado")</f>
        <v>1.0327777777777778</v>
      </c>
      <c r="E45" s="466">
        <f>IF(AND('2.Infor Detallado Desempeño POA'!L52&gt;0),'2.Infor Detallado Desempeño POA'!L52,"No Programado")</f>
        <v>1.0327777777777778</v>
      </c>
      <c r="F45" s="466">
        <f>IF(AND('2.Infor Detallado Desempeño POA'!M52&gt;0),'2.Infor Detallado Desempeño POA'!M52,"No Programado")</f>
        <v>0.19990740740740742</v>
      </c>
      <c r="G45" s="467"/>
      <c r="H45" s="467"/>
      <c r="I45" s="467"/>
      <c r="J45" s="467"/>
      <c r="V45" s="459"/>
    </row>
    <row r="46" spans="2:22" s="456" customFormat="1" ht="34.950000000000003" customHeight="1" thickBot="1">
      <c r="B46" s="651" t="s">
        <v>903</v>
      </c>
      <c r="C46" s="652">
        <f>SUM(C41:C45)</f>
        <v>20</v>
      </c>
      <c r="D46" s="653">
        <f>IFERROR(AVERAGE(D41:D45),0)</f>
        <v>1.1065555555555555</v>
      </c>
      <c r="E46" s="653">
        <f>IFERROR(AVERAGE(E41:E45),0)</f>
        <v>1.1065555555555555</v>
      </c>
      <c r="F46" s="653">
        <f>IFERROR(AVERAGE(F41:F45),0)</f>
        <v>0.1970378724589251</v>
      </c>
      <c r="G46" s="470"/>
      <c r="H46" s="467"/>
      <c r="I46" s="467"/>
      <c r="J46" s="467"/>
      <c r="V46" s="459"/>
    </row>
    <row r="47" spans="2:22" s="456" customFormat="1">
      <c r="B47" s="464" t="s">
        <v>730</v>
      </c>
      <c r="C47" s="465">
        <f>+'Rango indicadores'!D115</f>
        <v>20</v>
      </c>
      <c r="D47" s="466">
        <f>IF(AND('2.Infor Detallado Desempeño POA'!K77&gt;0),'2.Infor Detallado Desempeño POA'!K77,"No Programado")</f>
        <v>1.3512123931140376</v>
      </c>
      <c r="E47" s="466">
        <f>IF(AND('2.Infor Detallado Desempeño POA'!L77&gt;0),'2.Infor Detallado Desempeño POA'!L77,"No Programado")</f>
        <v>1.3512123931140376</v>
      </c>
      <c r="F47" s="466">
        <f>IF(AND('2.Infor Detallado Desempeño POA'!M77&gt;0),'2.Infor Detallado Desempeño POA'!M77,"No Programado")</f>
        <v>0.22424580472203703</v>
      </c>
      <c r="G47" s="467"/>
      <c r="H47" s="467"/>
      <c r="I47" s="467"/>
      <c r="J47" s="467"/>
      <c r="V47" s="459"/>
    </row>
    <row r="48" spans="2:22" s="456" customFormat="1">
      <c r="B48" s="468" t="s">
        <v>865</v>
      </c>
      <c r="C48" s="465">
        <f>+'Rango indicadores'!D116</f>
        <v>7</v>
      </c>
      <c r="D48" s="466">
        <f>IF(AND('2.Infor Detallado Desempeño POA'!K89&gt;0),'2.Infor Detallado Desempeño POA'!K89,"No Programado")</f>
        <v>1.2113821138211383</v>
      </c>
      <c r="E48" s="466">
        <f>IF(AND('2.Infor Detallado Desempeño POA'!L89&gt;0),'2.Infor Detallado Desempeño POA'!L89,"No Programado")</f>
        <v>1.2113821138211383</v>
      </c>
      <c r="F48" s="466">
        <f>IF(AND('2.Infor Detallado Desempeño POA'!M89&gt;0),'2.Infor Detallado Desempeño POA'!M89,"No Programado")</f>
        <v>0.11701830507800658</v>
      </c>
      <c r="G48" s="467"/>
      <c r="H48" s="467"/>
      <c r="I48" s="467"/>
      <c r="J48" s="467"/>
      <c r="V48" s="459"/>
    </row>
    <row r="49" spans="2:22" s="456" customFormat="1" ht="15.6" thickBot="1">
      <c r="B49" s="469" t="s">
        <v>733</v>
      </c>
      <c r="C49" s="465">
        <f>+'Rango indicadores'!D117</f>
        <v>8</v>
      </c>
      <c r="D49" s="466">
        <f>IF(AND('2.Infor Detallado Desempeño POA'!K102&gt;0),'2.Infor Detallado Desempeño POA'!K102,"No Programado")</f>
        <v>0.80844444444444452</v>
      </c>
      <c r="E49" s="466">
        <f>IF(AND('2.Infor Detallado Desempeño POA'!L102&gt;0),'2.Infor Detallado Desempeño POA'!L102,"No Programado")</f>
        <v>0.80844444444444452</v>
      </c>
      <c r="F49" s="466">
        <f>IF(AND('2.Infor Detallado Desempeño POA'!M102&gt;0),'2.Infor Detallado Desempeño POA'!M102,"No Programado")</f>
        <v>0.14054166666666668</v>
      </c>
      <c r="G49" s="467"/>
      <c r="H49" s="467"/>
      <c r="I49" s="467"/>
      <c r="J49" s="467"/>
      <c r="V49" s="459"/>
    </row>
    <row r="50" spans="2:22" s="456" customFormat="1" ht="34.950000000000003" customHeight="1" thickBot="1">
      <c r="B50" s="651" t="s">
        <v>904</v>
      </c>
      <c r="C50" s="652">
        <f>SUM(C47:C49)</f>
        <v>35</v>
      </c>
      <c r="D50" s="653">
        <f>IFERROR(AVERAGE(D47:D49),0)</f>
        <v>1.1236796504598734</v>
      </c>
      <c r="E50" s="653">
        <f>IFERROR(AVERAGE(E47:E49),0)</f>
        <v>1.1236796504598734</v>
      </c>
      <c r="F50" s="653">
        <f>IFERROR(AVERAGE(F47:F49),0)</f>
        <v>0.16060192548890342</v>
      </c>
      <c r="G50" s="470"/>
      <c r="H50" s="467"/>
      <c r="I50" s="467"/>
      <c r="J50" s="467"/>
      <c r="V50" s="459"/>
    </row>
    <row r="51" spans="2:22" s="456" customFormat="1">
      <c r="B51" s="464" t="s">
        <v>734</v>
      </c>
      <c r="C51" s="465">
        <f>+'Rango indicadores'!D118</f>
        <v>8</v>
      </c>
      <c r="D51" s="466">
        <f>IF(AND('2.Infor Detallado Desempeño POA'!K115&gt;0),'2.Infor Detallado Desempeño POA'!K115,"No Programado")</f>
        <v>0.9969414328231293</v>
      </c>
      <c r="E51" s="466">
        <f>IF(AND('2.Infor Detallado Desempeño POA'!L115&gt;0),'2.Infor Detallado Desempeño POA'!L115,"No Programado")</f>
        <v>0.9969414328231293</v>
      </c>
      <c r="F51" s="466">
        <f>IF(AND('2.Infor Detallado Desempeño POA'!M115&gt;0),'2.Infor Detallado Desempeño POA'!M115,"No Programado")</f>
        <v>0.30672285820578232</v>
      </c>
      <c r="G51" s="467"/>
      <c r="H51" s="467"/>
      <c r="I51" s="467"/>
      <c r="J51" s="467"/>
      <c r="V51" s="459"/>
    </row>
    <row r="52" spans="2:22" s="456" customFormat="1">
      <c r="B52" s="468" t="s">
        <v>735</v>
      </c>
      <c r="C52" s="465">
        <f>+'Rango indicadores'!D119</f>
        <v>2</v>
      </c>
      <c r="D52" s="466">
        <f>IF(AND('2.Infor Detallado Desempeño POA'!K122),'2.Infor Detallado Desempeño POA'!K122,"No Programado")</f>
        <v>1.0630584192439863</v>
      </c>
      <c r="E52" s="466">
        <f>IF(AND('2.Infor Detallado Desempeño POA'!L122),'2.Infor Detallado Desempeño POA'!L122,"No Programado")</f>
        <v>1.0630584192439863</v>
      </c>
      <c r="F52" s="466">
        <f>IF(AND('2.Infor Detallado Desempeño POA'!M122),'2.Infor Detallado Desempeño POA'!M122,"No Programado")</f>
        <v>0.26576460481099656</v>
      </c>
      <c r="G52" s="467"/>
      <c r="H52" s="467"/>
      <c r="I52" s="467"/>
      <c r="J52" s="467"/>
      <c r="V52" s="459"/>
    </row>
    <row r="53" spans="2:22" s="456" customFormat="1">
      <c r="B53" s="468" t="s">
        <v>736</v>
      </c>
      <c r="C53" s="465">
        <f>+'Rango indicadores'!D120</f>
        <v>3</v>
      </c>
      <c r="D53" s="466">
        <f>IF(AND('2.Infor Detallado Desempeño POA'!K130&gt;0),'2.Infor Detallado Desempeño POA'!K130,"No Programado")</f>
        <v>1.0572727272727271</v>
      </c>
      <c r="E53" s="466">
        <f>IF(AND('2.Infor Detallado Desempeño POA'!L130&gt;0),'2.Infor Detallado Desempeño POA'!L130,"No Programado")</f>
        <v>1.0572727272727271</v>
      </c>
      <c r="F53" s="466">
        <f>IF(AND('2.Infor Detallado Desempeño POA'!M130&gt;0),'2.Infor Detallado Desempeño POA'!M130,"No Programado")</f>
        <v>0.22459649122807021</v>
      </c>
      <c r="G53" s="467"/>
      <c r="H53" s="467"/>
      <c r="I53" s="467"/>
      <c r="J53" s="467"/>
      <c r="V53" s="459"/>
    </row>
    <row r="54" spans="2:22" s="456" customFormat="1">
      <c r="B54" s="468" t="s">
        <v>737</v>
      </c>
      <c r="C54" s="465">
        <f>+'Rango indicadores'!D121</f>
        <v>4</v>
      </c>
      <c r="D54" s="466">
        <f>IF(AND('2.Infor Detallado Desempeño POA'!K139&gt;0),'2.Infor Detallado Desempeño POA'!K139,"No Programado")</f>
        <v>1.1018518518518519</v>
      </c>
      <c r="E54" s="466">
        <f>IF(AND('2.Infor Detallado Desempeño POA'!L139&gt;0),'2.Infor Detallado Desempeño POA'!L139,"No Programado")</f>
        <v>1.1018518518518519</v>
      </c>
      <c r="F54" s="466">
        <f>IF(AND('2.Infor Detallado Desempeño POA'!M139&gt;0),'2.Infor Detallado Desempeño POA'!M139,"No Programado")</f>
        <v>0.31874999999999998</v>
      </c>
      <c r="G54" s="467"/>
      <c r="H54" s="467"/>
      <c r="I54" s="467"/>
      <c r="J54" s="467"/>
      <c r="V54" s="459"/>
    </row>
    <row r="55" spans="2:22" s="456" customFormat="1">
      <c r="B55" s="468" t="s">
        <v>738</v>
      </c>
      <c r="C55" s="465">
        <f>+'Rango indicadores'!D122</f>
        <v>4</v>
      </c>
      <c r="D55" s="466">
        <f>IF(AND('2.Infor Detallado Desempeño POA'!K148&gt;0),'2.Infor Detallado Desempeño POA'!K148,"No Programado")</f>
        <v>1.0828135964912282</v>
      </c>
      <c r="E55" s="466">
        <f>IF(AND('2.Infor Detallado Desempeño POA'!L148&gt;0),'2.Infor Detallado Desempeño POA'!L148,"No Programado")</f>
        <v>1.0828135964912282</v>
      </c>
      <c r="F55" s="466">
        <f>IF(AND('2.Infor Detallado Desempeño POA'!M148&gt;0),'2.Infor Detallado Desempeño POA'!M148,"No Programado")</f>
        <v>0.24320339912280703</v>
      </c>
      <c r="G55" s="467"/>
      <c r="H55" s="467"/>
      <c r="I55" s="467"/>
      <c r="J55" s="467"/>
      <c r="V55" s="459"/>
    </row>
    <row r="56" spans="2:22" s="456" customFormat="1" ht="15.6" thickBot="1">
      <c r="B56" s="469" t="s">
        <v>739</v>
      </c>
      <c r="C56" s="465">
        <f>+'Rango indicadores'!D123</f>
        <v>5</v>
      </c>
      <c r="D56" s="466">
        <f>IF(AND('2.Infor Detallado Desempeño POA'!K158&gt;0),'2.Infor Detallado Desempeño POA'!K158,"No Programado")</f>
        <v>1</v>
      </c>
      <c r="E56" s="466">
        <f>IF(AND('2.Infor Detallado Desempeño POA'!L158&gt;0),'2.Infor Detallado Desempeño POA'!L158,"No Programado")</f>
        <v>1</v>
      </c>
      <c r="F56" s="466">
        <f>IF(AND('2.Infor Detallado Desempeño POA'!M158&gt;0),'2.Infor Detallado Desempeño POA'!M158,"No Programado")</f>
        <v>0.25</v>
      </c>
      <c r="G56" s="467"/>
      <c r="H56" s="467"/>
      <c r="I56" s="467"/>
      <c r="J56" s="467"/>
      <c r="V56" s="459"/>
    </row>
    <row r="57" spans="2:22" s="456" customFormat="1" ht="34.950000000000003" customHeight="1" thickBot="1">
      <c r="B57" s="651" t="s">
        <v>905</v>
      </c>
      <c r="C57" s="652">
        <f>SUM(C51:C56)</f>
        <v>26</v>
      </c>
      <c r="D57" s="653">
        <f>IFERROR(AVERAGE(D51:D56),0)</f>
        <v>1.0503230046138203</v>
      </c>
      <c r="E57" s="653">
        <f>IFERROR(AVERAGE(E51:E56),0)</f>
        <v>1.0503230046138203</v>
      </c>
      <c r="F57" s="653">
        <f>IFERROR(AVERAGE(F51:F56),0)</f>
        <v>0.26817289222794272</v>
      </c>
      <c r="G57" s="470"/>
      <c r="H57" s="467"/>
      <c r="I57" s="467"/>
      <c r="J57" s="467"/>
      <c r="V57" s="459"/>
    </row>
    <row r="58" spans="2:22" s="456" customFormat="1">
      <c r="B58" s="468" t="s">
        <v>741</v>
      </c>
      <c r="C58" s="465">
        <f>+'Rango indicadores'!D125</f>
        <v>3</v>
      </c>
      <c r="D58" s="466">
        <f>IF(AND('2.Infor Detallado Desempeño POA'!K166&gt;0),'2.Infor Detallado Desempeño POA'!K166,"No Programado")</f>
        <v>2.8188405797101446</v>
      </c>
      <c r="E58" s="466">
        <f>IF(AND('2.Infor Detallado Desempeño POA'!L166&gt;0),'2.Infor Detallado Desempeño POA'!L166,"No Programado")</f>
        <v>2.8188405797101446</v>
      </c>
      <c r="F58" s="466">
        <f>IF(AND('2.Infor Detallado Desempeño POA'!M166&gt;0),'2.Infor Detallado Desempeño POA'!M166,"No Programado")</f>
        <v>0.51666666666666672</v>
      </c>
      <c r="G58" s="467"/>
      <c r="H58" s="467"/>
      <c r="I58" s="467"/>
      <c r="J58" s="467"/>
      <c r="V58" s="459"/>
    </row>
    <row r="59" spans="2:22" s="456" customFormat="1" ht="15.6" thickBot="1">
      <c r="B59" s="553" t="s">
        <v>742</v>
      </c>
      <c r="C59" s="554">
        <f>+'Rango indicadores'!D126</f>
        <v>3</v>
      </c>
      <c r="D59" s="466">
        <f>IF(AND('2.Infor Detallado Desempeño POA'!K174&gt;0),'2.Infor Detallado Desempeño POA'!K174,"No Programado")</f>
        <v>1</v>
      </c>
      <c r="E59" s="466">
        <f>IF(AND('2.Infor Detallado Desempeño POA'!L174&gt;0),'2.Infor Detallado Desempeño POA'!L174,"No Programado")</f>
        <v>1</v>
      </c>
      <c r="F59" s="466">
        <f>IF(AND('2.Infor Detallado Desempeño POA'!M174&gt;0),'2.Infor Detallado Desempeño POA'!M174,"No Programado")</f>
        <v>0.11666666666666665</v>
      </c>
      <c r="G59" s="467"/>
      <c r="H59" s="467"/>
      <c r="I59" s="467"/>
      <c r="J59" s="467"/>
      <c r="V59" s="459"/>
    </row>
    <row r="60" spans="2:22" s="456" customFormat="1" ht="46.95" customHeight="1" thickBot="1">
      <c r="B60" s="654" t="s">
        <v>866</v>
      </c>
      <c r="C60" s="652">
        <f>SUM(C58:C59)</f>
        <v>6</v>
      </c>
      <c r="D60" s="653">
        <f>IFERROR(AVERAGE(D58:D59),0)</f>
        <v>1.9094202898550723</v>
      </c>
      <c r="E60" s="653">
        <f>IFERROR(AVERAGE(E58:E59),0)</f>
        <v>1.9094202898550723</v>
      </c>
      <c r="F60" s="653">
        <f>IFERROR(AVERAGE(F58:F59),0)</f>
        <v>0.31666666666666671</v>
      </c>
      <c r="G60" s="470"/>
      <c r="H60" s="467"/>
      <c r="I60" s="467"/>
      <c r="J60" s="467"/>
      <c r="V60" s="459"/>
    </row>
    <row r="61" spans="2:22" s="644" customFormat="1" ht="6" customHeight="1">
      <c r="B61" s="646"/>
      <c r="C61" s="647"/>
      <c r="D61" s="642"/>
      <c r="E61" s="642"/>
      <c r="F61" s="642"/>
      <c r="G61" s="642"/>
      <c r="H61" s="643"/>
      <c r="I61" s="643"/>
      <c r="J61" s="643"/>
      <c r="V61" s="645"/>
    </row>
    <row r="62" spans="2:22" ht="15" customHeight="1">
      <c r="B62" s="630" t="s">
        <v>931</v>
      </c>
      <c r="C62" s="641">
        <f>+C60+C57+C50+C46</f>
        <v>87</v>
      </c>
      <c r="D62" s="634">
        <f>AVERAGE(D46,D50,D57,D60)</f>
        <v>1.2974946251210804</v>
      </c>
      <c r="E62" s="634">
        <f>AVERAGE(E46,E50,E57,E60)</f>
        <v>1.2974946251210804</v>
      </c>
      <c r="F62" s="634">
        <f>AVERAGE(F46,F50,F57,F60)</f>
        <v>0.23561983921060947</v>
      </c>
      <c r="G62" s="674"/>
    </row>
    <row r="63" spans="2:22" ht="15" customHeight="1"/>
    <row r="64" spans="2:22" ht="15" customHeight="1">
      <c r="D64" s="660"/>
    </row>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row r="85"/>
    <row r="86"/>
    <row r="87"/>
    <row r="88"/>
    <row r="89"/>
    <row r="90"/>
    <row r="91"/>
    <row r="92"/>
    <row r="93"/>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sheetData>
  <sheetProtection algorithmName="SHA-512" hashValue="blGCXQJWcqXZh96N1KlUXjlY+Uwg1oTd4mnlnsGogtC9DaGrRV5gMxGxiK6uGFyYnXU+9CHjfEtt+8DZkctEQA==" saltValue="1xR6SAFrfau1xvWhJoMTwA==" spinCount="100000" sheet="1" objects="1" scenarios="1"/>
  <mergeCells count="11">
    <mergeCell ref="B40:F40"/>
    <mergeCell ref="D28:F28"/>
    <mergeCell ref="D4:H4"/>
    <mergeCell ref="C2:H2"/>
    <mergeCell ref="C3:H3"/>
    <mergeCell ref="B2:B3"/>
    <mergeCell ref="C38:C39"/>
    <mergeCell ref="B38:B39"/>
    <mergeCell ref="D38:F38"/>
    <mergeCell ref="B28:B29"/>
    <mergeCell ref="C28:C29"/>
  </mergeCells>
  <conditionalFormatting sqref="D41:F45 D47:F49 D51:F56 D58:F59">
    <cfRule type="cellIs" dxfId="938" priority="1" operator="equal">
      <formula>"No Programado"</formula>
    </cfRule>
    <cfRule type="cellIs" dxfId="937" priority="2" operator="lessThanOrEqual">
      <formula>0.6</formula>
    </cfRule>
    <cfRule type="cellIs" dxfId="936" priority="3" operator="between">
      <formula>0.6</formula>
      <formula>0.899999999999999</formula>
    </cfRule>
    <cfRule type="cellIs" dxfId="935" priority="4" operator="greaterThan">
      <formula>1</formula>
    </cfRule>
    <cfRule type="cellIs" dxfId="934" priority="5" operator="between">
      <formula>0.9</formula>
      <formula>1</formula>
    </cfRule>
  </conditionalFormatting>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6DBC3-1F24-40F6-9355-6CC0EC1B4D12}">
  <sheetPr>
    <tabColor rgb="FF0070C0"/>
  </sheetPr>
  <dimension ref="B1:BC235"/>
  <sheetViews>
    <sheetView showGridLines="0" tabSelected="1" zoomScale="70" zoomScaleNormal="70" workbookViewId="0">
      <selection activeCell="D7" sqref="D7"/>
    </sheetView>
  </sheetViews>
  <sheetFormatPr baseColWidth="10" defaultColWidth="11.44140625" defaultRowHeight="15" zeroHeight="1"/>
  <cols>
    <col min="1" max="1" width="3.44140625" style="456" customWidth="1"/>
    <col min="2" max="2" width="8.6640625" style="456" customWidth="1"/>
    <col min="3" max="3" width="23.33203125" style="456" customWidth="1"/>
    <col min="4" max="4" width="63.33203125" style="459" customWidth="1"/>
    <col min="5" max="6" width="16" style="463" customWidth="1"/>
    <col min="7" max="11" width="19.33203125" style="463" customWidth="1"/>
    <col min="12" max="12" width="21.5546875" style="463" customWidth="1"/>
    <col min="13" max="13" width="19.33203125" style="463" customWidth="1"/>
    <col min="14" max="14" width="19.33203125" style="463" hidden="1" customWidth="1"/>
    <col min="15" max="32" width="16" style="463" hidden="1" customWidth="1"/>
    <col min="33" max="33" width="17.88671875" style="456" hidden="1" customWidth="1"/>
    <col min="34" max="34" width="23.33203125" style="456" hidden="1" customWidth="1"/>
    <col min="35" max="35" width="16" style="456" hidden="1" customWidth="1"/>
    <col min="36" max="36" width="22.88671875" style="456" hidden="1" customWidth="1"/>
    <col min="37" max="37" width="16" style="456" hidden="1" customWidth="1"/>
    <col min="38" max="38" width="14.5546875" style="456" hidden="1" customWidth="1"/>
    <col min="39" max="39" width="21" style="456" hidden="1" customWidth="1"/>
    <col min="40" max="40" width="14.109375" style="456" hidden="1" customWidth="1"/>
    <col min="41" max="41" width="19.44140625" style="456" hidden="1" customWidth="1"/>
    <col min="42" max="42" width="10.109375" style="456" hidden="1" customWidth="1"/>
    <col min="43" max="43" width="13.33203125" style="456" hidden="1" customWidth="1"/>
    <col min="44" max="44" width="8.33203125" style="456" hidden="1" customWidth="1"/>
    <col min="45" max="45" width="14" style="456" hidden="1" customWidth="1"/>
    <col min="46" max="46" width="8.33203125" style="456" hidden="1" customWidth="1"/>
    <col min="47" max="47" width="19.44140625" style="456" hidden="1" customWidth="1"/>
    <col min="48" max="48" width="8.33203125" style="456" hidden="1" customWidth="1"/>
    <col min="49" max="49" width="87.33203125" style="459" customWidth="1"/>
    <col min="50" max="50" width="3.6640625" style="456" hidden="1" customWidth="1"/>
    <col min="51" max="52" width="12.109375" style="456" hidden="1" customWidth="1"/>
    <col min="53" max="53" width="27.44140625" style="456" bestFit="1" customWidth="1"/>
    <col min="54" max="16384" width="11.44140625" style="456"/>
  </cols>
  <sheetData>
    <row r="1" spans="2:55">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c r="AG1" s="458"/>
      <c r="AH1" s="458"/>
      <c r="AI1" s="458"/>
      <c r="AJ1" s="458"/>
      <c r="AK1" s="458"/>
      <c r="AL1" s="458"/>
      <c r="AM1" s="458"/>
    </row>
    <row r="2" spans="2:55" ht="37.950000000000003" customHeight="1">
      <c r="C2" s="1461" t="s">
        <v>891</v>
      </c>
      <c r="D2" s="1462" t="s">
        <v>681</v>
      </c>
      <c r="E2" s="1463"/>
      <c r="F2" s="1463"/>
      <c r="G2" s="1463"/>
      <c r="H2" s="1463"/>
      <c r="I2" s="1463"/>
      <c r="J2" s="1463"/>
      <c r="K2" s="1463"/>
      <c r="L2" s="1463"/>
      <c r="M2" s="1463"/>
      <c r="N2" s="1463"/>
      <c r="O2" s="1463"/>
      <c r="P2" s="1463"/>
      <c r="Q2" s="1463"/>
      <c r="R2" s="1463"/>
      <c r="S2" s="1463"/>
      <c r="T2" s="1463"/>
      <c r="U2" s="1463"/>
      <c r="V2" s="1463"/>
      <c r="W2" s="1463"/>
      <c r="X2" s="1463"/>
      <c r="Y2" s="1463"/>
      <c r="Z2" s="1463"/>
      <c r="AA2" s="1463"/>
      <c r="AB2" s="1463"/>
      <c r="AC2" s="1463"/>
      <c r="AD2" s="1463"/>
      <c r="AE2" s="1463"/>
      <c r="AF2" s="1463"/>
      <c r="AG2" s="1463"/>
      <c r="AH2" s="1463"/>
      <c r="AI2" s="1463"/>
      <c r="AJ2" s="1463"/>
      <c r="AK2" s="1464"/>
      <c r="AL2" s="511"/>
      <c r="AM2" s="511"/>
      <c r="AN2" s="511"/>
      <c r="AO2" s="564"/>
      <c r="AP2" s="564"/>
      <c r="AQ2" s="564"/>
      <c r="AR2" s="564"/>
      <c r="AS2" s="564"/>
      <c r="AT2" s="564"/>
      <c r="AU2" s="564"/>
      <c r="AV2" s="564"/>
    </row>
    <row r="3" spans="2:55" ht="17.399999999999999" customHeight="1">
      <c r="C3" s="1461"/>
      <c r="D3" s="1465" t="s">
        <v>4</v>
      </c>
      <c r="E3" s="1466"/>
      <c r="F3" s="1466"/>
      <c r="G3" s="1466"/>
      <c r="H3" s="1466"/>
      <c r="I3" s="1466"/>
      <c r="J3" s="1466"/>
      <c r="K3" s="1466"/>
      <c r="L3" s="1466"/>
      <c r="M3" s="1466"/>
      <c r="N3" s="1466"/>
      <c r="O3" s="1466"/>
      <c r="P3" s="1466"/>
      <c r="Q3" s="1466"/>
      <c r="R3" s="1466"/>
      <c r="S3" s="1466"/>
      <c r="T3" s="1466"/>
      <c r="U3" s="1466"/>
      <c r="V3" s="1466"/>
      <c r="W3" s="1466"/>
      <c r="X3" s="1466"/>
      <c r="Y3" s="1466"/>
      <c r="Z3" s="1466"/>
      <c r="AA3" s="1466"/>
      <c r="AB3" s="1466"/>
      <c r="AC3" s="1466"/>
      <c r="AD3" s="1466"/>
      <c r="AE3" s="1466"/>
      <c r="AF3" s="1466"/>
      <c r="AG3" s="1466"/>
      <c r="AH3" s="1466"/>
      <c r="AI3" s="1466"/>
      <c r="AJ3" s="1466"/>
      <c r="AK3" s="1467"/>
      <c r="AL3" s="510"/>
      <c r="AM3" s="510"/>
      <c r="AN3" s="510"/>
      <c r="AO3" s="563"/>
      <c r="AP3" s="563"/>
      <c r="AQ3" s="563"/>
      <c r="AR3" s="563"/>
      <c r="AS3" s="563"/>
      <c r="AT3" s="563"/>
      <c r="AU3" s="563"/>
      <c r="AV3" s="563"/>
      <c r="AW3" s="460"/>
    </row>
    <row r="4" spans="2:55" ht="17.399999999999999" customHeight="1">
      <c r="C4" s="1461"/>
      <c r="D4" s="1465">
        <v>2022</v>
      </c>
      <c r="E4" s="1466"/>
      <c r="F4" s="1466"/>
      <c r="G4" s="1466"/>
      <c r="H4" s="1466"/>
      <c r="I4" s="1466"/>
      <c r="J4" s="1466"/>
      <c r="K4" s="1466"/>
      <c r="L4" s="1466"/>
      <c r="M4" s="1466"/>
      <c r="N4" s="1466"/>
      <c r="O4" s="1466"/>
      <c r="P4" s="1466"/>
      <c r="Q4" s="1466"/>
      <c r="R4" s="1466"/>
      <c r="S4" s="1466"/>
      <c r="T4" s="1466"/>
      <c r="U4" s="1466"/>
      <c r="V4" s="1466"/>
      <c r="W4" s="1466"/>
      <c r="X4" s="1466"/>
      <c r="Y4" s="1466"/>
      <c r="Z4" s="1466"/>
      <c r="AA4" s="1466"/>
      <c r="AB4" s="1466"/>
      <c r="AC4" s="1466"/>
      <c r="AD4" s="1466"/>
      <c r="AE4" s="1466"/>
      <c r="AF4" s="1466"/>
      <c r="AG4" s="1466"/>
      <c r="AH4" s="1466"/>
      <c r="AI4" s="1466"/>
      <c r="AJ4" s="1466"/>
      <c r="AK4" s="1467"/>
      <c r="AL4" s="510"/>
      <c r="AM4" s="510"/>
      <c r="AN4" s="510"/>
      <c r="AO4" s="976"/>
      <c r="AP4" s="976"/>
      <c r="AQ4" s="976"/>
      <c r="AR4" s="976"/>
      <c r="AS4" s="976"/>
      <c r="AT4" s="976"/>
      <c r="AU4" s="976"/>
      <c r="AV4" s="976"/>
      <c r="AW4" s="460"/>
    </row>
    <row r="5" spans="2:55" ht="15.6" customHeight="1">
      <c r="C5" s="1461"/>
      <c r="D5" s="1468" t="s">
        <v>862</v>
      </c>
      <c r="E5" s="1469"/>
      <c r="F5" s="1469"/>
      <c r="G5" s="1469"/>
      <c r="H5" s="1469"/>
      <c r="I5" s="1469"/>
      <c r="J5" s="1469"/>
      <c r="K5" s="1469"/>
      <c r="L5" s="1469"/>
      <c r="M5" s="1469"/>
      <c r="N5" s="1469"/>
      <c r="O5" s="1469"/>
      <c r="P5" s="1469"/>
      <c r="Q5" s="1469"/>
      <c r="R5" s="1469"/>
      <c r="S5" s="1469"/>
      <c r="T5" s="1469"/>
      <c r="U5" s="1469"/>
      <c r="V5" s="1469"/>
      <c r="W5" s="1469"/>
      <c r="X5" s="1469"/>
      <c r="Y5" s="1469"/>
      <c r="Z5" s="1469"/>
      <c r="AA5" s="1469"/>
      <c r="AB5" s="1469"/>
      <c r="AC5" s="1469"/>
      <c r="AD5" s="1469"/>
      <c r="AE5" s="1469"/>
      <c r="AF5" s="1469"/>
      <c r="AG5" s="1469"/>
      <c r="AH5" s="1469"/>
      <c r="AI5" s="1469"/>
      <c r="AJ5" s="1469"/>
      <c r="AK5" s="1470"/>
      <c r="AL5" s="511"/>
      <c r="AM5" s="511"/>
      <c r="AN5" s="511"/>
      <c r="AO5" s="564"/>
      <c r="AP5" s="564"/>
      <c r="AQ5" s="564"/>
      <c r="AR5" s="564"/>
      <c r="AS5" s="564"/>
      <c r="AT5" s="564"/>
      <c r="AU5" s="564"/>
      <c r="AV5" s="564"/>
      <c r="AW5" s="460"/>
    </row>
    <row r="6" spans="2:55" ht="20.399999999999999" customHeight="1">
      <c r="C6" s="1461"/>
      <c r="D6" s="1471" t="s">
        <v>1144</v>
      </c>
      <c r="E6" s="1472"/>
      <c r="F6" s="1472"/>
      <c r="G6" s="1472"/>
      <c r="H6" s="1472"/>
      <c r="I6" s="1472"/>
      <c r="J6" s="1472"/>
      <c r="K6" s="1472"/>
      <c r="L6" s="1472"/>
      <c r="M6" s="1472"/>
      <c r="N6" s="1472"/>
      <c r="O6" s="1472"/>
      <c r="P6" s="1472"/>
      <c r="Q6" s="1472"/>
      <c r="R6" s="1472"/>
      <c r="S6" s="1472"/>
      <c r="T6" s="1472"/>
      <c r="U6" s="1472"/>
      <c r="V6" s="1472"/>
      <c r="W6" s="1472"/>
      <c r="X6" s="1472"/>
      <c r="Y6" s="1472"/>
      <c r="Z6" s="1472"/>
      <c r="AA6" s="1472"/>
      <c r="AB6" s="1472"/>
      <c r="AC6" s="1472"/>
      <c r="AD6" s="1472"/>
      <c r="AE6" s="1472"/>
      <c r="AF6" s="1472"/>
      <c r="AG6" s="1472"/>
      <c r="AH6" s="1472"/>
      <c r="AI6" s="1472"/>
      <c r="AJ6" s="1472"/>
      <c r="AK6" s="1473"/>
      <c r="AL6" s="502"/>
      <c r="AM6" s="502"/>
      <c r="AN6" s="502"/>
      <c r="AO6" s="565"/>
      <c r="AP6" s="565"/>
      <c r="AQ6" s="565"/>
      <c r="AR6" s="565"/>
      <c r="AS6" s="565"/>
      <c r="AT6" s="565"/>
      <c r="AU6" s="565"/>
      <c r="AV6" s="565"/>
      <c r="AW6" s="461"/>
    </row>
    <row r="7" spans="2:55" ht="19.5" customHeight="1">
      <c r="C7" s="936" t="s">
        <v>1157</v>
      </c>
      <c r="D7" s="1104">
        <v>44651</v>
      </c>
    </row>
    <row r="8" spans="2:55" s="471" customFormat="1" ht="24" customHeight="1" thickBot="1">
      <c r="D8" s="473"/>
      <c r="E8" s="472"/>
      <c r="F8" s="472"/>
      <c r="G8" s="472"/>
      <c r="H8" s="472"/>
      <c r="I8" s="472"/>
      <c r="J8" s="472"/>
      <c r="K8" s="472"/>
      <c r="L8" s="472"/>
      <c r="M8" s="472"/>
      <c r="N8" s="472"/>
      <c r="O8" s="472"/>
      <c r="P8" s="472"/>
      <c r="Q8" s="472"/>
      <c r="R8" s="472"/>
      <c r="S8" s="472"/>
      <c r="T8" s="472"/>
      <c r="U8" s="472"/>
      <c r="V8" s="472"/>
      <c r="W8" s="472"/>
      <c r="X8" s="472"/>
      <c r="Y8" s="472"/>
      <c r="Z8" s="472"/>
      <c r="AA8" s="472"/>
      <c r="AB8" s="472"/>
      <c r="AC8" s="472"/>
      <c r="AD8" s="472"/>
      <c r="AE8" s="472"/>
      <c r="AF8" s="472"/>
      <c r="AG8" s="472"/>
      <c r="AH8" s="1040"/>
      <c r="AJ8" s="1040"/>
      <c r="AM8" s="1040"/>
      <c r="AW8" s="473"/>
    </row>
    <row r="9" spans="2:55" s="471" customFormat="1" ht="16.2" thickBot="1">
      <c r="C9" s="474" t="s">
        <v>867</v>
      </c>
      <c r="D9" s="504"/>
      <c r="E9" s="1446" t="s">
        <v>1144</v>
      </c>
      <c r="F9" s="1447"/>
      <c r="G9" s="1447"/>
      <c r="H9" s="1447"/>
      <c r="I9" s="1447"/>
      <c r="J9" s="1447"/>
      <c r="K9" s="1447"/>
      <c r="L9" s="1447"/>
      <c r="M9" s="1448"/>
      <c r="N9" s="1449" t="s">
        <v>1145</v>
      </c>
      <c r="O9" s="1450"/>
      <c r="P9" s="1450"/>
      <c r="Q9" s="1450"/>
      <c r="R9" s="1450"/>
      <c r="S9" s="1450"/>
      <c r="T9" s="1450"/>
      <c r="U9" s="1450"/>
      <c r="V9" s="1451"/>
      <c r="W9" s="1443" t="s">
        <v>1146</v>
      </c>
      <c r="X9" s="1444"/>
      <c r="Y9" s="1444"/>
      <c r="Z9" s="1444"/>
      <c r="AA9" s="1444"/>
      <c r="AB9" s="1444"/>
      <c r="AC9" s="1444"/>
      <c r="AD9" s="1444"/>
      <c r="AE9" s="1445"/>
      <c r="AF9" s="1449" t="s">
        <v>1056</v>
      </c>
      <c r="AG9" s="1450"/>
      <c r="AH9" s="1450"/>
      <c r="AI9" s="1450"/>
      <c r="AJ9" s="1450"/>
      <c r="AK9" s="1450"/>
      <c r="AL9" s="1450"/>
      <c r="AM9" s="1450"/>
      <c r="AN9" s="1451"/>
      <c r="AW9" s="473"/>
    </row>
    <row r="10" spans="2:55" ht="28.95" customHeight="1">
      <c r="C10" s="1440" t="s">
        <v>889</v>
      </c>
      <c r="D10" s="1460" t="s">
        <v>868</v>
      </c>
      <c r="E10" s="1436" t="s">
        <v>869</v>
      </c>
      <c r="F10" s="1437"/>
      <c r="G10" s="1438"/>
      <c r="H10" s="1439" t="s">
        <v>1148</v>
      </c>
      <c r="I10" s="1441" t="s">
        <v>1152</v>
      </c>
      <c r="J10" s="1439" t="s">
        <v>870</v>
      </c>
      <c r="K10" s="1439" t="s">
        <v>864</v>
      </c>
      <c r="L10" s="1439"/>
      <c r="M10" s="1439"/>
      <c r="N10" s="1436" t="s">
        <v>869</v>
      </c>
      <c r="O10" s="1437"/>
      <c r="P10" s="1438"/>
      <c r="Q10" s="1439" t="s">
        <v>1158</v>
      </c>
      <c r="R10" s="1441" t="s">
        <v>1149</v>
      </c>
      <c r="S10" s="1439" t="s">
        <v>870</v>
      </c>
      <c r="T10" s="1439" t="s">
        <v>864</v>
      </c>
      <c r="U10" s="1439"/>
      <c r="V10" s="1439"/>
      <c r="W10" s="1436" t="s">
        <v>869</v>
      </c>
      <c r="X10" s="1437"/>
      <c r="Y10" s="1438"/>
      <c r="Z10" s="1439" t="s">
        <v>1159</v>
      </c>
      <c r="AA10" s="1441" t="s">
        <v>1154</v>
      </c>
      <c r="AB10" s="1439" t="s">
        <v>870</v>
      </c>
      <c r="AC10" s="1439" t="s">
        <v>864</v>
      </c>
      <c r="AD10" s="1439"/>
      <c r="AE10" s="1439"/>
      <c r="AF10" s="1436" t="s">
        <v>869</v>
      </c>
      <c r="AG10" s="1437"/>
      <c r="AH10" s="1438"/>
      <c r="AI10" s="1439" t="s">
        <v>1160</v>
      </c>
      <c r="AJ10" s="1441" t="s">
        <v>1156</v>
      </c>
      <c r="AK10" s="1439" t="s">
        <v>870</v>
      </c>
      <c r="AL10" s="1439" t="s">
        <v>864</v>
      </c>
      <c r="AM10" s="1439"/>
      <c r="AN10" s="1439"/>
      <c r="AO10" s="1452" t="s">
        <v>716</v>
      </c>
      <c r="AP10" s="1452"/>
      <c r="AQ10" s="1452"/>
      <c r="AR10" s="1452"/>
      <c r="AS10" s="1452"/>
      <c r="AT10" s="1452"/>
      <c r="AU10" s="1452"/>
      <c r="AV10" s="1452"/>
      <c r="AW10" s="1440" t="s">
        <v>890</v>
      </c>
    </row>
    <row r="11" spans="2:55" ht="55.95" customHeight="1">
      <c r="C11" s="1440"/>
      <c r="D11" s="1460"/>
      <c r="E11" s="561" t="s">
        <v>1161</v>
      </c>
      <c r="F11" s="974" t="str">
        <f>+E9</f>
        <v>Primer Trimestre</v>
      </c>
      <c r="G11" s="975" t="s">
        <v>1151</v>
      </c>
      <c r="H11" s="1440"/>
      <c r="I11" s="1442"/>
      <c r="J11" s="1440"/>
      <c r="K11" s="1037" t="str">
        <f>+$D$6</f>
        <v>Primer Trimestre</v>
      </c>
      <c r="L11" s="1038" t="str">
        <f>+G11</f>
        <v>Acumulado
Corte 
31/03/2022</v>
      </c>
      <c r="M11" s="1039" t="s">
        <v>761</v>
      </c>
      <c r="N11" s="1045" t="s">
        <v>1161</v>
      </c>
      <c r="O11" s="1037" t="str">
        <f>+N9</f>
        <v>Segundo Trimestre</v>
      </c>
      <c r="P11" s="1038" t="s">
        <v>1150</v>
      </c>
      <c r="Q11" s="1440"/>
      <c r="R11" s="1442"/>
      <c r="S11" s="1440"/>
      <c r="T11" s="1037" t="str">
        <f>+O11</f>
        <v>Segundo Trimestre</v>
      </c>
      <c r="U11" s="1038" t="str">
        <f>+P11</f>
        <v>Acumulado Corte 
30/06/2022</v>
      </c>
      <c r="V11" s="1039" t="s">
        <v>761</v>
      </c>
      <c r="W11" s="1045" t="s">
        <v>1161</v>
      </c>
      <c r="X11" s="1037" t="str">
        <f>+W9</f>
        <v>Tercer Trimestre</v>
      </c>
      <c r="Y11" s="1038" t="s">
        <v>1153</v>
      </c>
      <c r="Z11" s="1440"/>
      <c r="AA11" s="1442"/>
      <c r="AB11" s="1440"/>
      <c r="AC11" s="1037" t="str">
        <f>+X11</f>
        <v>Tercer Trimestre</v>
      </c>
      <c r="AD11" s="1038" t="str">
        <f>+Y11</f>
        <v>Acumulado Corte 
30/09/2022</v>
      </c>
      <c r="AE11" s="1039" t="s">
        <v>761</v>
      </c>
      <c r="AF11" s="1045" t="s">
        <v>1161</v>
      </c>
      <c r="AG11" s="1037" t="str">
        <f>+AF9</f>
        <v>Cuarto Trimestre</v>
      </c>
      <c r="AH11" s="1038" t="s">
        <v>1155</v>
      </c>
      <c r="AI11" s="1440"/>
      <c r="AJ11" s="1442"/>
      <c r="AK11" s="1440"/>
      <c r="AL11" s="1037" t="str">
        <f>+AG11</f>
        <v>Cuarto Trimestre</v>
      </c>
      <c r="AM11" s="1038" t="str">
        <f>+AH11</f>
        <v>Acumulado Corte 
31/12/2022</v>
      </c>
      <c r="AN11" s="1039" t="s">
        <v>761</v>
      </c>
      <c r="AO11" s="1453" t="s">
        <v>871</v>
      </c>
      <c r="AP11" s="1454"/>
      <c r="AQ11" s="1455" t="s">
        <v>872</v>
      </c>
      <c r="AR11" s="1456"/>
      <c r="AS11" s="1456"/>
      <c r="AT11" s="1457"/>
      <c r="AU11" s="1458" t="s">
        <v>724</v>
      </c>
      <c r="AV11" s="1459"/>
      <c r="AW11" s="1440"/>
    </row>
    <row r="12" spans="2:55" ht="74.400000000000006" customHeight="1">
      <c r="B12" s="475">
        <f>'[3]01 Direcc Estratégico POA 2020 '!R13</f>
        <v>1</v>
      </c>
      <c r="C12" s="477" t="str">
        <f>+'Rango indicadores'!D5</f>
        <v>01-RI-01</v>
      </c>
      <c r="D12" s="476" t="str">
        <f>+'Rango indicadores'!E5</f>
        <v xml:space="preserve">Porcentaje de acciones implementadas para la sostenibilidad y mejora del SGC </v>
      </c>
      <c r="E12" s="508">
        <f>+'Rango indicadores'!$Q$5</f>
        <v>1</v>
      </c>
      <c r="F12" s="508">
        <f>+'1.Informe Seguimiento POA 2022'!O55</f>
        <v>0.24000000000000002</v>
      </c>
      <c r="G12" s="508">
        <f>+'1.Informe Seguimiento POA 2022'!O55</f>
        <v>0.24000000000000002</v>
      </c>
      <c r="H12" s="508">
        <f>+'1.Informe Seguimiento POA 2022'!P55</f>
        <v>0.24000000000000002</v>
      </c>
      <c r="I12" s="508">
        <f>+'1.Informe Seguimiento POA 2022'!P55</f>
        <v>0.24000000000000002</v>
      </c>
      <c r="J12" s="508">
        <f>I12</f>
        <v>0.24000000000000002</v>
      </c>
      <c r="K12" s="479">
        <f t="shared" ref="K12:K15" si="0">IF(AND(F12&gt;0),H12/F12,"No programado")</f>
        <v>1</v>
      </c>
      <c r="L12" s="479">
        <f>IF(AND(G12&gt;0),J12/G12,"No programado")</f>
        <v>1</v>
      </c>
      <c r="M12" s="479">
        <f>IF(AND(E12&gt;0,$J12&gt;0),J12/$E12,0)</f>
        <v>0.24000000000000002</v>
      </c>
      <c r="N12" s="508">
        <f>+E12</f>
        <v>1</v>
      </c>
      <c r="O12" s="508">
        <f>+'1.Informe Seguimiento POA 2022'!Q55</f>
        <v>0.27</v>
      </c>
      <c r="P12" s="508">
        <f>+'1.Informe Seguimiento POA 2022'!O55+'1.Informe Seguimiento POA 2022'!Q55</f>
        <v>0.51</v>
      </c>
      <c r="Q12" s="508">
        <f>+'1.Informe Seguimiento POA 2022'!R55</f>
        <v>0</v>
      </c>
      <c r="R12" s="508">
        <f>+'1.Informe Seguimiento POA 2022'!P55+'1.Informe Seguimiento POA 2022'!R55</f>
        <v>0.24000000000000002</v>
      </c>
      <c r="S12" s="508">
        <f>H12+Q12</f>
        <v>0.24000000000000002</v>
      </c>
      <c r="T12" s="479">
        <f t="shared" ref="T12:T15" si="1">IF(AND(O12&gt;0),Q12/O12,"No programado")</f>
        <v>0</v>
      </c>
      <c r="U12" s="479">
        <f>IF(AND(P12&gt;0),S12/P12,"No programado")</f>
        <v>0.4705882352941177</v>
      </c>
      <c r="V12" s="479">
        <f>IF(AND(N12&gt;0,$J12&gt;0),S12/$E12,0)</f>
        <v>0.24000000000000002</v>
      </c>
      <c r="W12" s="508">
        <f>+E12</f>
        <v>1</v>
      </c>
      <c r="X12" s="508">
        <f>+'1.Informe Seguimiento POA 2022'!S55</f>
        <v>0.27</v>
      </c>
      <c r="Y12" s="508">
        <f>+'1.Informe Seguimiento POA 2022'!O55+'1.Informe Seguimiento POA 2022'!Q55+'1.Informe Seguimiento POA 2022'!S55</f>
        <v>0.78</v>
      </c>
      <c r="Z12" s="508">
        <f>+'1.Informe Seguimiento POA 2022'!T55</f>
        <v>0</v>
      </c>
      <c r="AA12" s="508">
        <f>+'1.Informe Seguimiento POA 2022'!R55+'1.Informe Seguimiento POA 2022'!T55+'1.Informe Seguimiento POA 2022'!P55</f>
        <v>0.24000000000000002</v>
      </c>
      <c r="AB12" s="508">
        <f>H12+Q12+Z12</f>
        <v>0.24000000000000002</v>
      </c>
      <c r="AC12" s="479">
        <f t="shared" ref="AC12:AC15" si="2">IF(AND(X12&gt;0),Z12/X12,"No programado")</f>
        <v>0</v>
      </c>
      <c r="AD12" s="479">
        <f>IF(AND(Y12&gt;0),AB12/Y12,"No programado")</f>
        <v>0.30769230769230771</v>
      </c>
      <c r="AE12" s="479">
        <f>IF(AND(W12&gt;0,$J12&gt;0),AB12/$E12,0)</f>
        <v>0.24000000000000002</v>
      </c>
      <c r="AF12" s="508">
        <f>+W12</f>
        <v>1</v>
      </c>
      <c r="AG12" s="508">
        <f>+'1.Informe Seguimiento POA 2022'!U55</f>
        <v>0.22</v>
      </c>
      <c r="AH12" s="508">
        <f>+'1.Informe Seguimiento POA 2022'!O55+'1.Informe Seguimiento POA 2022'!Q55+'1.Informe Seguimiento POA 2022'!S55+'1.Informe Seguimiento POA 2022'!U55</f>
        <v>1</v>
      </c>
      <c r="AI12" s="945">
        <f>+'1.Informe Seguimiento POA 2022'!V55</f>
        <v>0</v>
      </c>
      <c r="AJ12" s="623">
        <f>+'1.Informe Seguimiento POA 2022'!P55+'1.Informe Seguimiento POA 2022'!R55+'1.Informe Seguimiento POA 2022'!T55+'1.Informe Seguimiento POA 2022'!V55</f>
        <v>0.24000000000000002</v>
      </c>
      <c r="AK12" s="622">
        <f>H12+Q12+Z12+AI12</f>
        <v>0.24000000000000002</v>
      </c>
      <c r="AL12" s="479">
        <f t="shared" ref="AL12:AM15" si="3">IF(AND(AG12&gt;0),AI12/AG12,"No programado")</f>
        <v>0</v>
      </c>
      <c r="AM12" s="479">
        <f>IF(AND(AH12&gt;0),AK12/AH12,"No programado")</f>
        <v>0.24000000000000002</v>
      </c>
      <c r="AN12" s="479">
        <f>IF(AND(AF12&gt;0,$J12&gt;0),AK12/$E12,0)</f>
        <v>0.24000000000000002</v>
      </c>
      <c r="AO12" s="479" t="str">
        <f>+'Rango indicadores'!H5</f>
        <v>Mayor A:</v>
      </c>
      <c r="AP12" s="478">
        <f>+'Rango indicadores'!I5</f>
        <v>95</v>
      </c>
      <c r="AQ12" s="478" t="str">
        <f>+'Rango indicadores'!J5</f>
        <v>Desde (&gt;=):</v>
      </c>
      <c r="AR12" s="478">
        <f>+'Rango indicadores'!K5</f>
        <v>80</v>
      </c>
      <c r="AS12" s="478" t="str">
        <f>+'Rango indicadores'!L5</f>
        <v>Hasta (&lt;=):</v>
      </c>
      <c r="AT12" s="478">
        <f>+'Rango indicadores'!M5</f>
        <v>95</v>
      </c>
      <c r="AU12" s="478" t="str">
        <f>+'Rango indicadores'!N5</f>
        <v>Menor A:</v>
      </c>
      <c r="AV12" s="478">
        <f>+'Rango indicadores'!O5</f>
        <v>80</v>
      </c>
      <c r="AW12" s="574" t="s">
        <v>1172</v>
      </c>
      <c r="AY12" s="659"/>
      <c r="BA12" s="659"/>
      <c r="BC12" s="658"/>
    </row>
    <row r="13" spans="2:55" ht="74.400000000000006" customHeight="1">
      <c r="B13" s="475">
        <f>1+B12</f>
        <v>2</v>
      </c>
      <c r="C13" s="477" t="str">
        <f>+'Rango indicadores'!D6</f>
        <v>01-RI-02</v>
      </c>
      <c r="D13" s="476" t="str">
        <f>+'Rango indicadores'!E6</f>
        <v>Porcentaje de actividades implementadas para la sostenibilidad  y mejora del MIPG</v>
      </c>
      <c r="E13" s="508">
        <f>+'Rango indicadores'!Q6</f>
        <v>0.14000000000000001</v>
      </c>
      <c r="F13" s="508">
        <f>+'1.Informe Seguimiento POA 2022'!O56</f>
        <v>5.1000000000000004E-2</v>
      </c>
      <c r="G13" s="508">
        <f>+'1.Informe Seguimiento POA 2022'!O56</f>
        <v>5.1000000000000004E-2</v>
      </c>
      <c r="H13" s="508">
        <f>+'1.Informe Seguimiento POA 2022'!P56</f>
        <v>5.1000000000000004E-2</v>
      </c>
      <c r="I13" s="508">
        <f>+'1.Informe Seguimiento POA 2022'!P56</f>
        <v>5.1000000000000004E-2</v>
      </c>
      <c r="J13" s="508">
        <f t="shared" ref="J13:J14" si="4">I13</f>
        <v>5.1000000000000004E-2</v>
      </c>
      <c r="K13" s="479">
        <f t="shared" si="0"/>
        <v>1</v>
      </c>
      <c r="L13" s="479">
        <f t="shared" ref="L13:L15" si="5">IF(AND(G13&gt;0),I13/G13,"No programado")</f>
        <v>1</v>
      </c>
      <c r="M13" s="479">
        <f t="shared" ref="M13:M15" si="6">IF(AND(E13&gt;0,$J13&gt;0),J13/$E13,0)</f>
        <v>0.36428571428571427</v>
      </c>
      <c r="N13" s="508">
        <f t="shared" ref="N13:N15" si="7">+E13</f>
        <v>0.14000000000000001</v>
      </c>
      <c r="O13" s="508">
        <f>+'1.Informe Seguimiento POA 2022'!Q56</f>
        <v>3.5999999999999997E-2</v>
      </c>
      <c r="P13" s="508">
        <f>+'1.Informe Seguimiento POA 2022'!O56+'1.Informe Seguimiento POA 2022'!Q56</f>
        <v>8.6999999999999994E-2</v>
      </c>
      <c r="Q13" s="508">
        <f>+'1.Informe Seguimiento POA 2022'!R56</f>
        <v>0</v>
      </c>
      <c r="R13" s="508">
        <f>+'1.Informe Seguimiento POA 2022'!P56+'1.Informe Seguimiento POA 2022'!R56</f>
        <v>5.1000000000000004E-2</v>
      </c>
      <c r="S13" s="508">
        <f t="shared" ref="S13:S15" si="8">H13+Q13</f>
        <v>5.1000000000000004E-2</v>
      </c>
      <c r="T13" s="479">
        <f t="shared" si="1"/>
        <v>0</v>
      </c>
      <c r="U13" s="479">
        <f t="shared" ref="U13:U15" si="9">IF(AND(P13&gt;0),R13/P13,"No programado")</f>
        <v>0.5862068965517242</v>
      </c>
      <c r="V13" s="479">
        <f t="shared" ref="V13:V15" si="10">IF(AND(N13&gt;0,$J13&gt;0),S13/$E13,0)</f>
        <v>0.36428571428571427</v>
      </c>
      <c r="W13" s="508">
        <f t="shared" ref="W13:W15" si="11">+E13</f>
        <v>0.14000000000000001</v>
      </c>
      <c r="X13" s="508">
        <f>+'1.Informe Seguimiento POA 2022'!S56</f>
        <v>2.7E-2</v>
      </c>
      <c r="Y13" s="508">
        <f>+'1.Informe Seguimiento POA 2022'!O56+'1.Informe Seguimiento POA 2022'!Q56+'1.Informe Seguimiento POA 2022'!S56</f>
        <v>0.11399999999999999</v>
      </c>
      <c r="Z13" s="508">
        <f>+'1.Informe Seguimiento POA 2022'!T56</f>
        <v>0</v>
      </c>
      <c r="AA13" s="508">
        <f>+'1.Informe Seguimiento POA 2022'!R56+'1.Informe Seguimiento POA 2022'!T56+'1.Informe Seguimiento POA 2022'!P56</f>
        <v>5.1000000000000004E-2</v>
      </c>
      <c r="AB13" s="508">
        <f t="shared" ref="AB13:AB15" si="12">H13+Q13+Z13</f>
        <v>5.1000000000000004E-2</v>
      </c>
      <c r="AC13" s="479">
        <f t="shared" si="2"/>
        <v>0</v>
      </c>
      <c r="AD13" s="479">
        <f t="shared" ref="AD13:AD15" si="13">IF(AND(Y13&gt;0),AA13/Y13,"No programado")</f>
        <v>0.44736842105263164</v>
      </c>
      <c r="AE13" s="479">
        <f t="shared" ref="AE13:AE15" si="14">IF(AND(W13&gt;0,$J13&gt;0),AB13/$E13,0)</f>
        <v>0.36428571428571427</v>
      </c>
      <c r="AF13" s="508">
        <f t="shared" ref="AF13:AF14" si="15">+W13</f>
        <v>0.14000000000000001</v>
      </c>
      <c r="AG13" s="508">
        <f>+'1.Informe Seguimiento POA 2022'!U56</f>
        <v>2.6000000000000002E-2</v>
      </c>
      <c r="AH13" s="508">
        <f>+'1.Informe Seguimiento POA 2022'!O56+'1.Informe Seguimiento POA 2022'!Q56+'1.Informe Seguimiento POA 2022'!S56+'1.Informe Seguimiento POA 2022'!U56</f>
        <v>0.13999999999999999</v>
      </c>
      <c r="AI13" s="508">
        <f>+'1.Informe Seguimiento POA 2022'!V56</f>
        <v>0</v>
      </c>
      <c r="AJ13" s="623">
        <f>+'1.Informe Seguimiento POA 2022'!P56+'1.Informe Seguimiento POA 2022'!R56+'1.Informe Seguimiento POA 2022'!T56+'1.Informe Seguimiento POA 2022'!V56</f>
        <v>5.1000000000000004E-2</v>
      </c>
      <c r="AK13" s="622">
        <f t="shared" ref="AK13:AK15" si="16">H13+Q13+Z13+AI13</f>
        <v>5.1000000000000004E-2</v>
      </c>
      <c r="AL13" s="479">
        <f t="shared" si="3"/>
        <v>0</v>
      </c>
      <c r="AM13" s="479">
        <f t="shared" si="3"/>
        <v>0.36428571428571432</v>
      </c>
      <c r="AN13" s="479">
        <f t="shared" ref="AN13:AN15" si="17">IF(AND(AF13&gt;0,$J13&gt;0),AK13/$E13,0)</f>
        <v>0.36428571428571427</v>
      </c>
      <c r="AO13" s="479" t="str">
        <f>+'Rango indicadores'!H6</f>
        <v>Mayor A:</v>
      </c>
      <c r="AP13" s="478">
        <f>+'Rango indicadores'!I6</f>
        <v>95</v>
      </c>
      <c r="AQ13" s="478" t="str">
        <f>+'Rango indicadores'!J6</f>
        <v>Desde (&gt;=):</v>
      </c>
      <c r="AR13" s="478">
        <f>+'Rango indicadores'!K6</f>
        <v>80</v>
      </c>
      <c r="AS13" s="478" t="str">
        <f>+'Rango indicadores'!L6</f>
        <v>Hasta (&lt;=):</v>
      </c>
      <c r="AT13" s="478">
        <f>+'Rango indicadores'!M6</f>
        <v>95</v>
      </c>
      <c r="AU13" s="478" t="str">
        <f>+'Rango indicadores'!N6</f>
        <v>Menor A:</v>
      </c>
      <c r="AV13" s="478">
        <f>+'Rango indicadores'!O6</f>
        <v>80</v>
      </c>
      <c r="AW13" s="574" t="s">
        <v>1172</v>
      </c>
      <c r="AY13" s="659"/>
      <c r="BA13" s="659"/>
    </row>
    <row r="14" spans="2:55" ht="74.400000000000006" customHeight="1">
      <c r="B14" s="475">
        <f>1+B13</f>
        <v>3</v>
      </c>
      <c r="C14" s="477" t="str">
        <f>+'Rango indicadores'!D7</f>
        <v>01-RI-03</v>
      </c>
      <c r="D14" s="476" t="str">
        <f>+'Rango indicadores'!E7</f>
        <v xml:space="preserve">Porcentaje de requisitos del  SGA implementados bajo los estándares de la norma ISO 14001 </v>
      </c>
      <c r="E14" s="508">
        <f>+'Rango indicadores'!Q7</f>
        <v>0.33</v>
      </c>
      <c r="F14" s="508">
        <f>+'1.Informe Seguimiento POA 2022'!O57</f>
        <v>8.7999999999999995E-2</v>
      </c>
      <c r="G14" s="508">
        <f>+'1.Informe Seguimiento POA 2022'!O57</f>
        <v>8.7999999999999995E-2</v>
      </c>
      <c r="H14" s="508">
        <f>+'1.Informe Seguimiento POA 2022'!P57</f>
        <v>8.7999999999999995E-2</v>
      </c>
      <c r="I14" s="508">
        <f>+'1.Informe Seguimiento POA 2022'!P57</f>
        <v>8.7999999999999995E-2</v>
      </c>
      <c r="J14" s="508">
        <f t="shared" si="4"/>
        <v>8.7999999999999995E-2</v>
      </c>
      <c r="K14" s="479">
        <f t="shared" si="0"/>
        <v>1</v>
      </c>
      <c r="L14" s="479">
        <f t="shared" si="5"/>
        <v>1</v>
      </c>
      <c r="M14" s="479">
        <f t="shared" si="6"/>
        <v>0.26666666666666666</v>
      </c>
      <c r="N14" s="508">
        <f t="shared" si="7"/>
        <v>0.33</v>
      </c>
      <c r="O14" s="508">
        <f>+'1.Informe Seguimiento POA 2022'!Q57</f>
        <v>8.7999999999999995E-2</v>
      </c>
      <c r="P14" s="508">
        <f>+'1.Informe Seguimiento POA 2022'!O57+'1.Informe Seguimiento POA 2022'!Q57</f>
        <v>0.17599999999999999</v>
      </c>
      <c r="Q14" s="508">
        <f>+'1.Informe Seguimiento POA 2022'!R57</f>
        <v>0</v>
      </c>
      <c r="R14" s="508">
        <f>+'1.Informe Seguimiento POA 2022'!P57+'1.Informe Seguimiento POA 2022'!R57</f>
        <v>8.7999999999999995E-2</v>
      </c>
      <c r="S14" s="508">
        <f t="shared" si="8"/>
        <v>8.7999999999999995E-2</v>
      </c>
      <c r="T14" s="479">
        <f t="shared" si="1"/>
        <v>0</v>
      </c>
      <c r="U14" s="479">
        <f t="shared" si="9"/>
        <v>0.5</v>
      </c>
      <c r="V14" s="479">
        <f t="shared" si="10"/>
        <v>0.26666666666666666</v>
      </c>
      <c r="W14" s="508">
        <f t="shared" si="11"/>
        <v>0.33</v>
      </c>
      <c r="X14" s="508">
        <f>+'1.Informe Seguimiento POA 2022'!S57</f>
        <v>8.7999999999999995E-2</v>
      </c>
      <c r="Y14" s="508">
        <f>+'1.Informe Seguimiento POA 2022'!O57+'1.Informe Seguimiento POA 2022'!Q57+'1.Informe Seguimiento POA 2022'!S57</f>
        <v>0.26400000000000001</v>
      </c>
      <c r="Z14" s="508">
        <f>+'1.Informe Seguimiento POA 2022'!T57</f>
        <v>0</v>
      </c>
      <c r="AA14" s="508">
        <f>+'1.Informe Seguimiento POA 2022'!R57+'1.Informe Seguimiento POA 2022'!T57+'1.Informe Seguimiento POA 2022'!P57</f>
        <v>8.7999999999999995E-2</v>
      </c>
      <c r="AB14" s="508">
        <f t="shared" si="12"/>
        <v>8.7999999999999995E-2</v>
      </c>
      <c r="AC14" s="479">
        <f t="shared" si="2"/>
        <v>0</v>
      </c>
      <c r="AD14" s="479">
        <f t="shared" si="13"/>
        <v>0.33333333333333331</v>
      </c>
      <c r="AE14" s="479">
        <f t="shared" si="14"/>
        <v>0.26666666666666666</v>
      </c>
      <c r="AF14" s="508">
        <f t="shared" si="15"/>
        <v>0.33</v>
      </c>
      <c r="AG14" s="508">
        <f>+'1.Informe Seguimiento POA 2022'!U57</f>
        <v>6.6000000000000003E-2</v>
      </c>
      <c r="AH14" s="508">
        <f>+'1.Informe Seguimiento POA 2022'!O57+'1.Informe Seguimiento POA 2022'!Q57+'1.Informe Seguimiento POA 2022'!S57+'1.Informe Seguimiento POA 2022'!U57</f>
        <v>0.33</v>
      </c>
      <c r="AI14" s="508">
        <f>+'1.Informe Seguimiento POA 2022'!V57</f>
        <v>0</v>
      </c>
      <c r="AJ14" s="623">
        <f>+'1.Informe Seguimiento POA 2022'!P57+'1.Informe Seguimiento POA 2022'!R57+'1.Informe Seguimiento POA 2022'!T57+'1.Informe Seguimiento POA 2022'!V57</f>
        <v>8.7999999999999995E-2</v>
      </c>
      <c r="AK14" s="622">
        <f t="shared" si="16"/>
        <v>8.7999999999999995E-2</v>
      </c>
      <c r="AL14" s="479">
        <f t="shared" si="3"/>
        <v>0</v>
      </c>
      <c r="AM14" s="479">
        <f t="shared" si="3"/>
        <v>0.26666666666666666</v>
      </c>
      <c r="AN14" s="479">
        <f t="shared" si="17"/>
        <v>0.26666666666666666</v>
      </c>
      <c r="AO14" s="479" t="str">
        <f>+'Rango indicadores'!H7</f>
        <v>Mayor o igual A:</v>
      </c>
      <c r="AP14" s="478">
        <f>+'Rango indicadores'!I7</f>
        <v>95</v>
      </c>
      <c r="AQ14" s="478" t="str">
        <f>+'Rango indicadores'!J7</f>
        <v>Desde (&gt;):</v>
      </c>
      <c r="AR14" s="478">
        <f>+'Rango indicadores'!K7</f>
        <v>85</v>
      </c>
      <c r="AS14" s="478" t="str">
        <f>+'Rango indicadores'!L7</f>
        <v>Hasta (&lt;):</v>
      </c>
      <c r="AT14" s="478">
        <f>+'Rango indicadores'!M7</f>
        <v>95</v>
      </c>
      <c r="AU14" s="478" t="str">
        <f>+'Rango indicadores'!N7</f>
        <v>Menor o Igual A:</v>
      </c>
      <c r="AV14" s="478">
        <f>+'Rango indicadores'!O7</f>
        <v>85</v>
      </c>
      <c r="AW14" s="582" t="s">
        <v>1172</v>
      </c>
      <c r="AY14" s="659"/>
      <c r="BA14" s="659"/>
    </row>
    <row r="15" spans="2:55" ht="74.400000000000006" customHeight="1">
      <c r="B15" s="475">
        <f>1+B14</f>
        <v>4</v>
      </c>
      <c r="C15" s="477" t="str">
        <f>+'Rango indicadores'!D8</f>
        <v>01-RI-04</v>
      </c>
      <c r="D15" s="476" t="str">
        <f>+'Rango indicadores'!E8</f>
        <v>Acciones de monitoreo y revisión realizadas al PAAC</v>
      </c>
      <c r="E15" s="478">
        <f>+'Rango indicadores'!Q8</f>
        <v>3</v>
      </c>
      <c r="F15" s="478">
        <f>+'1.Informe Seguimiento POA 2022'!O58</f>
        <v>1</v>
      </c>
      <c r="G15" s="478">
        <f>+'1.Informe Seguimiento POA 2022'!O58</f>
        <v>1</v>
      </c>
      <c r="H15" s="478">
        <f>+'1.Informe Seguimiento POA 2022'!P58</f>
        <v>1</v>
      </c>
      <c r="I15" s="478">
        <f>+'1.Informe Seguimiento POA 2022'!P58</f>
        <v>1</v>
      </c>
      <c r="J15" s="478">
        <f>+I15</f>
        <v>1</v>
      </c>
      <c r="K15" s="479">
        <f t="shared" si="0"/>
        <v>1</v>
      </c>
      <c r="L15" s="479">
        <f t="shared" si="5"/>
        <v>1</v>
      </c>
      <c r="M15" s="479">
        <f t="shared" si="6"/>
        <v>0.33333333333333331</v>
      </c>
      <c r="N15" s="478">
        <f t="shared" si="7"/>
        <v>3</v>
      </c>
      <c r="O15" s="478">
        <f>+'1.Informe Seguimiento POA 2022'!Q58</f>
        <v>1</v>
      </c>
      <c r="P15" s="478">
        <f>+'1.Informe Seguimiento POA 2022'!O58+'1.Informe Seguimiento POA 2022'!Q58</f>
        <v>2</v>
      </c>
      <c r="Q15" s="478">
        <f>+'1.Informe Seguimiento POA 2022'!R58</f>
        <v>0</v>
      </c>
      <c r="R15" s="478">
        <f>+'1.Informe Seguimiento POA 2022'!P58+'1.Informe Seguimiento POA 2022'!R58</f>
        <v>1</v>
      </c>
      <c r="S15" s="478">
        <f t="shared" si="8"/>
        <v>1</v>
      </c>
      <c r="T15" s="479">
        <f t="shared" si="1"/>
        <v>0</v>
      </c>
      <c r="U15" s="479">
        <f t="shared" si="9"/>
        <v>0.5</v>
      </c>
      <c r="V15" s="479">
        <f t="shared" si="10"/>
        <v>0.33333333333333331</v>
      </c>
      <c r="W15" s="478">
        <f t="shared" si="11"/>
        <v>3</v>
      </c>
      <c r="X15" s="478">
        <f>+'1.Informe Seguimiento POA 2022'!S58</f>
        <v>1</v>
      </c>
      <c r="Y15" s="478">
        <f>+'1.Informe Seguimiento POA 2022'!O58+'1.Informe Seguimiento POA 2022'!Q58+'1.Informe Seguimiento POA 2022'!S58</f>
        <v>3</v>
      </c>
      <c r="Z15" s="478">
        <f>+'1.Informe Seguimiento POA 2022'!T58</f>
        <v>0</v>
      </c>
      <c r="AA15" s="478">
        <f>+'1.Informe Seguimiento POA 2022'!R58+'1.Informe Seguimiento POA 2022'!T58+'1.Informe Seguimiento POA 2022'!P58</f>
        <v>1</v>
      </c>
      <c r="AB15" s="478">
        <f t="shared" si="12"/>
        <v>1</v>
      </c>
      <c r="AC15" s="479">
        <f t="shared" si="2"/>
        <v>0</v>
      </c>
      <c r="AD15" s="479">
        <f t="shared" si="13"/>
        <v>0.33333333333333331</v>
      </c>
      <c r="AE15" s="479">
        <f t="shared" si="14"/>
        <v>0.33333333333333331</v>
      </c>
      <c r="AF15" s="478">
        <f>+W15</f>
        <v>3</v>
      </c>
      <c r="AG15" s="478">
        <f>+'1.Informe Seguimiento POA 2022'!U58</f>
        <v>0</v>
      </c>
      <c r="AH15" s="478">
        <f>+'1.Informe Seguimiento POA 2022'!O58+'1.Informe Seguimiento POA 2022'!Q58+'1.Informe Seguimiento POA 2022'!S58+'1.Informe Seguimiento POA 2022'!T58</f>
        <v>3</v>
      </c>
      <c r="AI15" s="478">
        <f>+'1.Informe Seguimiento POA 2022'!V58</f>
        <v>0</v>
      </c>
      <c r="AJ15" s="478">
        <f>+'1.Informe Seguimiento POA 2022'!P58+'1.Informe Seguimiento POA 2022'!R58+'1.Informe Seguimiento POA 2022'!T58+'1.Informe Seguimiento POA 2022'!V58</f>
        <v>1</v>
      </c>
      <c r="AK15" s="478">
        <f t="shared" si="16"/>
        <v>1</v>
      </c>
      <c r="AL15" s="479" t="str">
        <f t="shared" si="3"/>
        <v>No programado</v>
      </c>
      <c r="AM15" s="479">
        <f t="shared" si="3"/>
        <v>0.33333333333333331</v>
      </c>
      <c r="AN15" s="479">
        <f t="shared" si="17"/>
        <v>0.33333333333333331</v>
      </c>
      <c r="AO15" s="479" t="str">
        <f>+'Rango indicadores'!H8</f>
        <v>Mayor o igual A:</v>
      </c>
      <c r="AP15" s="478">
        <f>+'Rango indicadores'!I8</f>
        <v>100</v>
      </c>
      <c r="AQ15" s="478" t="str">
        <f>+'Rango indicadores'!J8</f>
        <v>Desde (&gt;):</v>
      </c>
      <c r="AR15" s="478">
        <f>+'Rango indicadores'!K8</f>
        <v>80</v>
      </c>
      <c r="AS15" s="478" t="str">
        <f>+'Rango indicadores'!L8</f>
        <v>Hasta (&lt;):</v>
      </c>
      <c r="AT15" s="478">
        <f>+'Rango indicadores'!M8</f>
        <v>100</v>
      </c>
      <c r="AU15" s="478" t="str">
        <f>+'Rango indicadores'!N8</f>
        <v>Menor o Igual A:</v>
      </c>
      <c r="AV15" s="478">
        <f>+'Rango indicadores'!O8</f>
        <v>80</v>
      </c>
      <c r="AW15" s="582" t="s">
        <v>1172</v>
      </c>
      <c r="AY15" s="656"/>
      <c r="BA15" s="656"/>
    </row>
    <row r="16" spans="2:55" ht="15.6">
      <c r="C16" s="1474" t="s">
        <v>873</v>
      </c>
      <c r="D16" s="1475"/>
      <c r="E16" s="1475"/>
      <c r="F16" s="1475"/>
      <c r="G16" s="1475"/>
      <c r="H16" s="1475"/>
      <c r="I16" s="1475"/>
      <c r="J16" s="1475"/>
      <c r="K16" s="481">
        <f>IFERROR(AVERAGE(K12:K15),0)</f>
        <v>1</v>
      </c>
      <c r="L16" s="481">
        <f>IFERROR(AVERAGE(L12:L15),0)</f>
        <v>1</v>
      </c>
      <c r="M16" s="481">
        <f>IFERROR(AVERAGE(M12:M15),0)</f>
        <v>0.30107142857142855</v>
      </c>
      <c r="N16" s="1085"/>
      <c r="O16" s="1085"/>
      <c r="P16" s="1085"/>
      <c r="Q16" s="1085"/>
      <c r="R16" s="1085"/>
      <c r="S16" s="1085"/>
      <c r="T16" s="481">
        <f>IFERROR(AVERAGE(T12:T15),0)</f>
        <v>0</v>
      </c>
      <c r="U16" s="481">
        <f>IFERROR(AVERAGE(U12:U15),0)</f>
        <v>0.51419878296146049</v>
      </c>
      <c r="V16" s="481">
        <f>IFERROR(AVERAGE(V12:V15),0)</f>
        <v>0.30107142857142855</v>
      </c>
      <c r="W16" s="1085"/>
      <c r="X16" s="1085"/>
      <c r="Y16" s="1085"/>
      <c r="Z16" s="1085"/>
      <c r="AA16" s="1085"/>
      <c r="AB16" s="1085"/>
      <c r="AC16" s="481">
        <f>IFERROR(AVERAGE(AC12:AC15),0)</f>
        <v>0</v>
      </c>
      <c r="AD16" s="481">
        <f>IFERROR(AVERAGE(AD12:AD15),0)</f>
        <v>0.35543184885290147</v>
      </c>
      <c r="AE16" s="481">
        <f>IFERROR(AVERAGE(AE12:AE15),0)</f>
        <v>0.30107142857142855</v>
      </c>
      <c r="AF16" s="1085"/>
      <c r="AG16" s="1085"/>
      <c r="AH16" s="1085"/>
      <c r="AI16" s="1085"/>
      <c r="AJ16" s="1085"/>
      <c r="AK16" s="1086"/>
      <c r="AL16" s="481">
        <f>IFERROR(AVERAGE(AL12:AL15),0)</f>
        <v>0</v>
      </c>
      <c r="AM16" s="481">
        <f>IFERROR(AVERAGE(AM12:AM15),0)</f>
        <v>0.30107142857142855</v>
      </c>
      <c r="AN16" s="481">
        <f>IFERROR(AVERAGE(AN12:AN15),0)</f>
        <v>0.30107142857142855</v>
      </c>
      <c r="AO16" s="470"/>
      <c r="AP16" s="470"/>
      <c r="AQ16" s="470"/>
      <c r="AR16" s="470"/>
      <c r="AS16" s="470"/>
      <c r="AT16" s="470"/>
      <c r="AU16" s="470"/>
      <c r="AV16" s="470"/>
      <c r="AW16" s="583"/>
    </row>
    <row r="17" spans="2:53" ht="24" customHeight="1" thickBot="1">
      <c r="E17" s="456"/>
      <c r="F17" s="456"/>
      <c r="G17" s="456"/>
      <c r="H17" s="456"/>
      <c r="I17" s="456"/>
      <c r="J17" s="456"/>
      <c r="K17" s="456"/>
      <c r="L17" s="456"/>
      <c r="M17" s="456"/>
      <c r="N17" s="456"/>
      <c r="O17" s="456"/>
      <c r="P17" s="456"/>
      <c r="Q17" s="456"/>
      <c r="R17" s="456"/>
      <c r="S17" s="456"/>
      <c r="T17" s="456"/>
      <c r="U17" s="456"/>
      <c r="V17" s="456"/>
      <c r="W17" s="456"/>
      <c r="X17" s="456"/>
      <c r="Y17" s="456"/>
      <c r="Z17" s="456"/>
      <c r="AA17" s="456"/>
      <c r="AB17" s="456"/>
      <c r="AC17" s="456"/>
      <c r="AD17" s="456"/>
      <c r="AE17" s="456"/>
      <c r="AF17" s="456"/>
    </row>
    <row r="18" spans="2:53" ht="16.2" thickBot="1">
      <c r="C18" s="482" t="s">
        <v>874</v>
      </c>
      <c r="D18" s="505"/>
      <c r="E18" s="1446" t="s">
        <v>1144</v>
      </c>
      <c r="F18" s="1447"/>
      <c r="G18" s="1447"/>
      <c r="H18" s="1447"/>
      <c r="I18" s="1447"/>
      <c r="J18" s="1447"/>
      <c r="K18" s="1447"/>
      <c r="L18" s="1447"/>
      <c r="M18" s="1448"/>
      <c r="N18" s="1449" t="s">
        <v>1145</v>
      </c>
      <c r="O18" s="1450"/>
      <c r="P18" s="1450"/>
      <c r="Q18" s="1450"/>
      <c r="R18" s="1450"/>
      <c r="S18" s="1450"/>
      <c r="T18" s="1450"/>
      <c r="U18" s="1450"/>
      <c r="V18" s="1451"/>
      <c r="W18" s="1443" t="s">
        <v>1146</v>
      </c>
      <c r="X18" s="1444"/>
      <c r="Y18" s="1444"/>
      <c r="Z18" s="1444"/>
      <c r="AA18" s="1444"/>
      <c r="AB18" s="1444"/>
      <c r="AC18" s="1444"/>
      <c r="AD18" s="1444"/>
      <c r="AE18" s="1445"/>
      <c r="AF18" s="1449" t="s">
        <v>1056</v>
      </c>
      <c r="AG18" s="1450"/>
      <c r="AH18" s="1450"/>
      <c r="AI18" s="1450"/>
      <c r="AJ18" s="1450"/>
      <c r="AK18" s="1450"/>
      <c r="AL18" s="1450"/>
      <c r="AM18" s="1450"/>
      <c r="AN18" s="1451"/>
    </row>
    <row r="19" spans="2:53" ht="24" customHeight="1">
      <c r="C19" s="1440" t="str">
        <f>+$C$10</f>
        <v>Identifificación del Indicador</v>
      </c>
      <c r="D19" s="1460" t="s">
        <v>868</v>
      </c>
      <c r="E19" s="1436" t="s">
        <v>869</v>
      </c>
      <c r="F19" s="1437"/>
      <c r="G19" s="1438"/>
      <c r="H19" s="1439" t="s">
        <v>1148</v>
      </c>
      <c r="I19" s="1441" t="s">
        <v>1152</v>
      </c>
      <c r="J19" s="1439" t="s">
        <v>870</v>
      </c>
      <c r="K19" s="1439" t="s">
        <v>864</v>
      </c>
      <c r="L19" s="1439"/>
      <c r="M19" s="1439"/>
      <c r="N19" s="1436" t="s">
        <v>869</v>
      </c>
      <c r="O19" s="1437"/>
      <c r="P19" s="1438"/>
      <c r="Q19" s="1439" t="s">
        <v>1158</v>
      </c>
      <c r="R19" s="1441" t="s">
        <v>1149</v>
      </c>
      <c r="S19" s="1439" t="s">
        <v>870</v>
      </c>
      <c r="T19" s="1439" t="s">
        <v>864</v>
      </c>
      <c r="U19" s="1439"/>
      <c r="V19" s="1439"/>
      <c r="W19" s="1436" t="s">
        <v>869</v>
      </c>
      <c r="X19" s="1437"/>
      <c r="Y19" s="1438"/>
      <c r="Z19" s="1439" t="s">
        <v>1159</v>
      </c>
      <c r="AA19" s="1441" t="s">
        <v>1154</v>
      </c>
      <c r="AB19" s="1439" t="s">
        <v>870</v>
      </c>
      <c r="AC19" s="1439" t="s">
        <v>864</v>
      </c>
      <c r="AD19" s="1439"/>
      <c r="AE19" s="1439"/>
      <c r="AF19" s="1436" t="s">
        <v>869</v>
      </c>
      <c r="AG19" s="1437"/>
      <c r="AH19" s="1438"/>
      <c r="AI19" s="1439" t="s">
        <v>1160</v>
      </c>
      <c r="AJ19" s="1441" t="s">
        <v>1156</v>
      </c>
      <c r="AK19" s="1439" t="s">
        <v>870</v>
      </c>
      <c r="AL19" s="1439" t="s">
        <v>864</v>
      </c>
      <c r="AM19" s="1439"/>
      <c r="AN19" s="1439"/>
      <c r="AO19" s="1452" t="s">
        <v>716</v>
      </c>
      <c r="AP19" s="1452"/>
      <c r="AQ19" s="1452"/>
      <c r="AR19" s="1452"/>
      <c r="AS19" s="1452"/>
      <c r="AT19" s="1452"/>
      <c r="AU19" s="1452"/>
      <c r="AV19" s="1452"/>
      <c r="AW19" s="1440" t="s">
        <v>890</v>
      </c>
    </row>
    <row r="20" spans="2:53" ht="50.25" customHeight="1">
      <c r="C20" s="1440"/>
      <c r="D20" s="1460"/>
      <c r="E20" s="1045" t="s">
        <v>1161</v>
      </c>
      <c r="F20" s="1041" t="str">
        <f>+E18</f>
        <v>Primer Trimestre</v>
      </c>
      <c r="G20" s="1042" t="s">
        <v>1151</v>
      </c>
      <c r="H20" s="1440"/>
      <c r="I20" s="1442"/>
      <c r="J20" s="1440"/>
      <c r="K20" s="1041" t="str">
        <f>+$D$6</f>
        <v>Primer Trimestre</v>
      </c>
      <c r="L20" s="1042" t="str">
        <f>+G20</f>
        <v>Acumulado
Corte 
31/03/2022</v>
      </c>
      <c r="M20" s="1043" t="s">
        <v>761</v>
      </c>
      <c r="N20" s="1045" t="s">
        <v>1161</v>
      </c>
      <c r="O20" s="1041" t="str">
        <f>+N18</f>
        <v>Segundo Trimestre</v>
      </c>
      <c r="P20" s="1042" t="s">
        <v>1150</v>
      </c>
      <c r="Q20" s="1440"/>
      <c r="R20" s="1442"/>
      <c r="S20" s="1440"/>
      <c r="T20" s="1041" t="str">
        <f>+O20</f>
        <v>Segundo Trimestre</v>
      </c>
      <c r="U20" s="1042" t="str">
        <f>+P20</f>
        <v>Acumulado Corte 
30/06/2022</v>
      </c>
      <c r="V20" s="1043" t="s">
        <v>761</v>
      </c>
      <c r="W20" s="1045" t="s">
        <v>1161</v>
      </c>
      <c r="X20" s="1041" t="str">
        <f>+W18</f>
        <v>Tercer Trimestre</v>
      </c>
      <c r="Y20" s="1042" t="s">
        <v>1153</v>
      </c>
      <c r="Z20" s="1440"/>
      <c r="AA20" s="1442"/>
      <c r="AB20" s="1440"/>
      <c r="AC20" s="1041" t="str">
        <f>+X20</f>
        <v>Tercer Trimestre</v>
      </c>
      <c r="AD20" s="1042" t="str">
        <f>+Y20</f>
        <v>Acumulado Corte 
30/09/2022</v>
      </c>
      <c r="AE20" s="1043" t="s">
        <v>761</v>
      </c>
      <c r="AF20" s="1045" t="s">
        <v>1161</v>
      </c>
      <c r="AG20" s="1041" t="str">
        <f>+AF18</f>
        <v>Cuarto Trimestre</v>
      </c>
      <c r="AH20" s="1042" t="s">
        <v>1155</v>
      </c>
      <c r="AI20" s="1440"/>
      <c r="AJ20" s="1442"/>
      <c r="AK20" s="1440"/>
      <c r="AL20" s="1041" t="str">
        <f>+AG20</f>
        <v>Cuarto Trimestre</v>
      </c>
      <c r="AM20" s="1042" t="str">
        <f>+AH20</f>
        <v>Acumulado Corte 
31/12/2022</v>
      </c>
      <c r="AN20" s="1043" t="s">
        <v>761</v>
      </c>
      <c r="AO20" s="1453" t="s">
        <v>871</v>
      </c>
      <c r="AP20" s="1454"/>
      <c r="AQ20" s="1455" t="s">
        <v>872</v>
      </c>
      <c r="AR20" s="1456"/>
      <c r="AS20" s="1456"/>
      <c r="AT20" s="1457"/>
      <c r="AU20" s="1458" t="s">
        <v>724</v>
      </c>
      <c r="AV20" s="1459"/>
      <c r="AW20" s="1440"/>
    </row>
    <row r="21" spans="2:53" ht="30">
      <c r="B21" s="475">
        <f>+B15+1</f>
        <v>5</v>
      </c>
      <c r="C21" s="477" t="str">
        <f>+'Rango indicadores'!D9</f>
        <v>02-RI-01</v>
      </c>
      <c r="D21" s="476" t="str">
        <f>+'Rango indicadores'!E9</f>
        <v>Proyectos de Investigación, Desarrollo e Innovación (I+D+I) elaborados</v>
      </c>
      <c r="E21" s="478">
        <f>+'Rango indicadores'!Q9</f>
        <v>1</v>
      </c>
      <c r="F21" s="478">
        <f>+'1.Informe Seguimiento POA 2022'!O96</f>
        <v>0</v>
      </c>
      <c r="G21" s="478">
        <f>+'1.Informe Seguimiento POA 2022'!O96</f>
        <v>0</v>
      </c>
      <c r="H21" s="478">
        <f>+'1.Informe Seguimiento POA 2022'!P96</f>
        <v>0</v>
      </c>
      <c r="I21" s="478">
        <f>+'1.Informe Seguimiento POA 2022'!X96</f>
        <v>0</v>
      </c>
      <c r="J21" s="478">
        <f>+I21</f>
        <v>0</v>
      </c>
      <c r="K21" s="484" t="str">
        <f>IF(AND(F21&gt;0),H21/F21,"No programado")</f>
        <v>No programado</v>
      </c>
      <c r="L21" s="484" t="str">
        <f>IF(AND(G21&gt;0),I21/G21,"No programado")</f>
        <v>No programado</v>
      </c>
      <c r="M21" s="479">
        <f t="shared" ref="M21:M24" si="18">IF(AND(E21&gt;0,$J21&gt;0),J21/$E21,0)</f>
        <v>0</v>
      </c>
      <c r="N21" s="478">
        <f t="shared" ref="N21" si="19">+E21</f>
        <v>1</v>
      </c>
      <c r="O21" s="478">
        <f>+'1.Informe Seguimiento POA 2022'!Q96</f>
        <v>0</v>
      </c>
      <c r="P21" s="478">
        <f>+'1.Informe Seguimiento POA 2022'!O96+'1.Informe Seguimiento POA 2022'!Q96</f>
        <v>0</v>
      </c>
      <c r="Q21" s="478">
        <f>+'1.Informe Seguimiento POA 2022'!R96</f>
        <v>0</v>
      </c>
      <c r="R21" s="478">
        <f>+'1.Informe Seguimiento POA 2022'!P96+'1.Informe Seguimiento POA 2022'!R96</f>
        <v>0</v>
      </c>
      <c r="S21" s="478">
        <f t="shared" ref="S21:S24" si="20">H21+Q21</f>
        <v>0</v>
      </c>
      <c r="T21" s="484" t="str">
        <f>IF(AND(O21&gt;0),Q21/O21,"No programado")</f>
        <v>No programado</v>
      </c>
      <c r="U21" s="484" t="str">
        <f>IF(AND(P21&gt;0),R21/P21,"No programado")</f>
        <v>No programado</v>
      </c>
      <c r="V21" s="479">
        <f t="shared" ref="V21:V24" si="21">IF(AND(N21&gt;0,$J21&gt;0),S21/$E21,0)</f>
        <v>0</v>
      </c>
      <c r="W21" s="478">
        <f t="shared" ref="W21" si="22">+E21</f>
        <v>1</v>
      </c>
      <c r="X21" s="478">
        <f>+'1.Informe Seguimiento POA 2022'!S96</f>
        <v>0</v>
      </c>
      <c r="Y21" s="478">
        <f>+'1.Informe Seguimiento POA 2022'!O96+'1.Informe Seguimiento POA 2022'!Q96+'1.Informe Seguimiento POA 2022'!S96</f>
        <v>0</v>
      </c>
      <c r="Z21" s="478">
        <f>+'1.Informe Seguimiento POA 2022'!T96</f>
        <v>0</v>
      </c>
      <c r="AA21" s="478">
        <f>+'1.Informe Seguimiento POA 2022'!R96+'1.Informe Seguimiento POA 2022'!T96+'1.Informe Seguimiento POA 2022'!P96</f>
        <v>0</v>
      </c>
      <c r="AB21" s="478">
        <f t="shared" ref="AB21:AB24" si="23">H21+Q21+Z21</f>
        <v>0</v>
      </c>
      <c r="AC21" s="484" t="str">
        <f>IF(AND(X21&gt;0),Z21/X21,"No programado")</f>
        <v>No programado</v>
      </c>
      <c r="AD21" s="484" t="str">
        <f>IF(AND(Y21&gt;0),AA21/Y21,"No programado")</f>
        <v>No programado</v>
      </c>
      <c r="AE21" s="479">
        <f t="shared" ref="AE21:AE24" si="24">IF(AND(W21&gt;0,$J21&gt;0),AB21/$E21,0)</f>
        <v>0</v>
      </c>
      <c r="AF21" s="478">
        <f>+W21</f>
        <v>1</v>
      </c>
      <c r="AG21" s="478">
        <f>+'1.Informe Seguimiento POA 2022'!U96</f>
        <v>1</v>
      </c>
      <c r="AH21" s="478">
        <f>+'1.Informe Seguimiento POA 2022'!O96+'1.Informe Seguimiento POA 2022'!Q96+'1.Informe Seguimiento POA 2022'!S96+'1.Informe Seguimiento POA 2022'!U96</f>
        <v>1</v>
      </c>
      <c r="AI21" s="478">
        <f>+'1.Informe Seguimiento POA 2022'!V96</f>
        <v>0</v>
      </c>
      <c r="AJ21" s="478">
        <f>+'1.Informe Seguimiento POA 2022'!P96+'1.Informe Seguimiento POA 2022'!R96+'1.Informe Seguimiento POA 2022'!T96+'1.Informe Seguimiento POA 2022'!V96</f>
        <v>0</v>
      </c>
      <c r="AK21" s="478">
        <f t="shared" ref="AK21:AK24" si="25">H21+Q21+Z21+AI21</f>
        <v>0</v>
      </c>
      <c r="AL21" s="484">
        <f>IF(AND(AG21&gt;0),AI21/AG21,"No programado")</f>
        <v>0</v>
      </c>
      <c r="AM21" s="484">
        <f>IF(AND(AH21&gt;0),AJ21/AH21,"No programado")</f>
        <v>0</v>
      </c>
      <c r="AN21" s="479">
        <f t="shared" ref="AN21:AN24" si="26">IF(AND(AF21&gt;0,$J21&gt;0),AK21/$E21,0)</f>
        <v>0</v>
      </c>
      <c r="AO21" s="466" t="str">
        <f>+'Rango indicadores'!H9</f>
        <v>Mayor o igual A:</v>
      </c>
      <c r="AP21" s="478">
        <f>+'Rango indicadores'!I9</f>
        <v>100</v>
      </c>
      <c r="AQ21" s="466" t="str">
        <f>+'Rango indicadores'!J9</f>
        <v>Desde (&gt;):</v>
      </c>
      <c r="AR21" s="478">
        <f>+'Rango indicadores'!K9</f>
        <v>60</v>
      </c>
      <c r="AS21" s="466" t="str">
        <f>+'Rango indicadores'!L9</f>
        <v>Hasta (&lt;):</v>
      </c>
      <c r="AT21" s="478">
        <f>+'Rango indicadores'!M9</f>
        <v>100</v>
      </c>
      <c r="AU21" s="466" t="str">
        <f>+'Rango indicadores'!N9</f>
        <v>Menor o Igual A:</v>
      </c>
      <c r="AV21" s="478">
        <f>+'Rango indicadores'!O9</f>
        <v>60</v>
      </c>
      <c r="AW21" s="582" t="s">
        <v>1173</v>
      </c>
      <c r="BA21" s="656"/>
    </row>
    <row r="22" spans="2:53" ht="30">
      <c r="B22" s="475">
        <f>+B21+1</f>
        <v>6</v>
      </c>
      <c r="C22" s="477" t="str">
        <f>+'Rango indicadores'!D10</f>
        <v>02-RI-04</v>
      </c>
      <c r="D22" s="476" t="str">
        <f>+'Rango indicadores'!E10</f>
        <v>Productos resultado de investigaciones, entregadas para la comunidad</v>
      </c>
      <c r="E22" s="478">
        <f>+'Rango indicadores'!Q10</f>
        <v>1</v>
      </c>
      <c r="F22" s="478">
        <f>+'1.Informe Seguimiento POA 2022'!O97</f>
        <v>0</v>
      </c>
      <c r="G22" s="478">
        <f>+'1.Informe Seguimiento POA 2022'!O97</f>
        <v>0</v>
      </c>
      <c r="H22" s="478">
        <f>+'1.Informe Seguimiento POA 2022'!P97</f>
        <v>0</v>
      </c>
      <c r="I22" s="478">
        <f>+'1.Informe Seguimiento POA 2022'!P97</f>
        <v>0</v>
      </c>
      <c r="J22" s="478">
        <f t="shared" ref="J22:J24" si="27">+I22</f>
        <v>0</v>
      </c>
      <c r="K22" s="484" t="str">
        <f>IF(AND(F22&gt;0),H22/F22,"No programado")</f>
        <v>No programado</v>
      </c>
      <c r="L22" s="484" t="str">
        <f>IF(AND(G22&gt;0),I22/G22,"No programado")</f>
        <v>No programado</v>
      </c>
      <c r="M22" s="479">
        <f t="shared" si="18"/>
        <v>0</v>
      </c>
      <c r="N22" s="478">
        <f t="shared" ref="N22:N24" si="28">+E22</f>
        <v>1</v>
      </c>
      <c r="O22" s="478">
        <f>+'1.Informe Seguimiento POA 2022'!Q97</f>
        <v>0</v>
      </c>
      <c r="P22" s="478">
        <f>+'1.Informe Seguimiento POA 2022'!O97+'1.Informe Seguimiento POA 2022'!Q97</f>
        <v>0</v>
      </c>
      <c r="Q22" s="478">
        <f>+'1.Informe Seguimiento POA 2022'!R97</f>
        <v>0</v>
      </c>
      <c r="R22" s="478">
        <f>+'1.Informe Seguimiento POA 2022'!P97+'1.Informe Seguimiento POA 2022'!R97</f>
        <v>0</v>
      </c>
      <c r="S22" s="478">
        <f t="shared" si="20"/>
        <v>0</v>
      </c>
      <c r="T22" s="484" t="str">
        <f>IF(AND(O22&gt;0),Q22/O22,"No programado")</f>
        <v>No programado</v>
      </c>
      <c r="U22" s="484" t="str">
        <f>IF(AND(P22&gt;0),R22/P22,"No programado")</f>
        <v>No programado</v>
      </c>
      <c r="V22" s="479">
        <f t="shared" si="21"/>
        <v>0</v>
      </c>
      <c r="W22" s="478">
        <f t="shared" ref="W22:W24" si="29">+E22</f>
        <v>1</v>
      </c>
      <c r="X22" s="478">
        <f>+'1.Informe Seguimiento POA 2022'!S97</f>
        <v>0</v>
      </c>
      <c r="Y22" s="478">
        <f>+'1.Informe Seguimiento POA 2022'!O97+'1.Informe Seguimiento POA 2022'!Q97+'1.Informe Seguimiento POA 2022'!S97</f>
        <v>0</v>
      </c>
      <c r="Z22" s="478">
        <f>+'1.Informe Seguimiento POA 2022'!T97</f>
        <v>0</v>
      </c>
      <c r="AA22" s="478">
        <f>+'1.Informe Seguimiento POA 2022'!R97+'1.Informe Seguimiento POA 2022'!T97+'1.Informe Seguimiento POA 2022'!P97</f>
        <v>0</v>
      </c>
      <c r="AB22" s="478">
        <f t="shared" si="23"/>
        <v>0</v>
      </c>
      <c r="AC22" s="484" t="str">
        <f t="shared" ref="AC22:AC23" si="30">IF(AND(X22&gt;0),Z22/X22,"No programado")</f>
        <v>No programado</v>
      </c>
      <c r="AD22" s="484" t="str">
        <f t="shared" ref="AD22:AD23" si="31">IF(AND(Y22&gt;0),AA22/Y22,"No programado")</f>
        <v>No programado</v>
      </c>
      <c r="AE22" s="479">
        <f t="shared" si="24"/>
        <v>0</v>
      </c>
      <c r="AF22" s="478">
        <f t="shared" ref="AF22:AF24" si="32">+W22</f>
        <v>1</v>
      </c>
      <c r="AG22" s="478">
        <f>+'1.Informe Seguimiento POA 2022'!U97</f>
        <v>1</v>
      </c>
      <c r="AH22" s="478">
        <f>+'1.Informe Seguimiento POA 2022'!O97+'1.Informe Seguimiento POA 2022'!Q97+'1.Informe Seguimiento POA 2022'!S97+'1.Informe Seguimiento POA 2022'!U97</f>
        <v>1</v>
      </c>
      <c r="AI22" s="478">
        <f>+'1.Informe Seguimiento POA 2022'!V97</f>
        <v>0</v>
      </c>
      <c r="AJ22" s="478">
        <f>+'1.Informe Seguimiento POA 2022'!P97+'1.Informe Seguimiento POA 2022'!R97+'1.Informe Seguimiento POA 2022'!T97+'1.Informe Seguimiento POA 2022'!V97</f>
        <v>0</v>
      </c>
      <c r="AK22" s="478">
        <f t="shared" si="25"/>
        <v>0</v>
      </c>
      <c r="AL22" s="484">
        <f>IF(AND(AG22&gt;0),AI22/AG22,"No programado")</f>
        <v>0</v>
      </c>
      <c r="AM22" s="484">
        <f>IF(AND(AH22&gt;0),AJ22/AH22,"No programado")</f>
        <v>0</v>
      </c>
      <c r="AN22" s="479">
        <f t="shared" si="26"/>
        <v>0</v>
      </c>
      <c r="AO22" s="466"/>
      <c r="AP22" s="478"/>
      <c r="AQ22" s="466"/>
      <c r="AR22" s="478"/>
      <c r="AS22" s="466"/>
      <c r="AT22" s="478"/>
      <c r="AU22" s="466"/>
      <c r="AV22" s="478"/>
      <c r="AW22" s="582" t="s">
        <v>1173</v>
      </c>
      <c r="BA22" s="656"/>
    </row>
    <row r="23" spans="2:53" ht="27" customHeight="1">
      <c r="B23" s="475">
        <f>+B22+1</f>
        <v>7</v>
      </c>
      <c r="C23" s="477" t="str">
        <f>+'Rango indicadores'!D11</f>
        <v>02-RI-02</v>
      </c>
      <c r="D23" s="476" t="str">
        <f>+'Rango indicadores'!E11</f>
        <v>Informes de investigación e innovación construidos</v>
      </c>
      <c r="E23" s="478">
        <f>+'Rango indicadores'!Q11</f>
        <v>2</v>
      </c>
      <c r="F23" s="478">
        <f>+'1.Informe Seguimiento POA 2022'!O98</f>
        <v>0</v>
      </c>
      <c r="G23" s="478">
        <f>+'1.Informe Seguimiento POA 2022'!O98</f>
        <v>0</v>
      </c>
      <c r="H23" s="478">
        <f>+'1.Informe Seguimiento POA 2022'!P98</f>
        <v>0</v>
      </c>
      <c r="I23" s="478">
        <f>+'1.Informe Seguimiento POA 2022'!P98</f>
        <v>0</v>
      </c>
      <c r="J23" s="478">
        <f t="shared" si="27"/>
        <v>0</v>
      </c>
      <c r="K23" s="484" t="str">
        <f>IF(AND(F23&gt;0),H23/F23,"No programado")</f>
        <v>No programado</v>
      </c>
      <c r="L23" s="484" t="str">
        <f t="shared" ref="L23:L24" si="33">IF(AND(G23&gt;0),I23/G23,"No programado")</f>
        <v>No programado</v>
      </c>
      <c r="M23" s="479">
        <f t="shared" si="18"/>
        <v>0</v>
      </c>
      <c r="N23" s="478">
        <f t="shared" si="28"/>
        <v>2</v>
      </c>
      <c r="O23" s="478">
        <f>+'1.Informe Seguimiento POA 2022'!Q98</f>
        <v>1</v>
      </c>
      <c r="P23" s="478">
        <f>+'1.Informe Seguimiento POA 2022'!O98+'1.Informe Seguimiento POA 2022'!Q98</f>
        <v>1</v>
      </c>
      <c r="Q23" s="478">
        <f>+'1.Informe Seguimiento POA 2022'!R98</f>
        <v>0</v>
      </c>
      <c r="R23" s="478">
        <f>+'1.Informe Seguimiento POA 2022'!P98+'1.Informe Seguimiento POA 2022'!R98</f>
        <v>0</v>
      </c>
      <c r="S23" s="478">
        <f t="shared" si="20"/>
        <v>0</v>
      </c>
      <c r="T23" s="484">
        <f t="shared" ref="T23:T24" si="34">IF(AND(O23&gt;0),Q23/O23,"No programado")</f>
        <v>0</v>
      </c>
      <c r="U23" s="484">
        <f t="shared" ref="U23:U24" si="35">IF(AND(P23&gt;0),R23/P23,"No programado")</f>
        <v>0</v>
      </c>
      <c r="V23" s="479">
        <f t="shared" si="21"/>
        <v>0</v>
      </c>
      <c r="W23" s="478">
        <f t="shared" si="29"/>
        <v>2</v>
      </c>
      <c r="X23" s="478">
        <f>+'1.Informe Seguimiento POA 2022'!S98</f>
        <v>0</v>
      </c>
      <c r="Y23" s="478">
        <f>+'1.Informe Seguimiento POA 2022'!O98+'1.Informe Seguimiento POA 2022'!Q98+'1.Informe Seguimiento POA 2022'!S98</f>
        <v>1</v>
      </c>
      <c r="Z23" s="478">
        <f>+'1.Informe Seguimiento POA 2022'!T98</f>
        <v>0</v>
      </c>
      <c r="AA23" s="478">
        <f>+'1.Informe Seguimiento POA 2022'!R98+'1.Informe Seguimiento POA 2022'!T98+'1.Informe Seguimiento POA 2022'!P98</f>
        <v>0</v>
      </c>
      <c r="AB23" s="478">
        <f t="shared" si="23"/>
        <v>0</v>
      </c>
      <c r="AC23" s="484" t="str">
        <f t="shared" si="30"/>
        <v>No programado</v>
      </c>
      <c r="AD23" s="484">
        <f t="shared" si="31"/>
        <v>0</v>
      </c>
      <c r="AE23" s="479">
        <f t="shared" si="24"/>
        <v>0</v>
      </c>
      <c r="AF23" s="478">
        <f t="shared" si="32"/>
        <v>2</v>
      </c>
      <c r="AG23" s="478">
        <f>+'1.Informe Seguimiento POA 2022'!U98</f>
        <v>1</v>
      </c>
      <c r="AH23" s="478">
        <f>+'1.Informe Seguimiento POA 2022'!O98+'1.Informe Seguimiento POA 2022'!Q98+'1.Informe Seguimiento POA 2022'!S98+'1.Informe Seguimiento POA 2022'!U98</f>
        <v>2</v>
      </c>
      <c r="AI23" s="478">
        <f>+'1.Informe Seguimiento POA 2022'!V98</f>
        <v>0</v>
      </c>
      <c r="AJ23" s="478">
        <f>+'1.Informe Seguimiento POA 2022'!P98+'1.Informe Seguimiento POA 2022'!R98+'1.Informe Seguimiento POA 2022'!T98+'1.Informe Seguimiento POA 2022'!V98</f>
        <v>0</v>
      </c>
      <c r="AK23" s="478">
        <f t="shared" si="25"/>
        <v>0</v>
      </c>
      <c r="AL23" s="484">
        <f>IF(AND(AG23&gt;0),AI23/AG23,"No programado")</f>
        <v>0</v>
      </c>
      <c r="AM23" s="484">
        <f t="shared" ref="AM23:AM24" si="36">IF(AND(AH23&gt;0),AJ23/AH23,"No programado")</f>
        <v>0</v>
      </c>
      <c r="AN23" s="479">
        <f t="shared" si="26"/>
        <v>0</v>
      </c>
      <c r="AO23" s="466" t="str">
        <f>+'Rango indicadores'!H11</f>
        <v>Mayor o igual A:</v>
      </c>
      <c r="AP23" s="478">
        <f>+'Rango indicadores'!I11</f>
        <v>100</v>
      </c>
      <c r="AQ23" s="466" t="str">
        <f>+'Rango indicadores'!J11</f>
        <v>Desde (&gt;):</v>
      </c>
      <c r="AR23" s="478">
        <f>+'Rango indicadores'!K11</f>
        <v>60</v>
      </c>
      <c r="AS23" s="466" t="str">
        <f>+'Rango indicadores'!L11</f>
        <v>Hasta (&lt;):</v>
      </c>
      <c r="AT23" s="478">
        <f>+'Rango indicadores'!M11</f>
        <v>100</v>
      </c>
      <c r="AU23" s="466" t="str">
        <f>+'Rango indicadores'!N11</f>
        <v>Menor o Igual A:</v>
      </c>
      <c r="AV23" s="478">
        <f>+'Rango indicadores'!O11</f>
        <v>60</v>
      </c>
      <c r="AW23" s="582" t="s">
        <v>1174</v>
      </c>
      <c r="BA23" s="656"/>
    </row>
    <row r="24" spans="2:53" ht="88.8" customHeight="1">
      <c r="B24" s="475">
        <f>+B23+1</f>
        <v>8</v>
      </c>
      <c r="C24" s="477" t="str">
        <f>+'Rango indicadores'!D12</f>
        <v>02-RI-03</v>
      </c>
      <c r="D24" s="476" t="str">
        <f>+'Rango indicadores'!E12</f>
        <v>Actividades de apropiación social del conocimiento desarrolladas</v>
      </c>
      <c r="E24" s="478">
        <f>+'Rango indicadores'!Q12</f>
        <v>38</v>
      </c>
      <c r="F24" s="478">
        <f>+'1.Informe Seguimiento POA 2022'!O99</f>
        <v>6</v>
      </c>
      <c r="G24" s="478">
        <f>+'1.Informe Seguimiento POA 2022'!O99</f>
        <v>6</v>
      </c>
      <c r="H24" s="478">
        <f>+'1.Informe Seguimiento POA 2022'!P99</f>
        <v>9</v>
      </c>
      <c r="I24" s="478">
        <f>+'1.Informe Seguimiento POA 2022'!P99</f>
        <v>9</v>
      </c>
      <c r="J24" s="478">
        <f t="shared" si="27"/>
        <v>9</v>
      </c>
      <c r="K24" s="484">
        <f>IF(AND(F24&gt;0),H24/F24,"No programado")</f>
        <v>1.5</v>
      </c>
      <c r="L24" s="484">
        <f t="shared" si="33"/>
        <v>1.5</v>
      </c>
      <c r="M24" s="479">
        <f t="shared" si="18"/>
        <v>0.23684210526315788</v>
      </c>
      <c r="N24" s="478">
        <f t="shared" si="28"/>
        <v>38</v>
      </c>
      <c r="O24" s="478">
        <f>+'1.Informe Seguimiento POA 2022'!Q99</f>
        <v>12</v>
      </c>
      <c r="P24" s="478">
        <f>+'1.Informe Seguimiento POA 2022'!O99+'1.Informe Seguimiento POA 2022'!Q99</f>
        <v>18</v>
      </c>
      <c r="Q24" s="478">
        <f>+'1.Informe Seguimiento POA 2022'!R99</f>
        <v>0</v>
      </c>
      <c r="R24" s="478">
        <f>+'1.Informe Seguimiento POA 2022'!P99+'1.Informe Seguimiento POA 2022'!R99</f>
        <v>9</v>
      </c>
      <c r="S24" s="478">
        <f t="shared" si="20"/>
        <v>9</v>
      </c>
      <c r="T24" s="484">
        <f t="shared" si="34"/>
        <v>0</v>
      </c>
      <c r="U24" s="484">
        <f t="shared" si="35"/>
        <v>0.5</v>
      </c>
      <c r="V24" s="479">
        <f t="shared" si="21"/>
        <v>0.23684210526315788</v>
      </c>
      <c r="W24" s="478">
        <f t="shared" si="29"/>
        <v>38</v>
      </c>
      <c r="X24" s="478">
        <f>+'1.Informe Seguimiento POA 2022'!S99</f>
        <v>12</v>
      </c>
      <c r="Y24" s="478">
        <f>+'1.Informe Seguimiento POA 2022'!O99+'1.Informe Seguimiento POA 2022'!Q99+'1.Informe Seguimiento POA 2022'!S99</f>
        <v>30</v>
      </c>
      <c r="Z24" s="478">
        <f>+'1.Informe Seguimiento POA 2022'!T99</f>
        <v>0</v>
      </c>
      <c r="AA24" s="478">
        <f>+'1.Informe Seguimiento POA 2022'!R99+'1.Informe Seguimiento POA 2022'!T99+'1.Informe Seguimiento POA 2022'!P99</f>
        <v>9</v>
      </c>
      <c r="AB24" s="478">
        <f t="shared" si="23"/>
        <v>9</v>
      </c>
      <c r="AC24" s="484">
        <f>IF(AND(X24&gt;0),Z24/X24,"No programado")</f>
        <v>0</v>
      </c>
      <c r="AD24" s="484">
        <f t="shared" ref="AD24" si="37">IF(AND(Y24&gt;0),AA24/Y24,"No programado")</f>
        <v>0.3</v>
      </c>
      <c r="AE24" s="479">
        <f t="shared" si="24"/>
        <v>0.23684210526315788</v>
      </c>
      <c r="AF24" s="478">
        <f t="shared" si="32"/>
        <v>38</v>
      </c>
      <c r="AG24" s="478">
        <f>+'1.Informe Seguimiento POA 2022'!U99</f>
        <v>8</v>
      </c>
      <c r="AH24" s="478">
        <f>+'1.Informe Seguimiento POA 2022'!O99+'1.Informe Seguimiento POA 2022'!Q99+'1.Informe Seguimiento POA 2022'!S99+'1.Informe Seguimiento POA 2022'!U99</f>
        <v>38</v>
      </c>
      <c r="AI24" s="478">
        <f>+'1.Informe Seguimiento POA 2022'!V99</f>
        <v>0</v>
      </c>
      <c r="AJ24" s="478">
        <f>+'1.Informe Seguimiento POA 2022'!P99+'1.Informe Seguimiento POA 2022'!R99+'1.Informe Seguimiento POA 2022'!T99+'1.Informe Seguimiento POA 2022'!V99</f>
        <v>9</v>
      </c>
      <c r="AK24" s="478">
        <f t="shared" si="25"/>
        <v>9</v>
      </c>
      <c r="AL24" s="484">
        <f>IF(AND(AG24&gt;0),AI24/AG24,"No programado")</f>
        <v>0</v>
      </c>
      <c r="AM24" s="484">
        <f t="shared" si="36"/>
        <v>0.23684210526315788</v>
      </c>
      <c r="AN24" s="479">
        <f t="shared" si="26"/>
        <v>0.23684210526315788</v>
      </c>
      <c r="AO24" s="466" t="str">
        <f>+'Rango indicadores'!H12</f>
        <v>Mayor o igual A:</v>
      </c>
      <c r="AP24" s="478">
        <f>+'Rango indicadores'!I12</f>
        <v>100</v>
      </c>
      <c r="AQ24" s="466" t="str">
        <f>+'Rango indicadores'!J12</f>
        <v>Desde (&gt;):</v>
      </c>
      <c r="AR24" s="478">
        <f>+'Rango indicadores'!K12</f>
        <v>60</v>
      </c>
      <c r="AS24" s="466" t="str">
        <f>+'Rango indicadores'!L12</f>
        <v>Hasta (&lt;):</v>
      </c>
      <c r="AT24" s="478">
        <f>+'Rango indicadores'!M12</f>
        <v>100</v>
      </c>
      <c r="AU24" s="466" t="str">
        <f>+'Rango indicadores'!N12</f>
        <v>Menor o Igual A:</v>
      </c>
      <c r="AV24" s="478">
        <f>+'Rango indicadores'!O12</f>
        <v>60</v>
      </c>
      <c r="AW24" s="582" t="s">
        <v>1175</v>
      </c>
      <c r="BA24" s="657"/>
    </row>
    <row r="25" spans="2:53" ht="15.6">
      <c r="C25" s="1474" t="s">
        <v>873</v>
      </c>
      <c r="D25" s="1475"/>
      <c r="E25" s="1475"/>
      <c r="F25" s="1475"/>
      <c r="G25" s="1475"/>
      <c r="H25" s="1475"/>
      <c r="I25" s="1475"/>
      <c r="J25" s="1475"/>
      <c r="K25" s="481">
        <f>IFERROR(AVERAGE(K21:K24),0)</f>
        <v>1.5</v>
      </c>
      <c r="L25" s="481">
        <f>IFERROR(AVERAGE(L21:L24),0)</f>
        <v>1.5</v>
      </c>
      <c r="M25" s="481">
        <f>IFERROR(AVERAGE(M21:M24),0)</f>
        <v>5.921052631578947E-2</v>
      </c>
      <c r="N25" s="1085"/>
      <c r="O25" s="1085"/>
      <c r="P25" s="1085"/>
      <c r="Q25" s="1085"/>
      <c r="R25" s="1085"/>
      <c r="S25" s="1085"/>
      <c r="T25" s="481">
        <f>IFERROR(AVERAGE(T21:T24),0)</f>
        <v>0</v>
      </c>
      <c r="U25" s="481">
        <f>IFERROR(AVERAGE(U21:U24),0)</f>
        <v>0.25</v>
      </c>
      <c r="V25" s="481">
        <f>IFERROR(AVERAGE(V21:V24),0)</f>
        <v>5.921052631578947E-2</v>
      </c>
      <c r="W25" s="1085"/>
      <c r="X25" s="1085"/>
      <c r="Y25" s="1085"/>
      <c r="Z25" s="1085"/>
      <c r="AA25" s="1085"/>
      <c r="AB25" s="1085"/>
      <c r="AC25" s="481">
        <f>IFERROR(AVERAGE(AC21:AC24),0)</f>
        <v>0</v>
      </c>
      <c r="AD25" s="481">
        <f>IFERROR(AVERAGE(AD21:AD24),0)</f>
        <v>0.15</v>
      </c>
      <c r="AE25" s="481">
        <f>IFERROR(AVERAGE(AE21:AE24),0)</f>
        <v>5.921052631578947E-2</v>
      </c>
      <c r="AF25" s="1085"/>
      <c r="AG25" s="1085"/>
      <c r="AH25" s="1085"/>
      <c r="AI25" s="1085"/>
      <c r="AJ25" s="1085"/>
      <c r="AK25" s="1086"/>
      <c r="AL25" s="481">
        <f>IFERROR(AVERAGE(AL21:AL24),0)</f>
        <v>0</v>
      </c>
      <c r="AM25" s="481">
        <f>IFERROR(AVERAGE(AM21:AM24),0)</f>
        <v>5.921052631578947E-2</v>
      </c>
      <c r="AN25" s="481">
        <f>IFERROR(AVERAGE(AN21:AN24),0)</f>
        <v>5.921052631578947E-2</v>
      </c>
      <c r="AO25" s="470"/>
      <c r="AP25" s="470"/>
      <c r="AQ25" s="470"/>
      <c r="AR25" s="470"/>
      <c r="AS25" s="470"/>
      <c r="AT25" s="470"/>
      <c r="AU25" s="470"/>
      <c r="AV25" s="470"/>
      <c r="AW25" s="583"/>
    </row>
    <row r="26" spans="2:53" s="471" customFormat="1" ht="24" customHeight="1" thickBot="1">
      <c r="C26" s="485"/>
      <c r="D26" s="506"/>
      <c r="E26" s="485"/>
      <c r="F26" s="485"/>
      <c r="G26" s="485"/>
      <c r="H26" s="485"/>
      <c r="I26" s="485"/>
      <c r="J26" s="485"/>
      <c r="K26" s="485"/>
      <c r="L26" s="485"/>
      <c r="M26" s="485"/>
      <c r="N26" s="485"/>
      <c r="O26" s="485"/>
      <c r="P26" s="485"/>
      <c r="Q26" s="485"/>
      <c r="R26" s="485"/>
      <c r="S26" s="485"/>
      <c r="T26" s="485"/>
      <c r="U26" s="485"/>
      <c r="V26" s="485"/>
      <c r="W26" s="485"/>
      <c r="X26" s="485"/>
      <c r="Y26" s="485"/>
      <c r="Z26" s="485"/>
      <c r="AA26" s="485"/>
      <c r="AB26" s="485"/>
      <c r="AC26" s="485"/>
      <c r="AD26" s="485"/>
      <c r="AE26" s="485"/>
      <c r="AF26" s="485"/>
      <c r="AG26" s="485"/>
      <c r="AH26" s="485"/>
      <c r="AI26" s="485"/>
      <c r="AJ26" s="485"/>
      <c r="AK26" s="485"/>
      <c r="AL26" s="485"/>
      <c r="AM26" s="485"/>
      <c r="AN26" s="485"/>
      <c r="AO26" s="485"/>
      <c r="AP26" s="485"/>
      <c r="AQ26" s="485"/>
      <c r="AR26" s="485"/>
      <c r="AS26" s="485"/>
      <c r="AT26" s="485"/>
      <c r="AU26" s="485"/>
      <c r="AV26" s="485"/>
      <c r="AW26" s="473"/>
    </row>
    <row r="27" spans="2:53" s="471" customFormat="1" ht="16.2" thickBot="1">
      <c r="C27" s="474" t="s">
        <v>875</v>
      </c>
      <c r="D27" s="504"/>
      <c r="E27" s="1446" t="s">
        <v>1144</v>
      </c>
      <c r="F27" s="1447"/>
      <c r="G27" s="1447"/>
      <c r="H27" s="1447"/>
      <c r="I27" s="1447"/>
      <c r="J27" s="1447"/>
      <c r="K27" s="1447"/>
      <c r="L27" s="1447"/>
      <c r="M27" s="1448"/>
      <c r="N27" s="1449" t="s">
        <v>1145</v>
      </c>
      <c r="O27" s="1450"/>
      <c r="P27" s="1450"/>
      <c r="Q27" s="1450"/>
      <c r="R27" s="1450"/>
      <c r="S27" s="1450"/>
      <c r="T27" s="1450"/>
      <c r="U27" s="1450"/>
      <c r="V27" s="1451"/>
      <c r="W27" s="1443" t="s">
        <v>1146</v>
      </c>
      <c r="X27" s="1444"/>
      <c r="Y27" s="1444"/>
      <c r="Z27" s="1444"/>
      <c r="AA27" s="1444"/>
      <c r="AB27" s="1444"/>
      <c r="AC27" s="1444"/>
      <c r="AD27" s="1444"/>
      <c r="AE27" s="1445"/>
      <c r="AF27" s="1449" t="s">
        <v>1056</v>
      </c>
      <c r="AG27" s="1450"/>
      <c r="AH27" s="1450"/>
      <c r="AI27" s="1450"/>
      <c r="AJ27" s="1450"/>
      <c r="AK27" s="1450"/>
      <c r="AL27" s="1450"/>
      <c r="AM27" s="1450"/>
      <c r="AN27" s="1451"/>
      <c r="AO27" s="485"/>
      <c r="AP27" s="485"/>
      <c r="AQ27" s="485"/>
      <c r="AR27" s="485"/>
      <c r="AS27" s="485"/>
      <c r="AT27" s="485"/>
      <c r="AU27" s="485"/>
      <c r="AV27" s="485"/>
      <c r="AW27" s="473"/>
    </row>
    <row r="28" spans="2:53" ht="22.2" customHeight="1">
      <c r="C28" s="1440" t="str">
        <f>+$C$10</f>
        <v>Identifificación del Indicador</v>
      </c>
      <c r="D28" s="1460" t="s">
        <v>868</v>
      </c>
      <c r="E28" s="1436" t="s">
        <v>869</v>
      </c>
      <c r="F28" s="1437"/>
      <c r="G28" s="1438"/>
      <c r="H28" s="1439" t="s">
        <v>1148</v>
      </c>
      <c r="I28" s="1441" t="s">
        <v>1152</v>
      </c>
      <c r="J28" s="1439" t="s">
        <v>870</v>
      </c>
      <c r="K28" s="1439" t="s">
        <v>864</v>
      </c>
      <c r="L28" s="1439"/>
      <c r="M28" s="1439"/>
      <c r="N28" s="1436" t="s">
        <v>869</v>
      </c>
      <c r="O28" s="1437"/>
      <c r="P28" s="1438"/>
      <c r="Q28" s="1439" t="s">
        <v>1158</v>
      </c>
      <c r="R28" s="1441" t="s">
        <v>1149</v>
      </c>
      <c r="S28" s="1439" t="s">
        <v>870</v>
      </c>
      <c r="T28" s="1439" t="s">
        <v>864</v>
      </c>
      <c r="U28" s="1439"/>
      <c r="V28" s="1439"/>
      <c r="W28" s="1436" t="s">
        <v>869</v>
      </c>
      <c r="X28" s="1437"/>
      <c r="Y28" s="1438"/>
      <c r="Z28" s="1439" t="s">
        <v>1159</v>
      </c>
      <c r="AA28" s="1441" t="s">
        <v>1154</v>
      </c>
      <c r="AB28" s="1439" t="s">
        <v>870</v>
      </c>
      <c r="AC28" s="1439" t="s">
        <v>864</v>
      </c>
      <c r="AD28" s="1439"/>
      <c r="AE28" s="1439"/>
      <c r="AF28" s="1436" t="s">
        <v>869</v>
      </c>
      <c r="AG28" s="1437"/>
      <c r="AH28" s="1438"/>
      <c r="AI28" s="1439" t="s">
        <v>1160</v>
      </c>
      <c r="AJ28" s="1441" t="s">
        <v>1156</v>
      </c>
      <c r="AK28" s="1439" t="s">
        <v>870</v>
      </c>
      <c r="AL28" s="1439" t="s">
        <v>864</v>
      </c>
      <c r="AM28" s="1439"/>
      <c r="AN28" s="1439"/>
      <c r="AO28" s="1452" t="s">
        <v>716</v>
      </c>
      <c r="AP28" s="1452"/>
      <c r="AQ28" s="1452"/>
      <c r="AR28" s="1452"/>
      <c r="AS28" s="1452"/>
      <c r="AT28" s="1452"/>
      <c r="AU28" s="1452"/>
      <c r="AV28" s="1452"/>
      <c r="AW28" s="1440" t="s">
        <v>890</v>
      </c>
    </row>
    <row r="29" spans="2:53" ht="53.4" customHeight="1">
      <c r="C29" s="1440"/>
      <c r="D29" s="1460"/>
      <c r="E29" s="1046" t="s">
        <v>1161</v>
      </c>
      <c r="F29" s="1041" t="str">
        <f>+E27</f>
        <v>Primer Trimestre</v>
      </c>
      <c r="G29" s="1042" t="s">
        <v>1151</v>
      </c>
      <c r="H29" s="1440"/>
      <c r="I29" s="1442"/>
      <c r="J29" s="1440"/>
      <c r="K29" s="1041" t="str">
        <f>+$D$6</f>
        <v>Primer Trimestre</v>
      </c>
      <c r="L29" s="1042" t="str">
        <f>+G29</f>
        <v>Acumulado
Corte 
31/03/2022</v>
      </c>
      <c r="M29" s="1043" t="s">
        <v>761</v>
      </c>
      <c r="N29" s="1046" t="s">
        <v>1161</v>
      </c>
      <c r="O29" s="1041" t="str">
        <f>+N27</f>
        <v>Segundo Trimestre</v>
      </c>
      <c r="P29" s="1042" t="s">
        <v>1150</v>
      </c>
      <c r="Q29" s="1440"/>
      <c r="R29" s="1442"/>
      <c r="S29" s="1440"/>
      <c r="T29" s="1041" t="str">
        <f>+O29</f>
        <v>Segundo Trimestre</v>
      </c>
      <c r="U29" s="1042" t="str">
        <f>+P29</f>
        <v>Acumulado Corte 
30/06/2022</v>
      </c>
      <c r="V29" s="1043" t="s">
        <v>761</v>
      </c>
      <c r="W29" s="1046" t="s">
        <v>1161</v>
      </c>
      <c r="X29" s="1041" t="str">
        <f>+W27</f>
        <v>Tercer Trimestre</v>
      </c>
      <c r="Y29" s="1042" t="s">
        <v>1153</v>
      </c>
      <c r="Z29" s="1440"/>
      <c r="AA29" s="1442"/>
      <c r="AB29" s="1440"/>
      <c r="AC29" s="1041" t="str">
        <f>+X29</f>
        <v>Tercer Trimestre</v>
      </c>
      <c r="AD29" s="1042" t="str">
        <f>+Y29</f>
        <v>Acumulado Corte 
30/09/2022</v>
      </c>
      <c r="AE29" s="1043" t="s">
        <v>761</v>
      </c>
      <c r="AF29" s="1046" t="s">
        <v>1161</v>
      </c>
      <c r="AG29" s="1041" t="str">
        <f>+AF27</f>
        <v>Cuarto Trimestre</v>
      </c>
      <c r="AH29" s="1042" t="s">
        <v>1155</v>
      </c>
      <c r="AI29" s="1440"/>
      <c r="AJ29" s="1442"/>
      <c r="AK29" s="1440"/>
      <c r="AL29" s="1041" t="str">
        <f>+AG29</f>
        <v>Cuarto Trimestre</v>
      </c>
      <c r="AM29" s="1042" t="str">
        <f>+AH29</f>
        <v>Acumulado Corte 
31/12/2022</v>
      </c>
      <c r="AN29" s="1043" t="s">
        <v>761</v>
      </c>
      <c r="AO29" s="1453" t="s">
        <v>871</v>
      </c>
      <c r="AP29" s="1454"/>
      <c r="AQ29" s="1455" t="s">
        <v>872</v>
      </c>
      <c r="AR29" s="1456"/>
      <c r="AS29" s="1456"/>
      <c r="AT29" s="1457"/>
      <c r="AU29" s="1458" t="s">
        <v>724</v>
      </c>
      <c r="AV29" s="1459"/>
      <c r="AW29" s="1440"/>
    </row>
    <row r="30" spans="2:53" ht="85.8" customHeight="1">
      <c r="B30" s="475">
        <f>+B24+1</f>
        <v>9</v>
      </c>
      <c r="C30" s="476" t="str">
        <f>+'Rango indicadores'!D13</f>
        <v>03-RI-01</v>
      </c>
      <c r="D30" s="476" t="str">
        <f>+'Rango indicadores'!E13</f>
        <v>Porcentaje de proyectos implementados de acuerdo al plan de tecnologías de la Información</v>
      </c>
      <c r="E30" s="480">
        <f>+'Rango indicadores'!Q13</f>
        <v>0.4</v>
      </c>
      <c r="F30" s="508">
        <f>+'1.Informe Seguimiento POA 2022'!O48</f>
        <v>7.0000000000000007E-2</v>
      </c>
      <c r="G30" s="508">
        <f>+'1.Informe Seguimiento POA 2022'!O48</f>
        <v>7.0000000000000007E-2</v>
      </c>
      <c r="H30" s="508">
        <f>+'1.Informe Seguimiento POA 2022'!P48</f>
        <v>7.0000000000000007E-2</v>
      </c>
      <c r="I30" s="508">
        <f>+'1.Informe Seguimiento POA 2022'!P48</f>
        <v>7.0000000000000007E-2</v>
      </c>
      <c r="J30" s="508">
        <f>+I30</f>
        <v>7.0000000000000007E-2</v>
      </c>
      <c r="K30" s="486">
        <f t="shared" ref="K30:K36" si="38">IF(AND(F30&gt;0),H30/F30,"No programado")</f>
        <v>1</v>
      </c>
      <c r="L30" s="486">
        <f>IF(AND(G30&gt;0),I30/G30,"No programado")</f>
        <v>1</v>
      </c>
      <c r="M30" s="479">
        <f>IF(AND(E30&gt;0,$J30&gt;0),J30/$E30,0)</f>
        <v>0.17500000000000002</v>
      </c>
      <c r="N30" s="508">
        <f t="shared" ref="N30" si="39">+E30</f>
        <v>0.4</v>
      </c>
      <c r="O30" s="508">
        <f>+'1.Informe Seguimiento POA 2022'!Q48</f>
        <v>0.13</v>
      </c>
      <c r="P30" s="508">
        <f>+'1.Informe Seguimiento POA 2022'!O48+'1.Informe Seguimiento POA 2022'!Q48</f>
        <v>0.2</v>
      </c>
      <c r="Q30" s="508">
        <f>+'1.Informe Seguimiento POA 2022'!R48</f>
        <v>0</v>
      </c>
      <c r="R30" s="508">
        <f>+'1.Informe Seguimiento POA 2022'!P48+'1.Informe Seguimiento POA 2022'!R48</f>
        <v>7.0000000000000007E-2</v>
      </c>
      <c r="S30" s="508">
        <f>H30+Q30</f>
        <v>7.0000000000000007E-2</v>
      </c>
      <c r="T30" s="486">
        <f t="shared" ref="T30:T36" si="40">IF(AND(O30&gt;0),Q30/O30,"No programado")</f>
        <v>0</v>
      </c>
      <c r="U30" s="486">
        <f>IF(AND(P30&gt;0),R30/P30,"No programado")</f>
        <v>0.35000000000000003</v>
      </c>
      <c r="V30" s="479">
        <f>IF(AND(N30&gt;0,$J30&gt;0),S30/$E30,0)</f>
        <v>0.17500000000000002</v>
      </c>
      <c r="W30" s="508">
        <f t="shared" ref="W30" si="41">+E30</f>
        <v>0.4</v>
      </c>
      <c r="X30" s="508">
        <f>+'1.Informe Seguimiento POA 2022'!S48</f>
        <v>0.13</v>
      </c>
      <c r="Y30" s="508">
        <f>+'1.Informe Seguimiento POA 2022'!O48+'1.Informe Seguimiento POA 2022'!Q48+'1.Informe Seguimiento POA 2022'!S48</f>
        <v>0.33</v>
      </c>
      <c r="Z30" s="508">
        <f>+'1.Informe Seguimiento POA 2022'!T48</f>
        <v>0</v>
      </c>
      <c r="AA30" s="508">
        <f>+'1.Informe Seguimiento POA 2022'!R48+'1.Informe Seguimiento POA 2022'!T48+'1.Informe Seguimiento POA 2022'!P48</f>
        <v>7.0000000000000007E-2</v>
      </c>
      <c r="AB30" s="508">
        <f t="shared" ref="AB30:AB36" si="42">H30+Q30+Z30</f>
        <v>7.0000000000000007E-2</v>
      </c>
      <c r="AC30" s="486">
        <f t="shared" ref="AC30" si="43">IF(AND(X30&gt;0),Z30/X30,"No programado")</f>
        <v>0</v>
      </c>
      <c r="AD30" s="486">
        <f>IF(AND(Y30&gt;0),AA30/Y30,"No programado")</f>
        <v>0.21212121212121213</v>
      </c>
      <c r="AE30" s="479">
        <f>IF(AND(W30&gt;0,$J30&gt;0),AB30/$E30,0)</f>
        <v>0.17500000000000002</v>
      </c>
      <c r="AF30" s="480">
        <f>+W30</f>
        <v>0.4</v>
      </c>
      <c r="AG30" s="480">
        <f>+'1.Informe Seguimiento POA 2022'!U48</f>
        <v>7.0000000000000007E-2</v>
      </c>
      <c r="AH30" s="480">
        <f>+'1.Informe Seguimiento POA 2022'!O48+'1.Informe Seguimiento POA 2022'!Q48+'1.Informe Seguimiento POA 2022'!S48+'1.Informe Seguimiento POA 2022'!U48</f>
        <v>0.4</v>
      </c>
      <c r="AI30" s="480">
        <f>+'1.Informe Seguimiento POA 2022'!V48</f>
        <v>0</v>
      </c>
      <c r="AJ30" s="480">
        <f>+'1.Informe Seguimiento POA 2022'!P48+'1.Informe Seguimiento POA 2022'!R48+'1.Informe Seguimiento POA 2022'!T48+'1.Informe Seguimiento POA 2022'!V48</f>
        <v>7.0000000000000007E-2</v>
      </c>
      <c r="AK30" s="622">
        <f>H30+Q30+Z30+AI30</f>
        <v>7.0000000000000007E-2</v>
      </c>
      <c r="AL30" s="486">
        <f t="shared" ref="AL30:AM35" si="44">IF(AND(AG30&gt;0),AI30/AG30,"No programado")</f>
        <v>0</v>
      </c>
      <c r="AM30" s="486">
        <f>IF(AND(AH30&gt;0),AJ30/AH30,"No programado")</f>
        <v>0.17500000000000002</v>
      </c>
      <c r="AN30" s="479">
        <f>IF(AND(AF30&gt;0,$J30&gt;0),AK30/$E30,0)</f>
        <v>0.17500000000000002</v>
      </c>
      <c r="AO30" s="483" t="str">
        <f>+'Rango indicadores'!H13</f>
        <v>Mayor o igual A:</v>
      </c>
      <c r="AP30" s="478">
        <f>+'Rango indicadores'!I13</f>
        <v>90</v>
      </c>
      <c r="AQ30" s="478" t="str">
        <f>+'Rango indicadores'!J13</f>
        <v>Desde (&gt;):</v>
      </c>
      <c r="AR30" s="478">
        <f>+'Rango indicadores'!K13</f>
        <v>85</v>
      </c>
      <c r="AS30" s="478" t="str">
        <f>+'Rango indicadores'!L13</f>
        <v>Hasta (&lt;):</v>
      </c>
      <c r="AT30" s="478">
        <f>+'Rango indicadores'!M13</f>
        <v>90</v>
      </c>
      <c r="AU30" s="478" t="str">
        <f>+'Rango indicadores'!N13</f>
        <v>Menor o Igual A:</v>
      </c>
      <c r="AV30" s="478">
        <f>+'Rango indicadores'!O13</f>
        <v>85</v>
      </c>
      <c r="AW30" s="574" t="s">
        <v>1176</v>
      </c>
    </row>
    <row r="31" spans="2:53" ht="85.8" customHeight="1">
      <c r="B31" s="475">
        <f t="shared" ref="B31:B36" si="45">+B30+1</f>
        <v>10</v>
      </c>
      <c r="C31" s="476" t="str">
        <f>+'Rango indicadores'!D14</f>
        <v>03-RI-02</v>
      </c>
      <c r="D31" s="476" t="str">
        <f>+'Rango indicadores'!E14</f>
        <v>Porcentaje de actividades ejecutadas de acuerdo al plan de Seguridad de información</v>
      </c>
      <c r="E31" s="480">
        <f>+'Rango indicadores'!Q14</f>
        <v>0.4</v>
      </c>
      <c r="F31" s="508">
        <f>+'1.Informe Seguimiento POA 2022'!O49</f>
        <v>7.0000000000000007E-2</v>
      </c>
      <c r="G31" s="508">
        <f>+'1.Informe Seguimiento POA 2022'!O49</f>
        <v>7.0000000000000007E-2</v>
      </c>
      <c r="H31" s="508">
        <f>+'1.Informe Seguimiento POA 2022'!P49</f>
        <v>7.0000000000000007E-2</v>
      </c>
      <c r="I31" s="508">
        <f>+'1.Informe Seguimiento POA 2022'!P49</f>
        <v>7.0000000000000007E-2</v>
      </c>
      <c r="J31" s="508">
        <f t="shared" ref="J31:J36" si="46">+I31</f>
        <v>7.0000000000000007E-2</v>
      </c>
      <c r="K31" s="486">
        <f t="shared" si="38"/>
        <v>1</v>
      </c>
      <c r="L31" s="486">
        <f t="shared" ref="L31" si="47">IF(AND(G31&gt;0),I31/G31,"No programado")</f>
        <v>1</v>
      </c>
      <c r="M31" s="479">
        <f t="shared" ref="M31:M36" si="48">IF(AND(E31&gt;0,$J31&gt;0),J31/$E31,0)</f>
        <v>0.17500000000000002</v>
      </c>
      <c r="N31" s="508">
        <f t="shared" ref="N31:N36" si="49">+E31</f>
        <v>0.4</v>
      </c>
      <c r="O31" s="508">
        <f>+'1.Informe Seguimiento POA 2022'!Q49</f>
        <v>0.13</v>
      </c>
      <c r="P31" s="508">
        <f>+'1.Informe Seguimiento POA 2022'!O49+'1.Informe Seguimiento POA 2022'!Q49</f>
        <v>0.2</v>
      </c>
      <c r="Q31" s="508">
        <f>+'1.Informe Seguimiento POA 2022'!R49</f>
        <v>0</v>
      </c>
      <c r="R31" s="508">
        <f>+'1.Informe Seguimiento POA 2022'!P49+'1.Informe Seguimiento POA 2022'!R49</f>
        <v>7.0000000000000007E-2</v>
      </c>
      <c r="S31" s="508">
        <f t="shared" ref="S31:S36" si="50">H31+Q31</f>
        <v>7.0000000000000007E-2</v>
      </c>
      <c r="T31" s="486">
        <f t="shared" si="40"/>
        <v>0</v>
      </c>
      <c r="U31" s="486">
        <f t="shared" ref="U31" si="51">IF(AND(P31&gt;0),R31/P31,"No programado")</f>
        <v>0.35000000000000003</v>
      </c>
      <c r="V31" s="479">
        <f t="shared" ref="V31:V36" si="52">IF(AND(N31&gt;0,$J31&gt;0),S31/$E31,0)</f>
        <v>0.17500000000000002</v>
      </c>
      <c r="W31" s="508">
        <f t="shared" ref="W31:W36" si="53">+E31</f>
        <v>0.4</v>
      </c>
      <c r="X31" s="508">
        <f>+'1.Informe Seguimiento POA 2022'!S49</f>
        <v>0.13</v>
      </c>
      <c r="Y31" s="508">
        <f>+'1.Informe Seguimiento POA 2022'!O49+'1.Informe Seguimiento POA 2022'!Q49+'1.Informe Seguimiento POA 2022'!S49</f>
        <v>0.33</v>
      </c>
      <c r="Z31" s="508">
        <f>+'1.Informe Seguimiento POA 2022'!T49</f>
        <v>0</v>
      </c>
      <c r="AA31" s="508">
        <f>+'1.Informe Seguimiento POA 2022'!R49+'1.Informe Seguimiento POA 2022'!T49+'1.Informe Seguimiento POA 2022'!P49</f>
        <v>7.0000000000000007E-2</v>
      </c>
      <c r="AB31" s="508">
        <f t="shared" si="42"/>
        <v>7.0000000000000007E-2</v>
      </c>
      <c r="AC31" s="486">
        <f t="shared" ref="AC31:AC36" si="54">IF(AND(X31&gt;0),Z31/X31,"No programado")</f>
        <v>0</v>
      </c>
      <c r="AD31" s="486">
        <f t="shared" ref="AD31:AD36" si="55">IF(AND(Y31&gt;0),AA31/Y31,"No programado")</f>
        <v>0.21212121212121213</v>
      </c>
      <c r="AE31" s="479">
        <f t="shared" ref="AE31:AE36" si="56">IF(AND(W31&gt;0,$J31&gt;0),AB31/$E31,0)</f>
        <v>0.17500000000000002</v>
      </c>
      <c r="AF31" s="480">
        <f t="shared" ref="AF31:AF36" si="57">+W31</f>
        <v>0.4</v>
      </c>
      <c r="AG31" s="480">
        <f>+'1.Informe Seguimiento POA 2022'!U49</f>
        <v>7.0000000000000007E-2</v>
      </c>
      <c r="AH31" s="480">
        <f>+'1.Informe Seguimiento POA 2022'!O49+'1.Informe Seguimiento POA 2022'!Q49+'1.Informe Seguimiento POA 2022'!S49+'1.Informe Seguimiento POA 2022'!U49</f>
        <v>0.4</v>
      </c>
      <c r="AI31" s="480">
        <f>+'1.Informe Seguimiento POA 2022'!V49</f>
        <v>0</v>
      </c>
      <c r="AJ31" s="480">
        <f>+'1.Informe Seguimiento POA 2022'!P49+'1.Informe Seguimiento POA 2022'!R49+'1.Informe Seguimiento POA 2022'!T49+'1.Informe Seguimiento POA 2022'!V49</f>
        <v>7.0000000000000007E-2</v>
      </c>
      <c r="AK31" s="622">
        <f t="shared" ref="AK31:AK36" si="58">H31+Q31+Z31+AI31</f>
        <v>7.0000000000000007E-2</v>
      </c>
      <c r="AL31" s="486">
        <f t="shared" si="44"/>
        <v>0</v>
      </c>
      <c r="AM31" s="486">
        <f t="shared" si="44"/>
        <v>0.17500000000000002</v>
      </c>
      <c r="AN31" s="479">
        <f t="shared" ref="AN31:AN36" si="59">IF(AND(AF31&gt;0,$J31&gt;0),AK31/$E31,0)</f>
        <v>0.17500000000000002</v>
      </c>
      <c r="AO31" s="483" t="str">
        <f>+'Rango indicadores'!H14</f>
        <v>Mayor o igual A:</v>
      </c>
      <c r="AP31" s="478">
        <f>+'Rango indicadores'!I14</f>
        <v>90</v>
      </c>
      <c r="AQ31" s="478" t="str">
        <f>+'Rango indicadores'!J14</f>
        <v>Desde (&gt;):</v>
      </c>
      <c r="AR31" s="478">
        <f>+'Rango indicadores'!K14</f>
        <v>85</v>
      </c>
      <c r="AS31" s="478" t="str">
        <f>+'Rango indicadores'!L14</f>
        <v>Hasta (&lt;):</v>
      </c>
      <c r="AT31" s="478">
        <f>+'Rango indicadores'!M14</f>
        <v>90</v>
      </c>
      <c r="AU31" s="478" t="str">
        <f>+'Rango indicadores'!N14</f>
        <v>Menor o Igual A:</v>
      </c>
      <c r="AV31" s="478">
        <f>+'Rango indicadores'!O14</f>
        <v>85</v>
      </c>
      <c r="AW31" s="574" t="s">
        <v>1176</v>
      </c>
      <c r="AX31" s="487"/>
      <c r="AY31" s="487"/>
      <c r="AZ31" s="487"/>
    </row>
    <row r="32" spans="2:53" ht="85.8" customHeight="1">
      <c r="B32" s="475">
        <f t="shared" si="45"/>
        <v>11</v>
      </c>
      <c r="C32" s="476" t="str">
        <f>+'Rango indicadores'!D15</f>
        <v>03-RI-03</v>
      </c>
      <c r="D32" s="476" t="str">
        <f>+'Rango indicadores'!E15</f>
        <v xml:space="preserve">Porcentaje de actividades ejecutadas  en la estrategia de servicios ciudadanos digitales </v>
      </c>
      <c r="E32" s="480">
        <f>+'Rango indicadores'!Q15</f>
        <v>0.4</v>
      </c>
      <c r="F32" s="508">
        <f>+'1.Informe Seguimiento POA 2022'!O50</f>
        <v>7.0000000000000007E-2</v>
      </c>
      <c r="G32" s="508">
        <f>+'1.Informe Seguimiento POA 2022'!O50</f>
        <v>7.0000000000000007E-2</v>
      </c>
      <c r="H32" s="508">
        <f>+'1.Informe Seguimiento POA 2022'!P50</f>
        <v>7.0000000000000007E-2</v>
      </c>
      <c r="I32" s="508">
        <f>+'1.Informe Seguimiento POA 2022'!P50</f>
        <v>7.0000000000000007E-2</v>
      </c>
      <c r="J32" s="508">
        <f t="shared" si="46"/>
        <v>7.0000000000000007E-2</v>
      </c>
      <c r="K32" s="486">
        <f t="shared" si="38"/>
        <v>1</v>
      </c>
      <c r="L32" s="486">
        <f>IF(AND(G32&gt;0),I32/G32,"No programado")</f>
        <v>1</v>
      </c>
      <c r="M32" s="479">
        <f t="shared" si="48"/>
        <v>0.17500000000000002</v>
      </c>
      <c r="N32" s="508">
        <f t="shared" si="49"/>
        <v>0.4</v>
      </c>
      <c r="O32" s="508">
        <f>+'1.Informe Seguimiento POA 2022'!Q50</f>
        <v>0.13</v>
      </c>
      <c r="P32" s="508">
        <f>+'1.Informe Seguimiento POA 2022'!O50+'1.Informe Seguimiento POA 2022'!Q50</f>
        <v>0.2</v>
      </c>
      <c r="Q32" s="508">
        <f>+'1.Informe Seguimiento POA 2022'!R50</f>
        <v>0</v>
      </c>
      <c r="R32" s="508">
        <f>+'1.Informe Seguimiento POA 2022'!P50+'1.Informe Seguimiento POA 2022'!R50</f>
        <v>7.0000000000000007E-2</v>
      </c>
      <c r="S32" s="508">
        <f t="shared" si="50"/>
        <v>7.0000000000000007E-2</v>
      </c>
      <c r="T32" s="486">
        <f t="shared" si="40"/>
        <v>0</v>
      </c>
      <c r="U32" s="486">
        <f>IF(AND(P32&gt;0),R32/P32,"No programado")</f>
        <v>0.35000000000000003</v>
      </c>
      <c r="V32" s="479">
        <f t="shared" si="52"/>
        <v>0.17500000000000002</v>
      </c>
      <c r="W32" s="508">
        <f t="shared" si="53"/>
        <v>0.4</v>
      </c>
      <c r="X32" s="508">
        <f>+'1.Informe Seguimiento POA 2022'!S50</f>
        <v>0.13</v>
      </c>
      <c r="Y32" s="508">
        <f>+'1.Informe Seguimiento POA 2022'!O50+'1.Informe Seguimiento POA 2022'!Q50+'1.Informe Seguimiento POA 2022'!S50</f>
        <v>0.33</v>
      </c>
      <c r="Z32" s="508">
        <f>+'1.Informe Seguimiento POA 2022'!T50</f>
        <v>0</v>
      </c>
      <c r="AA32" s="508">
        <f>+'1.Informe Seguimiento POA 2022'!R50+'1.Informe Seguimiento POA 2022'!T50+'1.Informe Seguimiento POA 2022'!P50</f>
        <v>7.0000000000000007E-2</v>
      </c>
      <c r="AB32" s="508">
        <f t="shared" si="42"/>
        <v>7.0000000000000007E-2</v>
      </c>
      <c r="AC32" s="486">
        <f t="shared" si="54"/>
        <v>0</v>
      </c>
      <c r="AD32" s="486">
        <f t="shared" si="55"/>
        <v>0.21212121212121213</v>
      </c>
      <c r="AE32" s="479">
        <f t="shared" si="56"/>
        <v>0.17500000000000002</v>
      </c>
      <c r="AF32" s="480">
        <f t="shared" si="57"/>
        <v>0.4</v>
      </c>
      <c r="AG32" s="480">
        <f>+'1.Informe Seguimiento POA 2022'!U50</f>
        <v>7.0000000000000007E-2</v>
      </c>
      <c r="AH32" s="480">
        <f>+'1.Informe Seguimiento POA 2022'!O50+'1.Informe Seguimiento POA 2022'!Q50+'1.Informe Seguimiento POA 2022'!S50+'1.Informe Seguimiento POA 2022'!U50</f>
        <v>0.4</v>
      </c>
      <c r="AI32" s="480">
        <f>+'1.Informe Seguimiento POA 2022'!V50</f>
        <v>0</v>
      </c>
      <c r="AJ32" s="480">
        <f>+'1.Informe Seguimiento POA 2022'!P50+'1.Informe Seguimiento POA 2022'!R50+'1.Informe Seguimiento POA 2022'!T50+'1.Informe Seguimiento POA 2022'!V50</f>
        <v>7.0000000000000007E-2</v>
      </c>
      <c r="AK32" s="622">
        <f t="shared" si="58"/>
        <v>7.0000000000000007E-2</v>
      </c>
      <c r="AL32" s="486">
        <f t="shared" si="44"/>
        <v>0</v>
      </c>
      <c r="AM32" s="486">
        <f>IF(AND(AH32&gt;0),AJ32/AH32,"No programado")</f>
        <v>0.17500000000000002</v>
      </c>
      <c r="AN32" s="479">
        <f t="shared" si="59"/>
        <v>0.17500000000000002</v>
      </c>
      <c r="AO32" s="483" t="str">
        <f>+'Rango indicadores'!H15</f>
        <v>Mayor o igual A:</v>
      </c>
      <c r="AP32" s="478">
        <f>+'Rango indicadores'!I15</f>
        <v>90</v>
      </c>
      <c r="AQ32" s="478" t="str">
        <f>+'Rango indicadores'!J15</f>
        <v>Desde (&gt;):</v>
      </c>
      <c r="AR32" s="478">
        <f>+'Rango indicadores'!K15</f>
        <v>85</v>
      </c>
      <c r="AS32" s="478" t="str">
        <f>+'Rango indicadores'!L15</f>
        <v>Hasta (&lt;):</v>
      </c>
      <c r="AT32" s="478">
        <f>+'Rango indicadores'!M15</f>
        <v>90</v>
      </c>
      <c r="AU32" s="478" t="str">
        <f>+'Rango indicadores'!N15</f>
        <v>Menor o Igual A:</v>
      </c>
      <c r="AV32" s="478">
        <f>+'Rango indicadores'!O15</f>
        <v>85</v>
      </c>
      <c r="AW32" s="574" t="s">
        <v>1176</v>
      </c>
    </row>
    <row r="33" spans="2:49" ht="85.8" customHeight="1">
      <c r="B33" s="475">
        <f t="shared" si="45"/>
        <v>12</v>
      </c>
      <c r="C33" s="476" t="str">
        <f>+'Rango indicadores'!D16</f>
        <v>03-RI-04</v>
      </c>
      <c r="D33" s="476" t="str">
        <f>+'Rango indicadores'!E16</f>
        <v>Porcentaje de lineamientos adoptados  en la estrategia de gestión de datos</v>
      </c>
      <c r="E33" s="480">
        <f>+'Rango indicadores'!Q16</f>
        <v>0.4</v>
      </c>
      <c r="F33" s="508">
        <f>+'1.Informe Seguimiento POA 2022'!O51</f>
        <v>7.0000000000000007E-2</v>
      </c>
      <c r="G33" s="508">
        <f>+'1.Informe Seguimiento POA 2022'!O51</f>
        <v>7.0000000000000007E-2</v>
      </c>
      <c r="H33" s="508">
        <f>+'1.Informe Seguimiento POA 2022'!P51</f>
        <v>7.0000000000000007E-2</v>
      </c>
      <c r="I33" s="508">
        <f>+'1.Informe Seguimiento POA 2022'!P51</f>
        <v>7.0000000000000007E-2</v>
      </c>
      <c r="J33" s="508">
        <f t="shared" si="46"/>
        <v>7.0000000000000007E-2</v>
      </c>
      <c r="K33" s="486">
        <f t="shared" si="38"/>
        <v>1</v>
      </c>
      <c r="L33" s="486">
        <f>IF(AND(G33&gt;0),I33/G33,"No programado")</f>
        <v>1</v>
      </c>
      <c r="M33" s="479">
        <f t="shared" si="48"/>
        <v>0.17500000000000002</v>
      </c>
      <c r="N33" s="508">
        <f t="shared" si="49"/>
        <v>0.4</v>
      </c>
      <c r="O33" s="508">
        <f>+'1.Informe Seguimiento POA 2022'!Q51</f>
        <v>0.13</v>
      </c>
      <c r="P33" s="508">
        <f>+'1.Informe Seguimiento POA 2022'!O51+'1.Informe Seguimiento POA 2022'!Q51</f>
        <v>0.2</v>
      </c>
      <c r="Q33" s="508">
        <f>+'1.Informe Seguimiento POA 2022'!R51</f>
        <v>0</v>
      </c>
      <c r="R33" s="508">
        <f>+'1.Informe Seguimiento POA 2022'!P51+'1.Informe Seguimiento POA 2022'!R51</f>
        <v>7.0000000000000007E-2</v>
      </c>
      <c r="S33" s="508">
        <f t="shared" si="50"/>
        <v>7.0000000000000007E-2</v>
      </c>
      <c r="T33" s="486">
        <f t="shared" si="40"/>
        <v>0</v>
      </c>
      <c r="U33" s="486">
        <f>IF(AND(P33&gt;0),R33/P33,"No programado")</f>
        <v>0.35000000000000003</v>
      </c>
      <c r="V33" s="479">
        <f t="shared" si="52"/>
        <v>0.17500000000000002</v>
      </c>
      <c r="W33" s="508">
        <f t="shared" si="53"/>
        <v>0.4</v>
      </c>
      <c r="X33" s="508">
        <f>+'1.Informe Seguimiento POA 2022'!S51</f>
        <v>0.13</v>
      </c>
      <c r="Y33" s="508">
        <f>+'1.Informe Seguimiento POA 2022'!O51+'1.Informe Seguimiento POA 2022'!Q51+'1.Informe Seguimiento POA 2022'!S51</f>
        <v>0.33</v>
      </c>
      <c r="Z33" s="508">
        <f>+'1.Informe Seguimiento POA 2022'!T51</f>
        <v>0</v>
      </c>
      <c r="AA33" s="508">
        <f>+'1.Informe Seguimiento POA 2022'!R51+'1.Informe Seguimiento POA 2022'!T51+'1.Informe Seguimiento POA 2022'!P51</f>
        <v>7.0000000000000007E-2</v>
      </c>
      <c r="AB33" s="508">
        <f t="shared" si="42"/>
        <v>7.0000000000000007E-2</v>
      </c>
      <c r="AC33" s="486">
        <f t="shared" si="54"/>
        <v>0</v>
      </c>
      <c r="AD33" s="486">
        <f t="shared" si="55"/>
        <v>0.21212121212121213</v>
      </c>
      <c r="AE33" s="479">
        <f t="shared" si="56"/>
        <v>0.17500000000000002</v>
      </c>
      <c r="AF33" s="480">
        <f t="shared" si="57"/>
        <v>0.4</v>
      </c>
      <c r="AG33" s="480">
        <f>+'1.Informe Seguimiento POA 2022'!U51</f>
        <v>7.0000000000000007E-2</v>
      </c>
      <c r="AH33" s="480">
        <f>+'1.Informe Seguimiento POA 2022'!O51+'1.Informe Seguimiento POA 2022'!Q51+'1.Informe Seguimiento POA 2022'!S51+'1.Informe Seguimiento POA 2022'!U51</f>
        <v>0.4</v>
      </c>
      <c r="AI33" s="480">
        <f>+'1.Informe Seguimiento POA 2022'!V51</f>
        <v>0</v>
      </c>
      <c r="AJ33" s="480">
        <f>+'1.Informe Seguimiento POA 2022'!P51+'1.Informe Seguimiento POA 2022'!R51+'1.Informe Seguimiento POA 2022'!T51+'1.Informe Seguimiento POA 2022'!V51</f>
        <v>7.0000000000000007E-2</v>
      </c>
      <c r="AK33" s="622">
        <f t="shared" si="58"/>
        <v>7.0000000000000007E-2</v>
      </c>
      <c r="AL33" s="486">
        <f t="shared" si="44"/>
        <v>0</v>
      </c>
      <c r="AM33" s="486">
        <f>IF(AND(AH33&gt;0),AJ33/AH33,"No programado")</f>
        <v>0.17500000000000002</v>
      </c>
      <c r="AN33" s="479">
        <f t="shared" si="59"/>
        <v>0.17500000000000002</v>
      </c>
      <c r="AO33" s="483" t="str">
        <f>+'Rango indicadores'!H16</f>
        <v>Mayor o igual A:</v>
      </c>
      <c r="AP33" s="478">
        <f>+'Rango indicadores'!I16</f>
        <v>90</v>
      </c>
      <c r="AQ33" s="478" t="str">
        <f>+'Rango indicadores'!J16</f>
        <v>Desde (&gt;):</v>
      </c>
      <c r="AR33" s="478">
        <f>+'Rango indicadores'!K16</f>
        <v>85</v>
      </c>
      <c r="AS33" s="478" t="str">
        <f>+'Rango indicadores'!L16</f>
        <v>Hasta (&lt;):</v>
      </c>
      <c r="AT33" s="478">
        <f>+'Rango indicadores'!M16</f>
        <v>90</v>
      </c>
      <c r="AU33" s="478" t="str">
        <f>+'Rango indicadores'!N16</f>
        <v>Menor o Igual A:</v>
      </c>
      <c r="AV33" s="478">
        <f>+'Rango indicadores'!O16</f>
        <v>85</v>
      </c>
      <c r="AW33" s="574" t="s">
        <v>1176</v>
      </c>
    </row>
    <row r="34" spans="2:49" ht="85.8" customHeight="1">
      <c r="B34" s="475">
        <f t="shared" si="45"/>
        <v>13</v>
      </c>
      <c r="C34" s="476" t="str">
        <f>+'Rango indicadores'!D17</f>
        <v>03-RI-05</v>
      </c>
      <c r="D34" s="476" t="str">
        <f>+'Rango indicadores'!E17</f>
        <v>Cantidad de requerimientos prioritarios desarrollados para los sistemas información</v>
      </c>
      <c r="E34" s="480">
        <f>+'Rango indicadores'!Q17</f>
        <v>0.4</v>
      </c>
      <c r="F34" s="508">
        <f>+'1.Informe Seguimiento POA 2022'!O52</f>
        <v>7.0000000000000007E-2</v>
      </c>
      <c r="G34" s="508">
        <f>+'1.Informe Seguimiento POA 2022'!O52</f>
        <v>7.0000000000000007E-2</v>
      </c>
      <c r="H34" s="508">
        <f>+'1.Informe Seguimiento POA 2022'!P52</f>
        <v>7.0000000000000007E-2</v>
      </c>
      <c r="I34" s="508">
        <f>+'1.Informe Seguimiento POA 2022'!P52</f>
        <v>7.0000000000000007E-2</v>
      </c>
      <c r="J34" s="508">
        <f t="shared" si="46"/>
        <v>7.0000000000000007E-2</v>
      </c>
      <c r="K34" s="486">
        <f t="shared" si="38"/>
        <v>1</v>
      </c>
      <c r="L34" s="486">
        <f>IF(AND(G34&gt;0),I34/G34,"No programado")</f>
        <v>1</v>
      </c>
      <c r="M34" s="479">
        <f t="shared" si="48"/>
        <v>0.17500000000000002</v>
      </c>
      <c r="N34" s="508">
        <f t="shared" si="49"/>
        <v>0.4</v>
      </c>
      <c r="O34" s="508">
        <f>+'1.Informe Seguimiento POA 2022'!Q52</f>
        <v>0.13</v>
      </c>
      <c r="P34" s="508">
        <f>+'1.Informe Seguimiento POA 2022'!O52+'1.Informe Seguimiento POA 2022'!Q52</f>
        <v>0.2</v>
      </c>
      <c r="Q34" s="508">
        <f>+'1.Informe Seguimiento POA 2022'!R52</f>
        <v>0</v>
      </c>
      <c r="R34" s="508">
        <f>+'1.Informe Seguimiento POA 2022'!P52+'1.Informe Seguimiento POA 2022'!R52</f>
        <v>7.0000000000000007E-2</v>
      </c>
      <c r="S34" s="508">
        <f t="shared" si="50"/>
        <v>7.0000000000000007E-2</v>
      </c>
      <c r="T34" s="486">
        <f t="shared" si="40"/>
        <v>0</v>
      </c>
      <c r="U34" s="486">
        <f>IF(AND(P34&gt;0),R34/P34,"No programado")</f>
        <v>0.35000000000000003</v>
      </c>
      <c r="V34" s="479">
        <f t="shared" si="52"/>
        <v>0.17500000000000002</v>
      </c>
      <c r="W34" s="508">
        <f t="shared" si="53"/>
        <v>0.4</v>
      </c>
      <c r="X34" s="508">
        <f>+'1.Informe Seguimiento POA 2022'!S52</f>
        <v>0.13</v>
      </c>
      <c r="Y34" s="508">
        <f>+'1.Informe Seguimiento POA 2022'!O52+'1.Informe Seguimiento POA 2022'!Q52+'1.Informe Seguimiento POA 2022'!S52</f>
        <v>0.33</v>
      </c>
      <c r="Z34" s="508">
        <f>+'1.Informe Seguimiento POA 2022'!T52</f>
        <v>0</v>
      </c>
      <c r="AA34" s="508">
        <f>+'1.Informe Seguimiento POA 2022'!R52+'1.Informe Seguimiento POA 2022'!T52+'1.Informe Seguimiento POA 2022'!P52</f>
        <v>7.0000000000000007E-2</v>
      </c>
      <c r="AB34" s="508">
        <f t="shared" si="42"/>
        <v>7.0000000000000007E-2</v>
      </c>
      <c r="AC34" s="486">
        <f t="shared" si="54"/>
        <v>0</v>
      </c>
      <c r="AD34" s="486">
        <f t="shared" si="55"/>
        <v>0.21212121212121213</v>
      </c>
      <c r="AE34" s="479">
        <f t="shared" si="56"/>
        <v>0.17500000000000002</v>
      </c>
      <c r="AF34" s="480">
        <f t="shared" si="57"/>
        <v>0.4</v>
      </c>
      <c r="AG34" s="480">
        <f>+'1.Informe Seguimiento POA 2022'!U52</f>
        <v>7.0000000000000007E-2</v>
      </c>
      <c r="AH34" s="480">
        <f>+'1.Informe Seguimiento POA 2022'!O52+'1.Informe Seguimiento POA 2022'!Q52+'1.Informe Seguimiento POA 2022'!S52+'1.Informe Seguimiento POA 2022'!U52</f>
        <v>0.4</v>
      </c>
      <c r="AI34" s="480">
        <f>+'1.Informe Seguimiento POA 2022'!V52</f>
        <v>0</v>
      </c>
      <c r="AJ34" s="480">
        <f>+'1.Informe Seguimiento POA 2022'!P52+'1.Informe Seguimiento POA 2022'!R52+'1.Informe Seguimiento POA 2022'!T52+'1.Informe Seguimiento POA 2022'!V52</f>
        <v>7.0000000000000007E-2</v>
      </c>
      <c r="AK34" s="622">
        <f t="shared" si="58"/>
        <v>7.0000000000000007E-2</v>
      </c>
      <c r="AL34" s="486">
        <f t="shared" si="44"/>
        <v>0</v>
      </c>
      <c r="AM34" s="486">
        <f>IF(AND(AH34&gt;0),AJ34/AH34,"No programado")</f>
        <v>0.17500000000000002</v>
      </c>
      <c r="AN34" s="479">
        <f t="shared" si="59"/>
        <v>0.17500000000000002</v>
      </c>
      <c r="AO34" s="483" t="str">
        <f>+'Rango indicadores'!H17</f>
        <v>Mayor o igual A:</v>
      </c>
      <c r="AP34" s="478">
        <f>+'Rango indicadores'!I17</f>
        <v>90</v>
      </c>
      <c r="AQ34" s="478" t="str">
        <f>+'Rango indicadores'!J17</f>
        <v>Desde (&gt;):</v>
      </c>
      <c r="AR34" s="478">
        <f>+'Rango indicadores'!K17</f>
        <v>85</v>
      </c>
      <c r="AS34" s="478" t="str">
        <f>+'Rango indicadores'!L17</f>
        <v>Hasta (&lt;):</v>
      </c>
      <c r="AT34" s="478">
        <f>+'Rango indicadores'!M17</f>
        <v>90</v>
      </c>
      <c r="AU34" s="478" t="str">
        <f>+'Rango indicadores'!N17</f>
        <v>Menor o Igual A:</v>
      </c>
      <c r="AV34" s="478">
        <f>+'Rango indicadores'!O17</f>
        <v>85</v>
      </c>
      <c r="AW34" s="574" t="s">
        <v>1176</v>
      </c>
    </row>
    <row r="35" spans="2:49" ht="85.8" customHeight="1">
      <c r="B35" s="475">
        <f t="shared" si="45"/>
        <v>14</v>
      </c>
      <c r="C35" s="476" t="str">
        <f>+'Rango indicadores'!D18</f>
        <v>03-RI-06</v>
      </c>
      <c r="D35" s="476" t="str">
        <f>+'Rango indicadores'!E18</f>
        <v>Porcentaje de actividades ejecutadas del plan de uso y apropiación</v>
      </c>
      <c r="E35" s="480">
        <f>+'Rango indicadores'!Q18</f>
        <v>0.4</v>
      </c>
      <c r="F35" s="508">
        <f>+'1.Informe Seguimiento POA 2022'!O53</f>
        <v>7.0000000000000007E-2</v>
      </c>
      <c r="G35" s="508">
        <f>+'1.Informe Seguimiento POA 2022'!O53</f>
        <v>7.0000000000000007E-2</v>
      </c>
      <c r="H35" s="508">
        <f>+'1.Informe Seguimiento POA 2022'!P53</f>
        <v>7.0000000000000007E-2</v>
      </c>
      <c r="I35" s="508">
        <f>+'1.Informe Seguimiento POA 2022'!P53</f>
        <v>7.0000000000000007E-2</v>
      </c>
      <c r="J35" s="508">
        <f t="shared" si="46"/>
        <v>7.0000000000000007E-2</v>
      </c>
      <c r="K35" s="486">
        <f t="shared" si="38"/>
        <v>1</v>
      </c>
      <c r="L35" s="486">
        <f>IF(AND(G35&gt;0),I35/G35,"No programado")</f>
        <v>1</v>
      </c>
      <c r="M35" s="479">
        <f t="shared" si="48"/>
        <v>0.17500000000000002</v>
      </c>
      <c r="N35" s="508">
        <f t="shared" si="49"/>
        <v>0.4</v>
      </c>
      <c r="O35" s="508">
        <f>+'1.Informe Seguimiento POA 2022'!Q53</f>
        <v>0.13</v>
      </c>
      <c r="P35" s="508">
        <f>+'1.Informe Seguimiento POA 2022'!O53+'1.Informe Seguimiento POA 2022'!Q53</f>
        <v>0.2</v>
      </c>
      <c r="Q35" s="508">
        <f>+'1.Informe Seguimiento POA 2022'!R53</f>
        <v>0</v>
      </c>
      <c r="R35" s="508">
        <f>+'1.Informe Seguimiento POA 2022'!P53+'1.Informe Seguimiento POA 2022'!R53</f>
        <v>7.0000000000000007E-2</v>
      </c>
      <c r="S35" s="508">
        <f t="shared" si="50"/>
        <v>7.0000000000000007E-2</v>
      </c>
      <c r="T35" s="486">
        <f t="shared" si="40"/>
        <v>0</v>
      </c>
      <c r="U35" s="486">
        <f>IF(AND(P35&gt;0),R35/P35,"No programado")</f>
        <v>0.35000000000000003</v>
      </c>
      <c r="V35" s="479">
        <f t="shared" si="52"/>
        <v>0.17500000000000002</v>
      </c>
      <c r="W35" s="508">
        <f t="shared" si="53"/>
        <v>0.4</v>
      </c>
      <c r="X35" s="508">
        <f>+'1.Informe Seguimiento POA 2022'!S53</f>
        <v>0.13</v>
      </c>
      <c r="Y35" s="508">
        <f>+'1.Informe Seguimiento POA 2022'!O53+'1.Informe Seguimiento POA 2022'!Q53+'1.Informe Seguimiento POA 2022'!S53</f>
        <v>0.33</v>
      </c>
      <c r="Z35" s="508">
        <f>+'1.Informe Seguimiento POA 2022'!T53</f>
        <v>0</v>
      </c>
      <c r="AA35" s="508">
        <f>+'1.Informe Seguimiento POA 2022'!R53+'1.Informe Seguimiento POA 2022'!T53+'1.Informe Seguimiento POA 2022'!P53</f>
        <v>7.0000000000000007E-2</v>
      </c>
      <c r="AB35" s="508">
        <f t="shared" si="42"/>
        <v>7.0000000000000007E-2</v>
      </c>
      <c r="AC35" s="486">
        <f t="shared" si="54"/>
        <v>0</v>
      </c>
      <c r="AD35" s="486">
        <f t="shared" si="55"/>
        <v>0.21212121212121213</v>
      </c>
      <c r="AE35" s="479">
        <f t="shared" si="56"/>
        <v>0.17500000000000002</v>
      </c>
      <c r="AF35" s="480">
        <f t="shared" si="57"/>
        <v>0.4</v>
      </c>
      <c r="AG35" s="480">
        <f>+'1.Informe Seguimiento POA 2022'!U53</f>
        <v>7.0000000000000007E-2</v>
      </c>
      <c r="AH35" s="480">
        <f>+'1.Informe Seguimiento POA 2022'!O53+'1.Informe Seguimiento POA 2022'!Q53+'1.Informe Seguimiento POA 2022'!S53+'1.Informe Seguimiento POA 2022'!U53</f>
        <v>0.4</v>
      </c>
      <c r="AI35" s="480">
        <f>+'1.Informe Seguimiento POA 2022'!V53</f>
        <v>0</v>
      </c>
      <c r="AJ35" s="480">
        <f>+'1.Informe Seguimiento POA 2022'!P53+'1.Informe Seguimiento POA 2022'!R53+'1.Informe Seguimiento POA 2022'!T53+'1.Informe Seguimiento POA 2022'!V53</f>
        <v>7.0000000000000007E-2</v>
      </c>
      <c r="AK35" s="622">
        <f t="shared" si="58"/>
        <v>7.0000000000000007E-2</v>
      </c>
      <c r="AL35" s="486">
        <f t="shared" si="44"/>
        <v>0</v>
      </c>
      <c r="AM35" s="486">
        <f>IF(AND(AH35&gt;0),AJ35/AH35,"No programado")</f>
        <v>0.17500000000000002</v>
      </c>
      <c r="AN35" s="479">
        <f t="shared" si="59"/>
        <v>0.17500000000000002</v>
      </c>
      <c r="AO35" s="483" t="str">
        <f>+'Rango indicadores'!H18</f>
        <v>Mayor o igual A:</v>
      </c>
      <c r="AP35" s="478">
        <f>+'Rango indicadores'!I18</f>
        <v>90</v>
      </c>
      <c r="AQ35" s="478" t="str">
        <f>+'Rango indicadores'!J18</f>
        <v>Desde (&gt;):</v>
      </c>
      <c r="AR35" s="478">
        <f>+'Rango indicadores'!K18</f>
        <v>85</v>
      </c>
      <c r="AS35" s="478" t="str">
        <f>+'Rango indicadores'!L18</f>
        <v>Hasta (&lt;):</v>
      </c>
      <c r="AT35" s="478">
        <f>+'Rango indicadores'!M18</f>
        <v>90</v>
      </c>
      <c r="AU35" s="478" t="str">
        <f>+'Rango indicadores'!N18</f>
        <v>Menor o Igual A:</v>
      </c>
      <c r="AV35" s="478">
        <f>+'Rango indicadores'!O18</f>
        <v>85</v>
      </c>
      <c r="AW35" s="574" t="s">
        <v>1176</v>
      </c>
    </row>
    <row r="36" spans="2:49" ht="85.8" customHeight="1">
      <c r="B36" s="475">
        <f t="shared" si="45"/>
        <v>15</v>
      </c>
      <c r="C36" s="476" t="str">
        <f>+'Rango indicadores'!D19</f>
        <v>03-RI-07</v>
      </c>
      <c r="D36" s="476" t="str">
        <f>+'Rango indicadores'!E19</f>
        <v>Porcentaje de actividades ejecutadas de la hoja de ruta de optimización tecnológica</v>
      </c>
      <c r="E36" s="480">
        <f>+'Rango indicadores'!Q19</f>
        <v>0.4</v>
      </c>
      <c r="F36" s="508">
        <f>+'1.Informe Seguimiento POA 2022'!O54</f>
        <v>7.0000000000000007E-2</v>
      </c>
      <c r="G36" s="508">
        <f>+'1.Informe Seguimiento POA 2022'!O54</f>
        <v>7.0000000000000007E-2</v>
      </c>
      <c r="H36" s="508">
        <f>+'1.Informe Seguimiento POA 2022'!P54</f>
        <v>7.0000000000000007E-2</v>
      </c>
      <c r="I36" s="508">
        <f>+'1.Informe Seguimiento POA 2022'!P54</f>
        <v>7.0000000000000007E-2</v>
      </c>
      <c r="J36" s="508">
        <f t="shared" si="46"/>
        <v>7.0000000000000007E-2</v>
      </c>
      <c r="K36" s="486">
        <f t="shared" si="38"/>
        <v>1</v>
      </c>
      <c r="L36" s="486">
        <f>IF(AND(G36&gt;0),I36/G36,"No programado")</f>
        <v>1</v>
      </c>
      <c r="M36" s="479">
        <f t="shared" si="48"/>
        <v>0.17500000000000002</v>
      </c>
      <c r="N36" s="508">
        <f t="shared" si="49"/>
        <v>0.4</v>
      </c>
      <c r="O36" s="508">
        <f>+'1.Informe Seguimiento POA 2022'!Q54</f>
        <v>0.13</v>
      </c>
      <c r="P36" s="508">
        <f>+'1.Informe Seguimiento POA 2022'!O54+'1.Informe Seguimiento POA 2022'!Q54</f>
        <v>0.2</v>
      </c>
      <c r="Q36" s="508">
        <f>+'1.Informe Seguimiento POA 2022'!R54</f>
        <v>0</v>
      </c>
      <c r="R36" s="508">
        <f>+'1.Informe Seguimiento POA 2022'!P54+'1.Informe Seguimiento POA 2022'!R54</f>
        <v>7.0000000000000007E-2</v>
      </c>
      <c r="S36" s="508">
        <f t="shared" si="50"/>
        <v>7.0000000000000007E-2</v>
      </c>
      <c r="T36" s="486">
        <f t="shared" si="40"/>
        <v>0</v>
      </c>
      <c r="U36" s="486">
        <f>IF(AND(P36&gt;0),R36/P36,"No programado")</f>
        <v>0.35000000000000003</v>
      </c>
      <c r="V36" s="479">
        <f t="shared" si="52"/>
        <v>0.17500000000000002</v>
      </c>
      <c r="W36" s="508">
        <f t="shared" si="53"/>
        <v>0.4</v>
      </c>
      <c r="X36" s="508">
        <f>+'1.Informe Seguimiento POA 2022'!S54</f>
        <v>0.13</v>
      </c>
      <c r="Y36" s="508">
        <f>+'1.Informe Seguimiento POA 2022'!O54+'1.Informe Seguimiento POA 2022'!Q54+'1.Informe Seguimiento POA 2022'!S54</f>
        <v>0.33</v>
      </c>
      <c r="Z36" s="508">
        <f>+'1.Informe Seguimiento POA 2022'!T54</f>
        <v>0</v>
      </c>
      <c r="AA36" s="508">
        <f>+'1.Informe Seguimiento POA 2022'!R54+'1.Informe Seguimiento POA 2022'!T54+'1.Informe Seguimiento POA 2022'!P54</f>
        <v>7.0000000000000007E-2</v>
      </c>
      <c r="AB36" s="508">
        <f t="shared" si="42"/>
        <v>7.0000000000000007E-2</v>
      </c>
      <c r="AC36" s="486">
        <f t="shared" si="54"/>
        <v>0</v>
      </c>
      <c r="AD36" s="486">
        <f t="shared" si="55"/>
        <v>0.21212121212121213</v>
      </c>
      <c r="AE36" s="479">
        <f t="shared" si="56"/>
        <v>0.17500000000000002</v>
      </c>
      <c r="AF36" s="480">
        <f t="shared" si="57"/>
        <v>0.4</v>
      </c>
      <c r="AG36" s="480">
        <f>+'1.Informe Seguimiento POA 2022'!U54</f>
        <v>7.0000000000000007E-2</v>
      </c>
      <c r="AH36" s="480">
        <f>+'1.Informe Seguimiento POA 2022'!O54+'1.Informe Seguimiento POA 2022'!Q54+'1.Informe Seguimiento POA 2022'!S54+'1.Informe Seguimiento POA 2022'!U54</f>
        <v>0.4</v>
      </c>
      <c r="AI36" s="480">
        <f>+'1.Informe Seguimiento POA 2022'!V54</f>
        <v>0</v>
      </c>
      <c r="AJ36" s="480">
        <f>+'1.Informe Seguimiento POA 2022'!P54+'1.Informe Seguimiento POA 2022'!R54+'1.Informe Seguimiento POA 2022'!T54+'1.Informe Seguimiento POA 2022'!V54</f>
        <v>7.0000000000000007E-2</v>
      </c>
      <c r="AK36" s="622">
        <f t="shared" si="58"/>
        <v>7.0000000000000007E-2</v>
      </c>
      <c r="AL36" s="486">
        <f t="shared" ref="AL36" si="60">IF(AND(AG36&gt;0),AI36/AG36,"No programado")</f>
        <v>0</v>
      </c>
      <c r="AM36" s="486">
        <f>IF(AND(AH36&gt;0),AJ36/AH36,"No programado")</f>
        <v>0.17500000000000002</v>
      </c>
      <c r="AN36" s="479">
        <f t="shared" si="59"/>
        <v>0.17500000000000002</v>
      </c>
      <c r="AO36" s="483" t="str">
        <f>+'Rango indicadores'!H19</f>
        <v>Mayor o igual A:</v>
      </c>
      <c r="AP36" s="478">
        <f>+'Rango indicadores'!I19</f>
        <v>90</v>
      </c>
      <c r="AQ36" s="478" t="str">
        <f>+'Rango indicadores'!J19</f>
        <v>Desde (&gt;):</v>
      </c>
      <c r="AR36" s="478">
        <f>+'Rango indicadores'!K19</f>
        <v>85</v>
      </c>
      <c r="AS36" s="478" t="str">
        <f>+'Rango indicadores'!L19</f>
        <v>Hasta (&lt;):</v>
      </c>
      <c r="AT36" s="478">
        <f>+'Rango indicadores'!M19</f>
        <v>90</v>
      </c>
      <c r="AU36" s="478" t="str">
        <f>+'Rango indicadores'!N19</f>
        <v>Menor o Igual A:</v>
      </c>
      <c r="AV36" s="478">
        <f>+'Rango indicadores'!O19</f>
        <v>85</v>
      </c>
      <c r="AW36" s="574" t="s">
        <v>1176</v>
      </c>
    </row>
    <row r="37" spans="2:49" ht="15.6">
      <c r="C37" s="1474" t="s">
        <v>873</v>
      </c>
      <c r="D37" s="1475"/>
      <c r="E37" s="1475"/>
      <c r="F37" s="1475"/>
      <c r="G37" s="1475"/>
      <c r="H37" s="1475"/>
      <c r="I37" s="1475"/>
      <c r="J37" s="1475"/>
      <c r="K37" s="481">
        <f>IFERROR(AVERAGE(K30:K36),0)</f>
        <v>1</v>
      </c>
      <c r="L37" s="481">
        <f t="shared" ref="L37" si="61">IFERROR(AVERAGE(L30:L36),0)</f>
        <v>1</v>
      </c>
      <c r="M37" s="481">
        <f>IFERROR(AVERAGE(M30:M36),0)</f>
        <v>0.17500000000000002</v>
      </c>
      <c r="N37" s="1085"/>
      <c r="O37" s="1085"/>
      <c r="P37" s="1085"/>
      <c r="Q37" s="1085"/>
      <c r="R37" s="1085"/>
      <c r="S37" s="1085"/>
      <c r="T37" s="481">
        <f>IFERROR(AVERAGE(T30:T36),0)</f>
        <v>0</v>
      </c>
      <c r="U37" s="481">
        <f t="shared" ref="U37" si="62">IFERROR(AVERAGE(U30:U36),0)</f>
        <v>0.35000000000000003</v>
      </c>
      <c r="V37" s="481">
        <f>IFERROR(AVERAGE(V30:V36),0)</f>
        <v>0.17500000000000002</v>
      </c>
      <c r="W37" s="1085"/>
      <c r="X37" s="1085"/>
      <c r="Y37" s="1085"/>
      <c r="Z37" s="1085"/>
      <c r="AA37" s="1085"/>
      <c r="AB37" s="1085"/>
      <c r="AC37" s="481">
        <f>IFERROR(AVERAGE(AC30:AC36),0)</f>
        <v>0</v>
      </c>
      <c r="AD37" s="481">
        <f t="shared" ref="AD37" si="63">IFERROR(AVERAGE(AD30:AD36),0)</f>
        <v>0.21212121212121213</v>
      </c>
      <c r="AE37" s="481">
        <f>IFERROR(AVERAGE(AE30:AE36),0)</f>
        <v>0.17500000000000002</v>
      </c>
      <c r="AF37" s="1085"/>
      <c r="AG37" s="1085"/>
      <c r="AH37" s="1085"/>
      <c r="AI37" s="1085"/>
      <c r="AJ37" s="1085"/>
      <c r="AK37" s="1086"/>
      <c r="AL37" s="481">
        <f>IFERROR(AVERAGE(AL30:AL36),0)</f>
        <v>0</v>
      </c>
      <c r="AM37" s="481">
        <f t="shared" ref="AM37" si="64">IFERROR(AVERAGE(AM30:AM36),0)</f>
        <v>0.17500000000000002</v>
      </c>
      <c r="AN37" s="481">
        <f>IFERROR(AVERAGE(AN30:AN36),0)</f>
        <v>0.17500000000000002</v>
      </c>
      <c r="AO37" s="470"/>
      <c r="AP37" s="470"/>
      <c r="AQ37" s="470"/>
      <c r="AR37" s="470"/>
      <c r="AS37" s="470"/>
      <c r="AT37" s="470"/>
      <c r="AU37" s="470"/>
      <c r="AV37" s="470"/>
      <c r="AW37" s="583"/>
    </row>
    <row r="38" spans="2:49" s="471" customFormat="1" ht="24" customHeight="1" thickBot="1">
      <c r="D38" s="473"/>
      <c r="AW38" s="473"/>
    </row>
    <row r="39" spans="2:49" s="471" customFormat="1" ht="16.2" thickBot="1">
      <c r="C39" s="474" t="s">
        <v>876</v>
      </c>
      <c r="D39" s="504"/>
      <c r="E39" s="1446" t="s">
        <v>1144</v>
      </c>
      <c r="F39" s="1447"/>
      <c r="G39" s="1447"/>
      <c r="H39" s="1447"/>
      <c r="I39" s="1447"/>
      <c r="J39" s="1447"/>
      <c r="K39" s="1447"/>
      <c r="L39" s="1447"/>
      <c r="M39" s="1448"/>
      <c r="N39" s="1449" t="s">
        <v>1145</v>
      </c>
      <c r="O39" s="1450"/>
      <c r="P39" s="1450"/>
      <c r="Q39" s="1450"/>
      <c r="R39" s="1450"/>
      <c r="S39" s="1450"/>
      <c r="T39" s="1450"/>
      <c r="U39" s="1450"/>
      <c r="V39" s="1451"/>
      <c r="W39" s="1443" t="s">
        <v>1146</v>
      </c>
      <c r="X39" s="1444"/>
      <c r="Y39" s="1444"/>
      <c r="Z39" s="1444"/>
      <c r="AA39" s="1444"/>
      <c r="AB39" s="1444"/>
      <c r="AC39" s="1444"/>
      <c r="AD39" s="1444"/>
      <c r="AE39" s="1445"/>
      <c r="AF39" s="1449" t="s">
        <v>1056</v>
      </c>
      <c r="AG39" s="1450"/>
      <c r="AH39" s="1450"/>
      <c r="AI39" s="1450"/>
      <c r="AJ39" s="1450"/>
      <c r="AK39" s="1450"/>
      <c r="AL39" s="1450"/>
      <c r="AM39" s="1450"/>
      <c r="AN39" s="1451"/>
      <c r="AW39" s="473"/>
    </row>
    <row r="40" spans="2:49" ht="34.5" customHeight="1">
      <c r="C40" s="1440" t="str">
        <f>+$C$10</f>
        <v>Identifificación del Indicador</v>
      </c>
      <c r="D40" s="1460" t="s">
        <v>868</v>
      </c>
      <c r="E40" s="1436" t="s">
        <v>869</v>
      </c>
      <c r="F40" s="1437"/>
      <c r="G40" s="1438"/>
      <c r="H40" s="1439" t="s">
        <v>1148</v>
      </c>
      <c r="I40" s="1441" t="s">
        <v>1152</v>
      </c>
      <c r="J40" s="1439" t="s">
        <v>870</v>
      </c>
      <c r="K40" s="1439" t="s">
        <v>864</v>
      </c>
      <c r="L40" s="1439"/>
      <c r="M40" s="1439"/>
      <c r="N40" s="1436" t="s">
        <v>869</v>
      </c>
      <c r="O40" s="1437"/>
      <c r="P40" s="1438"/>
      <c r="Q40" s="1439" t="s">
        <v>1158</v>
      </c>
      <c r="R40" s="1441" t="s">
        <v>1149</v>
      </c>
      <c r="S40" s="1439" t="s">
        <v>870</v>
      </c>
      <c r="T40" s="1439" t="s">
        <v>864</v>
      </c>
      <c r="U40" s="1439"/>
      <c r="V40" s="1439"/>
      <c r="W40" s="1436" t="s">
        <v>869</v>
      </c>
      <c r="X40" s="1437"/>
      <c r="Y40" s="1438"/>
      <c r="Z40" s="1439" t="s">
        <v>1159</v>
      </c>
      <c r="AA40" s="1441" t="s">
        <v>1154</v>
      </c>
      <c r="AB40" s="1439" t="s">
        <v>870</v>
      </c>
      <c r="AC40" s="1439" t="s">
        <v>864</v>
      </c>
      <c r="AD40" s="1439"/>
      <c r="AE40" s="1439"/>
      <c r="AF40" s="1436" t="s">
        <v>869</v>
      </c>
      <c r="AG40" s="1437"/>
      <c r="AH40" s="1438"/>
      <c r="AI40" s="1439" t="s">
        <v>1160</v>
      </c>
      <c r="AJ40" s="1441" t="s">
        <v>1156</v>
      </c>
      <c r="AK40" s="1439" t="s">
        <v>870</v>
      </c>
      <c r="AL40" s="1439" t="s">
        <v>864</v>
      </c>
      <c r="AM40" s="1439"/>
      <c r="AN40" s="1439"/>
      <c r="AO40" s="1452" t="s">
        <v>716</v>
      </c>
      <c r="AP40" s="1452"/>
      <c r="AQ40" s="1452"/>
      <c r="AR40" s="1452"/>
      <c r="AS40" s="1452"/>
      <c r="AT40" s="1452"/>
      <c r="AU40" s="1452"/>
      <c r="AV40" s="1452"/>
      <c r="AW40" s="1440" t="s">
        <v>890</v>
      </c>
    </row>
    <row r="41" spans="2:49" ht="47.4" customHeight="1">
      <c r="C41" s="1440"/>
      <c r="D41" s="1460"/>
      <c r="E41" s="1046" t="s">
        <v>1161</v>
      </c>
      <c r="F41" s="1041" t="str">
        <f>+E39</f>
        <v>Primer Trimestre</v>
      </c>
      <c r="G41" s="1042" t="s">
        <v>1151</v>
      </c>
      <c r="H41" s="1440"/>
      <c r="I41" s="1442"/>
      <c r="J41" s="1440"/>
      <c r="K41" s="1041" t="str">
        <f>+$D$6</f>
        <v>Primer Trimestre</v>
      </c>
      <c r="L41" s="1042" t="str">
        <f>+G41</f>
        <v>Acumulado
Corte 
31/03/2022</v>
      </c>
      <c r="M41" s="1043" t="s">
        <v>761</v>
      </c>
      <c r="N41" s="1046" t="s">
        <v>1161</v>
      </c>
      <c r="O41" s="1041" t="str">
        <f>+N39</f>
        <v>Segundo Trimestre</v>
      </c>
      <c r="P41" s="1042" t="s">
        <v>1150</v>
      </c>
      <c r="Q41" s="1440"/>
      <c r="R41" s="1442"/>
      <c r="S41" s="1440"/>
      <c r="T41" s="1041" t="str">
        <f>+O41</f>
        <v>Segundo Trimestre</v>
      </c>
      <c r="U41" s="1042" t="str">
        <f>+P41</f>
        <v>Acumulado Corte 
30/06/2022</v>
      </c>
      <c r="V41" s="1043" t="s">
        <v>761</v>
      </c>
      <c r="W41" s="1046" t="s">
        <v>1161</v>
      </c>
      <c r="X41" s="1041" t="str">
        <f>+W39</f>
        <v>Tercer Trimestre</v>
      </c>
      <c r="Y41" s="1042" t="s">
        <v>1153</v>
      </c>
      <c r="Z41" s="1440"/>
      <c r="AA41" s="1442"/>
      <c r="AB41" s="1440"/>
      <c r="AC41" s="1041" t="str">
        <f>+X41</f>
        <v>Tercer Trimestre</v>
      </c>
      <c r="AD41" s="1042" t="str">
        <f>+Y41</f>
        <v>Acumulado Corte 
30/09/2022</v>
      </c>
      <c r="AE41" s="1043" t="s">
        <v>761</v>
      </c>
      <c r="AF41" s="1046" t="s">
        <v>1161</v>
      </c>
      <c r="AG41" s="1041" t="str">
        <f>+AF39</f>
        <v>Cuarto Trimestre</v>
      </c>
      <c r="AH41" s="1042" t="s">
        <v>1155</v>
      </c>
      <c r="AI41" s="1440"/>
      <c r="AJ41" s="1442"/>
      <c r="AK41" s="1440"/>
      <c r="AL41" s="1041" t="str">
        <f>+AG41</f>
        <v>Cuarto Trimestre</v>
      </c>
      <c r="AM41" s="1042" t="str">
        <f>+AH41</f>
        <v>Acumulado Corte 
31/12/2022</v>
      </c>
      <c r="AN41" s="1043" t="s">
        <v>761</v>
      </c>
      <c r="AO41" s="1453" t="s">
        <v>871</v>
      </c>
      <c r="AP41" s="1454"/>
      <c r="AQ41" s="1455" t="s">
        <v>872</v>
      </c>
      <c r="AR41" s="1456"/>
      <c r="AS41" s="1456"/>
      <c r="AT41" s="1457"/>
      <c r="AU41" s="1458" t="s">
        <v>724</v>
      </c>
      <c r="AV41" s="1459"/>
      <c r="AW41" s="1440"/>
    </row>
    <row r="42" spans="2:49" ht="100.2" customHeight="1">
      <c r="B42" s="475">
        <f>1+B36</f>
        <v>16</v>
      </c>
      <c r="C42" s="476" t="str">
        <f>+'Rango indicadores'!D20</f>
        <v>04-RI-01</v>
      </c>
      <c r="D42" s="476" t="str">
        <f>+'Rango indicadores'!E20</f>
        <v>Productos de comunicación externa desarrollados</v>
      </c>
      <c r="E42" s="480">
        <f>+'Rango indicadores'!Q20</f>
        <v>1</v>
      </c>
      <c r="F42" s="480">
        <f>+'1.Informe Seguimiento POA 2022'!O93</f>
        <v>1</v>
      </c>
      <c r="G42" s="480">
        <f>IFERROR(AVERAGE('1.Informe Seguimiento POA 2022'!O93),0)</f>
        <v>1</v>
      </c>
      <c r="H42" s="480">
        <f>+'1.Informe Seguimiento POA 2022'!P93</f>
        <v>1</v>
      </c>
      <c r="I42" s="480">
        <f>IFERROR(AVERAGE('1.Informe Seguimiento POA 2022'!P93),0)</f>
        <v>1</v>
      </c>
      <c r="J42" s="480">
        <f>+I42</f>
        <v>1</v>
      </c>
      <c r="K42" s="512">
        <f>IF(AND(F42&gt;0),H42/F42,"No programado")</f>
        <v>1</v>
      </c>
      <c r="L42" s="512">
        <f>IF(AND(G42&gt;0),I42/G42,"No programado")</f>
        <v>1</v>
      </c>
      <c r="M42" s="479">
        <f>IF(AND(E42&gt;0,$J42&gt;0),J42/$E42,0)*0.25</f>
        <v>0.25</v>
      </c>
      <c r="N42" s="480">
        <f>+E42</f>
        <v>1</v>
      </c>
      <c r="O42" s="480">
        <f>+'1.Informe Seguimiento POA 2022'!Q93</f>
        <v>1</v>
      </c>
      <c r="P42" s="480">
        <f>IFERROR(AVERAGE('1.Informe Seguimiento POA 2022'!O93,'1.Informe Seguimiento POA 2022'!Q93),0)</f>
        <v>1</v>
      </c>
      <c r="Q42" s="480">
        <f>+'1.Informe Seguimiento POA 2022'!R93</f>
        <v>0</v>
      </c>
      <c r="R42" s="480">
        <f>IFERROR(AVERAGE('1.Informe Seguimiento POA 2022'!P93,'1.Informe Seguimiento POA 2022'!R93),0)</f>
        <v>0.5</v>
      </c>
      <c r="S42" s="480">
        <f>IFERROR(IF(OR($N42="",$N42=0),0,ROUNDDOWN(AVERAGE($H42,Q42),3)),0)</f>
        <v>0.5</v>
      </c>
      <c r="T42" s="512">
        <f>IF(AND(O42&gt;0),Q42/O42,"No programado")</f>
        <v>0</v>
      </c>
      <c r="U42" s="512">
        <f>IF(AND(P42&gt;0),R42/P42,"No programado")</f>
        <v>0.5</v>
      </c>
      <c r="V42" s="479">
        <f t="shared" ref="V42:V43" si="65">IF(AND(N42&gt;0,$J42&gt;0),S42/$E42,0)</f>
        <v>0.5</v>
      </c>
      <c r="W42" s="480">
        <f>+N42</f>
        <v>1</v>
      </c>
      <c r="X42" s="480">
        <f>+'1.Informe Seguimiento POA 2022'!S93</f>
        <v>1</v>
      </c>
      <c r="Y42" s="480">
        <f>IFERROR(AVERAGE('1.Informe Seguimiento POA 2022'!O93,'1.Informe Seguimiento POA 2022'!Q93,'1.Informe Seguimiento POA 2022'!S93),0)</f>
        <v>1</v>
      </c>
      <c r="Z42" s="480">
        <f>+'1.Informe Seguimiento POA 2022'!T93</f>
        <v>0</v>
      </c>
      <c r="AA42" s="480">
        <f>IFERROR(AVERAGE('1.Informe Seguimiento POA 2022'!R93,'1.Informe Seguimiento POA 2022'!P93,'1.Informe Seguimiento POA 2022'!T93),0)</f>
        <v>0.33333333333333331</v>
      </c>
      <c r="AB42" s="480">
        <f>IFERROR(IF(OR($W42="",$W42=0),0,ROUNDDOWN(AVERAGE($H42,Q42,Z42),3)),0)</f>
        <v>0.33300000000000002</v>
      </c>
      <c r="AC42" s="512">
        <f>IF(AND(X42&gt;0),Z42/X42,"No programado")</f>
        <v>0</v>
      </c>
      <c r="AD42" s="512">
        <f>IF(AND(Y42&gt;0),AA42/Y42,"No programado")</f>
        <v>0.33333333333333331</v>
      </c>
      <c r="AE42" s="479">
        <f t="shared" ref="AE42:AE43" si="66">IF(AND(W42&gt;0,$J42&gt;0),AB42/$E42,0)</f>
        <v>0.33300000000000002</v>
      </c>
      <c r="AF42" s="480">
        <f>+W42</f>
        <v>1</v>
      </c>
      <c r="AG42" s="480">
        <f>+'1.Informe Seguimiento POA 2022'!U93</f>
        <v>1</v>
      </c>
      <c r="AH42" s="480">
        <f>IFERROR(AVERAGE('1.Informe Seguimiento POA 2022'!O93,'1.Informe Seguimiento POA 2022'!Q93,'1.Informe Seguimiento POA 2022'!S93,'1.Informe Seguimiento POA 2022'!U93),0)</f>
        <v>1</v>
      </c>
      <c r="AI42" s="480">
        <f>+'1.Informe Seguimiento POA 2022'!V93</f>
        <v>0</v>
      </c>
      <c r="AJ42" s="480">
        <f>IFERROR(AVERAGE('1.Informe Seguimiento POA 2022'!P93,'1.Informe Seguimiento POA 2022'!R93,'1.Informe Seguimiento POA 2022'!T93,'1.Informe Seguimiento POA 2022'!V93),0)</f>
        <v>0.25</v>
      </c>
      <c r="AK42" s="480">
        <f>IFERROR(IF(OR($AF42="",$AF42=0),0,ROUNDDOWN(AVERAGE($H42,Q42,Z42,AI42),3)),0)</f>
        <v>0.25</v>
      </c>
      <c r="AL42" s="512">
        <f>IF(AND(AG42&gt;0),AI42/AG42,"No programado")</f>
        <v>0</v>
      </c>
      <c r="AM42" s="512">
        <f>IF(AND(AH42&gt;0),AJ42/AH42,"No programado")</f>
        <v>0.25</v>
      </c>
      <c r="AN42" s="479">
        <f t="shared" ref="AN42:AN43" si="67">IF(AND(AF42&gt;0,$J42&gt;0),AK42/$E42,0)</f>
        <v>0.25</v>
      </c>
      <c r="AO42" s="483" t="str">
        <f>+'Rango indicadores'!H20</f>
        <v>Mayor A:</v>
      </c>
      <c r="AP42" s="478">
        <f>+'Rango indicadores'!I20</f>
        <v>90</v>
      </c>
      <c r="AQ42" s="478" t="str">
        <f>+'Rango indicadores'!J20</f>
        <v>Desde (&gt;=):</v>
      </c>
      <c r="AR42" s="478">
        <f>+'Rango indicadores'!K20</f>
        <v>75</v>
      </c>
      <c r="AS42" s="478" t="str">
        <f>+'Rango indicadores'!L20</f>
        <v>Hasta (&lt;=):</v>
      </c>
      <c r="AT42" s="478">
        <f>+'Rango indicadores'!M20</f>
        <v>90</v>
      </c>
      <c r="AU42" s="478" t="str">
        <f>+'Rango indicadores'!N20</f>
        <v>Menor A:</v>
      </c>
      <c r="AV42" s="478">
        <f>+'Rango indicadores'!O20</f>
        <v>75</v>
      </c>
      <c r="AW42" s="582" t="s">
        <v>1177</v>
      </c>
    </row>
    <row r="43" spans="2:49" ht="100.2" customHeight="1">
      <c r="B43" s="475">
        <f>+B42+1</f>
        <v>17</v>
      </c>
      <c r="C43" s="476" t="str">
        <f>+'Rango indicadores'!D21</f>
        <v>04-RI-02</v>
      </c>
      <c r="D43" s="476" t="str">
        <f>+'Rango indicadores'!E21</f>
        <v>Productos  de comunicación interna
desarrollados</v>
      </c>
      <c r="E43" s="480">
        <f>+'Rango indicadores'!Q21</f>
        <v>1</v>
      </c>
      <c r="F43" s="480">
        <f>+'1.Informe Seguimiento POA 2022'!O94</f>
        <v>1</v>
      </c>
      <c r="G43" s="480">
        <f>IFERROR(AVERAGE('1.Informe Seguimiento POA 2022'!O94),0)</f>
        <v>1</v>
      </c>
      <c r="H43" s="480">
        <f>+'1.Informe Seguimiento POA 2022'!P94</f>
        <v>1</v>
      </c>
      <c r="I43" s="480">
        <f>IFERROR(AVERAGE('1.Informe Seguimiento POA 2022'!P94),0)</f>
        <v>1</v>
      </c>
      <c r="J43" s="480">
        <f>+I43</f>
        <v>1</v>
      </c>
      <c r="K43" s="512">
        <f>IF(AND(F43&gt;0),H43/F43,"No programado")</f>
        <v>1</v>
      </c>
      <c r="L43" s="512">
        <f t="shared" ref="L43" si="68">IF(AND(G43&gt;0),I43/G43,"No programado")</f>
        <v>1</v>
      </c>
      <c r="M43" s="479">
        <f>IF(AND(E43&gt;0,$J43&gt;0),J43/$E43,0)*0.25</f>
        <v>0.25</v>
      </c>
      <c r="N43" s="480">
        <f>+E43</f>
        <v>1</v>
      </c>
      <c r="O43" s="480">
        <f>+'1.Informe Seguimiento POA 2022'!Q94</f>
        <v>1</v>
      </c>
      <c r="P43" s="480">
        <f>IFERROR(AVERAGE('1.Informe Seguimiento POA 2022'!O94,'1.Informe Seguimiento POA 2022'!Q94),0)</f>
        <v>1</v>
      </c>
      <c r="Q43" s="480">
        <f>+'1.Informe Seguimiento POA 2022'!R94</f>
        <v>0</v>
      </c>
      <c r="R43" s="480">
        <f>IFERROR(AVERAGE('1.Informe Seguimiento POA 2022'!P94,'1.Informe Seguimiento POA 2022'!R94),0)</f>
        <v>0.5</v>
      </c>
      <c r="S43" s="480">
        <f>IFERROR(IF(OR($N43="",$N43=0),0,ROUNDDOWN(AVERAGE($H43,Q43),3)),0)</f>
        <v>0.5</v>
      </c>
      <c r="T43" s="512">
        <f>IF(AND(O43&gt;0),Q43/O43,"No programado")</f>
        <v>0</v>
      </c>
      <c r="U43" s="512">
        <f t="shared" ref="U43" si="69">IF(AND(P43&gt;0),R43/P43,"No programado")</f>
        <v>0.5</v>
      </c>
      <c r="V43" s="479">
        <f t="shared" si="65"/>
        <v>0.5</v>
      </c>
      <c r="W43" s="480">
        <f>+N43</f>
        <v>1</v>
      </c>
      <c r="X43" s="480">
        <f>+'1.Informe Seguimiento POA 2022'!S94</f>
        <v>1</v>
      </c>
      <c r="Y43" s="480">
        <f>IFERROR(AVERAGE('1.Informe Seguimiento POA 2022'!O94,'1.Informe Seguimiento POA 2022'!Q94,'1.Informe Seguimiento POA 2022'!S94),0)</f>
        <v>1</v>
      </c>
      <c r="Z43" s="480">
        <f>+'1.Informe Seguimiento POA 2022'!T94</f>
        <v>0</v>
      </c>
      <c r="AA43" s="480">
        <f>IFERROR(AVERAGE('1.Informe Seguimiento POA 2022'!R94,'1.Informe Seguimiento POA 2022'!P94,'1.Informe Seguimiento POA 2022'!T94),0)</f>
        <v>0.33333333333333331</v>
      </c>
      <c r="AB43" s="480">
        <f>IFERROR(IF(OR($W43="",$W43=0),0,ROUNDDOWN(AVERAGE($H43,Q43,Z43),3)),0)</f>
        <v>0.33300000000000002</v>
      </c>
      <c r="AC43" s="512">
        <f>IF(AND(X43&gt;0),Z43/X43,"No programado")</f>
        <v>0</v>
      </c>
      <c r="AD43" s="512">
        <f t="shared" ref="AD43" si="70">IF(AND(Y43&gt;0),AA43/Y43,"No programado")</f>
        <v>0.33333333333333331</v>
      </c>
      <c r="AE43" s="479">
        <f t="shared" si="66"/>
        <v>0.33300000000000002</v>
      </c>
      <c r="AF43" s="480">
        <f>+W43</f>
        <v>1</v>
      </c>
      <c r="AG43" s="480">
        <f>+'1.Informe Seguimiento POA 2022'!U94</f>
        <v>1</v>
      </c>
      <c r="AH43" s="480">
        <f>IFERROR(AVERAGE('1.Informe Seguimiento POA 2022'!O94,'1.Informe Seguimiento POA 2022'!Q94,'1.Informe Seguimiento POA 2022'!S94,'1.Informe Seguimiento POA 2022'!U94),0)</f>
        <v>1</v>
      </c>
      <c r="AI43" s="480">
        <f>+'1.Informe Seguimiento POA 2022'!V94</f>
        <v>0</v>
      </c>
      <c r="AJ43" s="480">
        <f>IFERROR(AVERAGE('1.Informe Seguimiento POA 2022'!P94,'1.Informe Seguimiento POA 2022'!R94,'1.Informe Seguimiento POA 2022'!T94,'1.Informe Seguimiento POA 2022'!V94),0)</f>
        <v>0.25</v>
      </c>
      <c r="AK43" s="480">
        <f>IFERROR(IF(OR($AF43="",$AF43=0),0,ROUNDDOWN(AVERAGE($H43,Q43,Z43,AI43),3)),0)</f>
        <v>0.25</v>
      </c>
      <c r="AL43" s="512">
        <f>IF(AND(AG43&gt;0),AI43/AG43,"No programado")</f>
        <v>0</v>
      </c>
      <c r="AM43" s="512">
        <f t="shared" ref="AM43" si="71">IF(AND(AH43&gt;0),AJ43/AH43,"No programado")</f>
        <v>0.25</v>
      </c>
      <c r="AN43" s="479">
        <f t="shared" si="67"/>
        <v>0.25</v>
      </c>
      <c r="AO43" s="483" t="str">
        <f>+'Rango indicadores'!H21</f>
        <v>Mayor A:</v>
      </c>
      <c r="AP43" s="478">
        <f>+'Rango indicadores'!I21</f>
        <v>90</v>
      </c>
      <c r="AQ43" s="478" t="str">
        <f>+'Rango indicadores'!J21</f>
        <v>Desde (&gt;=):</v>
      </c>
      <c r="AR43" s="478">
        <f>+'Rango indicadores'!K21</f>
        <v>75</v>
      </c>
      <c r="AS43" s="478" t="str">
        <f>+'Rango indicadores'!L21</f>
        <v>Hasta (&lt;=):</v>
      </c>
      <c r="AT43" s="478">
        <f>+'Rango indicadores'!M21</f>
        <v>90</v>
      </c>
      <c r="AU43" s="478" t="str">
        <f>+'Rango indicadores'!N21</f>
        <v>Menor A:</v>
      </c>
      <c r="AV43" s="478">
        <f>+'Rango indicadores'!O21</f>
        <v>75</v>
      </c>
      <c r="AW43" s="582" t="s">
        <v>1177</v>
      </c>
    </row>
    <row r="44" spans="2:49" ht="15.6">
      <c r="C44" s="1474" t="s">
        <v>873</v>
      </c>
      <c r="D44" s="1475"/>
      <c r="E44" s="1475"/>
      <c r="F44" s="1475"/>
      <c r="G44" s="1475"/>
      <c r="H44" s="1475"/>
      <c r="I44" s="1475"/>
      <c r="J44" s="1475"/>
      <c r="K44" s="481">
        <f>IFERROR(AVERAGE(K42:K43),0)</f>
        <v>1</v>
      </c>
      <c r="L44" s="481">
        <f>IFERROR(AVERAGE(L42:L43),0)</f>
        <v>1</v>
      </c>
      <c r="M44" s="481">
        <f>IFERROR(AVERAGE(M42:M43),0)</f>
        <v>0.25</v>
      </c>
      <c r="N44" s="1085"/>
      <c r="O44" s="1085"/>
      <c r="P44" s="1085"/>
      <c r="Q44" s="1085"/>
      <c r="R44" s="1085"/>
      <c r="S44" s="1085"/>
      <c r="T44" s="481">
        <f>IFERROR(AVERAGE(T42:T43),0)</f>
        <v>0</v>
      </c>
      <c r="U44" s="481">
        <f>IFERROR(AVERAGE(U42:U43),0)</f>
        <v>0.5</v>
      </c>
      <c r="V44" s="481">
        <f>IFERROR(AVERAGE(V42:V43),0)</f>
        <v>0.5</v>
      </c>
      <c r="W44" s="1085"/>
      <c r="X44" s="1085"/>
      <c r="Y44" s="1085"/>
      <c r="Z44" s="1085"/>
      <c r="AA44" s="1085"/>
      <c r="AB44" s="1085"/>
      <c r="AC44" s="481">
        <f>IFERROR(AVERAGE(AC42:AC43),0)</f>
        <v>0</v>
      </c>
      <c r="AD44" s="481">
        <f>IFERROR(AVERAGE(AD42:AD43),0)</f>
        <v>0.33333333333333331</v>
      </c>
      <c r="AE44" s="481">
        <f>IFERROR(AVERAGE(AE42:AE43),0)</f>
        <v>0.33300000000000002</v>
      </c>
      <c r="AF44" s="1085"/>
      <c r="AG44" s="1085"/>
      <c r="AH44" s="1085"/>
      <c r="AI44" s="1085"/>
      <c r="AJ44" s="1085"/>
      <c r="AK44" s="1086"/>
      <c r="AL44" s="481">
        <f>IFERROR(AVERAGE(AL42:AL43),0)</f>
        <v>0</v>
      </c>
      <c r="AM44" s="481">
        <f>IFERROR(AVERAGE(AM42:AM43),0)</f>
        <v>0.25</v>
      </c>
      <c r="AN44" s="481">
        <f>IFERROR(AVERAGE(AN42:AN43),0)</f>
        <v>0.25</v>
      </c>
      <c r="AO44" s="488"/>
      <c r="AP44" s="488"/>
      <c r="AQ44" s="488"/>
      <c r="AR44" s="488"/>
      <c r="AS44" s="488"/>
      <c r="AT44" s="488"/>
      <c r="AU44" s="488"/>
      <c r="AV44" s="488"/>
      <c r="AW44" s="583"/>
    </row>
    <row r="45" spans="2:49" s="471" customFormat="1" ht="24" customHeight="1" thickBot="1">
      <c r="D45" s="473"/>
      <c r="AW45" s="473"/>
    </row>
    <row r="46" spans="2:49" s="471" customFormat="1" ht="16.2" thickBot="1">
      <c r="C46" s="474" t="s">
        <v>877</v>
      </c>
      <c r="D46" s="504"/>
      <c r="E46" s="1446" t="s">
        <v>1144</v>
      </c>
      <c r="F46" s="1447"/>
      <c r="G46" s="1447"/>
      <c r="H46" s="1447"/>
      <c r="I46" s="1447"/>
      <c r="J46" s="1447"/>
      <c r="K46" s="1447"/>
      <c r="L46" s="1447"/>
      <c r="M46" s="1448"/>
      <c r="N46" s="1449" t="s">
        <v>1145</v>
      </c>
      <c r="O46" s="1450"/>
      <c r="P46" s="1450"/>
      <c r="Q46" s="1450"/>
      <c r="R46" s="1450"/>
      <c r="S46" s="1450"/>
      <c r="T46" s="1450"/>
      <c r="U46" s="1450"/>
      <c r="V46" s="1451"/>
      <c r="W46" s="1443" t="s">
        <v>1146</v>
      </c>
      <c r="X46" s="1444"/>
      <c r="Y46" s="1444"/>
      <c r="Z46" s="1444"/>
      <c r="AA46" s="1444"/>
      <c r="AB46" s="1444"/>
      <c r="AC46" s="1444"/>
      <c r="AD46" s="1444"/>
      <c r="AE46" s="1445"/>
      <c r="AF46" s="1449" t="s">
        <v>1056</v>
      </c>
      <c r="AG46" s="1450"/>
      <c r="AH46" s="1450"/>
      <c r="AI46" s="1450"/>
      <c r="AJ46" s="1450"/>
      <c r="AK46" s="1450"/>
      <c r="AL46" s="1450"/>
      <c r="AM46" s="1450"/>
      <c r="AN46" s="1451"/>
      <c r="AW46" s="473"/>
    </row>
    <row r="47" spans="2:49" ht="28.2" customHeight="1">
      <c r="C47" s="1440" t="str">
        <f>+$C$10</f>
        <v>Identifificación del Indicador</v>
      </c>
      <c r="D47" s="1460" t="s">
        <v>868</v>
      </c>
      <c r="E47" s="1436" t="s">
        <v>869</v>
      </c>
      <c r="F47" s="1437"/>
      <c r="G47" s="1438"/>
      <c r="H47" s="1439" t="s">
        <v>1148</v>
      </c>
      <c r="I47" s="1441" t="s">
        <v>1152</v>
      </c>
      <c r="J47" s="1439" t="s">
        <v>870</v>
      </c>
      <c r="K47" s="1439" t="s">
        <v>864</v>
      </c>
      <c r="L47" s="1439"/>
      <c r="M47" s="1439"/>
      <c r="N47" s="1436" t="s">
        <v>869</v>
      </c>
      <c r="O47" s="1437"/>
      <c r="P47" s="1438"/>
      <c r="Q47" s="1439" t="s">
        <v>1158</v>
      </c>
      <c r="R47" s="1441" t="s">
        <v>1149</v>
      </c>
      <c r="S47" s="1439" t="s">
        <v>870</v>
      </c>
      <c r="T47" s="1439" t="s">
        <v>864</v>
      </c>
      <c r="U47" s="1439"/>
      <c r="V47" s="1439"/>
      <c r="W47" s="1436" t="s">
        <v>869</v>
      </c>
      <c r="X47" s="1437"/>
      <c r="Y47" s="1438"/>
      <c r="Z47" s="1439" t="s">
        <v>1159</v>
      </c>
      <c r="AA47" s="1441" t="s">
        <v>1154</v>
      </c>
      <c r="AB47" s="1439" t="s">
        <v>870</v>
      </c>
      <c r="AC47" s="1439" t="s">
        <v>864</v>
      </c>
      <c r="AD47" s="1439"/>
      <c r="AE47" s="1439"/>
      <c r="AF47" s="1436" t="s">
        <v>869</v>
      </c>
      <c r="AG47" s="1437"/>
      <c r="AH47" s="1438"/>
      <c r="AI47" s="1439" t="s">
        <v>1160</v>
      </c>
      <c r="AJ47" s="1441" t="s">
        <v>1156</v>
      </c>
      <c r="AK47" s="1439" t="s">
        <v>870</v>
      </c>
      <c r="AL47" s="1439" t="s">
        <v>864</v>
      </c>
      <c r="AM47" s="1439"/>
      <c r="AN47" s="1439"/>
      <c r="AO47" s="1452" t="s">
        <v>716</v>
      </c>
      <c r="AP47" s="1452"/>
      <c r="AQ47" s="1452"/>
      <c r="AR47" s="1452"/>
      <c r="AS47" s="1452"/>
      <c r="AT47" s="1452"/>
      <c r="AU47" s="1452"/>
      <c r="AV47" s="1452"/>
      <c r="AW47" s="1440" t="s">
        <v>890</v>
      </c>
    </row>
    <row r="48" spans="2:49" ht="46.2" customHeight="1">
      <c r="C48" s="1440"/>
      <c r="D48" s="1460"/>
      <c r="E48" s="1046" t="s">
        <v>1161</v>
      </c>
      <c r="F48" s="1041" t="str">
        <f>+E46</f>
        <v>Primer Trimestre</v>
      </c>
      <c r="G48" s="1042" t="s">
        <v>1151</v>
      </c>
      <c r="H48" s="1440"/>
      <c r="I48" s="1442"/>
      <c r="J48" s="1440"/>
      <c r="K48" s="1041" t="str">
        <f>+$D$6</f>
        <v>Primer Trimestre</v>
      </c>
      <c r="L48" s="1042" t="str">
        <f>+G48</f>
        <v>Acumulado
Corte 
31/03/2022</v>
      </c>
      <c r="M48" s="1043" t="s">
        <v>761</v>
      </c>
      <c r="N48" s="1046" t="s">
        <v>1161</v>
      </c>
      <c r="O48" s="1041" t="str">
        <f>+N46</f>
        <v>Segundo Trimestre</v>
      </c>
      <c r="P48" s="1042" t="s">
        <v>1150</v>
      </c>
      <c r="Q48" s="1440"/>
      <c r="R48" s="1442"/>
      <c r="S48" s="1440"/>
      <c r="T48" s="1041" t="str">
        <f>+O48</f>
        <v>Segundo Trimestre</v>
      </c>
      <c r="U48" s="1042" t="str">
        <f>+P48</f>
        <v>Acumulado Corte 
30/06/2022</v>
      </c>
      <c r="V48" s="1043" t="s">
        <v>761</v>
      </c>
      <c r="W48" s="1046" t="s">
        <v>1161</v>
      </c>
      <c r="X48" s="1041" t="str">
        <f>+W46</f>
        <v>Tercer Trimestre</v>
      </c>
      <c r="Y48" s="1042" t="s">
        <v>1153</v>
      </c>
      <c r="Z48" s="1440"/>
      <c r="AA48" s="1442"/>
      <c r="AB48" s="1440"/>
      <c r="AC48" s="1041" t="str">
        <f>+X48</f>
        <v>Tercer Trimestre</v>
      </c>
      <c r="AD48" s="1042" t="str">
        <f>+Y48</f>
        <v>Acumulado Corte 
30/09/2022</v>
      </c>
      <c r="AE48" s="1043" t="s">
        <v>761</v>
      </c>
      <c r="AF48" s="1046" t="s">
        <v>1161</v>
      </c>
      <c r="AG48" s="1041" t="str">
        <f>+AF46</f>
        <v>Cuarto Trimestre</v>
      </c>
      <c r="AH48" s="1042" t="s">
        <v>1155</v>
      </c>
      <c r="AI48" s="1440"/>
      <c r="AJ48" s="1442"/>
      <c r="AK48" s="1440"/>
      <c r="AL48" s="1041" t="str">
        <f>+AG48</f>
        <v>Cuarto Trimestre</v>
      </c>
      <c r="AM48" s="1042" t="str">
        <f>+AH48</f>
        <v>Acumulado Corte 
31/12/2022</v>
      </c>
      <c r="AN48" s="1043" t="s">
        <v>761</v>
      </c>
      <c r="AO48" s="1453" t="s">
        <v>871</v>
      </c>
      <c r="AP48" s="1454"/>
      <c r="AQ48" s="1455" t="s">
        <v>872</v>
      </c>
      <c r="AR48" s="1456"/>
      <c r="AS48" s="1456"/>
      <c r="AT48" s="1457"/>
      <c r="AU48" s="1458" t="s">
        <v>724</v>
      </c>
      <c r="AV48" s="1459"/>
      <c r="AW48" s="1440"/>
    </row>
    <row r="49" spans="2:53" ht="83.4" customHeight="1">
      <c r="B49" s="475">
        <f>+B43+1</f>
        <v>18</v>
      </c>
      <c r="C49" s="476" t="str">
        <f>+'Rango indicadores'!D83</f>
        <v>14-RI-01</v>
      </c>
      <c r="D49" s="476" t="str">
        <f>+'Rango indicadores'!E83</f>
        <v>Porcentaje de Percepción de los usuarios en calificación excelente y bueno incrementado</v>
      </c>
      <c r="E49" s="480">
        <f>+'Rango indicadores'!Q83</f>
        <v>0.9</v>
      </c>
      <c r="F49" s="508">
        <f>+'1.Informe Seguimiento POA 2022'!O59</f>
        <v>0.9</v>
      </c>
      <c r="G49" s="508">
        <f>+'1.Informe Seguimiento POA 2022'!O59</f>
        <v>0.9</v>
      </c>
      <c r="H49" s="945">
        <f>+'1.Informe Seguimiento POA 2022'!P59</f>
        <v>0.95899999999999996</v>
      </c>
      <c r="I49" s="508">
        <f>+'1.Informe Seguimiento POA 2022'!P59</f>
        <v>0.95899999999999996</v>
      </c>
      <c r="J49" s="508">
        <f>+I49</f>
        <v>0.95899999999999996</v>
      </c>
      <c r="K49" s="466">
        <f>IF(AND(F49&gt;0),H49/F49,"No programado")</f>
        <v>1.0655555555555556</v>
      </c>
      <c r="L49" s="466">
        <f>IF(AND(G49&gt;0),I49/G49,"No programado")</f>
        <v>1.0655555555555556</v>
      </c>
      <c r="M49" s="479">
        <f>IF(AND(E49&gt;0,$J49&gt;0),J49/$E49,0)*0.25</f>
        <v>0.2663888888888889</v>
      </c>
      <c r="N49" s="480">
        <f>+E49</f>
        <v>0.9</v>
      </c>
      <c r="O49" s="480">
        <f>+'1.Informe Seguimiento POA 2022'!Q59</f>
        <v>0</v>
      </c>
      <c r="P49" s="480">
        <f>+'1.Informe Seguimiento POA 2022'!O59</f>
        <v>0.9</v>
      </c>
      <c r="Q49" s="480">
        <f>+'1.Informe Seguimiento POA 2022'!R59</f>
        <v>0</v>
      </c>
      <c r="R49" s="508">
        <f>+'1.Informe Seguimiento POA 2022'!P59</f>
        <v>0.95899999999999996</v>
      </c>
      <c r="S49" s="508">
        <f>J49</f>
        <v>0.95899999999999996</v>
      </c>
      <c r="T49" s="466" t="str">
        <f>IF(AND(O49&gt;0),Q49/O49,"No programado")</f>
        <v>No programado</v>
      </c>
      <c r="U49" s="466">
        <f>IF(AND(P49&gt;0),R49/P49,"No programado")</f>
        <v>1.0655555555555556</v>
      </c>
      <c r="V49" s="479">
        <f t="shared" ref="V49:V51" si="72">IF(AND(N49&gt;0,$J49&gt;0),S49/$E49,0)</f>
        <v>1.0655555555555556</v>
      </c>
      <c r="W49" s="480">
        <f>+N49</f>
        <v>0.9</v>
      </c>
      <c r="X49" s="480">
        <f>+'1.Informe Seguimiento POA 2022'!S59</f>
        <v>0.9</v>
      </c>
      <c r="Y49" s="480">
        <f>IFERROR(AVERAGE('1.Informe Seguimiento POA 2022'!O59,'1.Informe Seguimiento POA 2022'!S59),0)</f>
        <v>0.9</v>
      </c>
      <c r="Z49" s="480">
        <f>+'1.Informe Seguimiento POA 2022'!T59</f>
        <v>0</v>
      </c>
      <c r="AA49" s="480">
        <f>IFERROR(AVERAGE('1.Informe Seguimiento POA 2022'!R59,'1.Informe Seguimiento POA 2022'!T59),0)</f>
        <v>0</v>
      </c>
      <c r="AB49" s="480">
        <f>IFERROR(IF(OR($W49="",$W49=0),0,ROUNDDOWN(AVERAGE($H49,Z49),3)),0)</f>
        <v>0.47899999999999998</v>
      </c>
      <c r="AC49" s="466">
        <f>IF(AND(X49&gt;0),Z49/X49,"No programado")</f>
        <v>0</v>
      </c>
      <c r="AD49" s="466">
        <f>IF(AND(Y49&gt;0),AA49/Y49,"No programado")</f>
        <v>0</v>
      </c>
      <c r="AE49" s="479">
        <f t="shared" ref="AE49:AE51" si="73">IF(AND(W49&gt;0,$J49&gt;0),AB49/$E49,0)</f>
        <v>0.53222222222222215</v>
      </c>
      <c r="AF49" s="480">
        <f>+W49</f>
        <v>0.9</v>
      </c>
      <c r="AG49" s="480">
        <f>+'1.Informe Seguimiento POA 2022'!U59</f>
        <v>0</v>
      </c>
      <c r="AH49" s="480">
        <f>+'1.Informe Seguimiento POA 2022'!S59</f>
        <v>0.9</v>
      </c>
      <c r="AI49" s="480">
        <f>+'1.Informe Seguimiento POA 2022'!V59</f>
        <v>0</v>
      </c>
      <c r="AJ49" s="480">
        <f>+'1.Informe Seguimiento POA 2022'!T59</f>
        <v>0</v>
      </c>
      <c r="AK49" s="480">
        <f>+AB49</f>
        <v>0.47899999999999998</v>
      </c>
      <c r="AL49" s="466" t="str">
        <f>IF(AND(AG49&gt;0),AI49/AG49,"No programado")</f>
        <v>No programado</v>
      </c>
      <c r="AM49" s="466">
        <f>IF(AND(AH49&gt;0),AJ49/AH49,"No programado")</f>
        <v>0</v>
      </c>
      <c r="AN49" s="479">
        <f t="shared" ref="AN49:AN51" si="74">IF(AND(AF49&gt;0,$J49&gt;0),AK49/$E49,0)</f>
        <v>0.53222222222222215</v>
      </c>
      <c r="AO49" s="489" t="str">
        <f>+'Rango indicadores'!H83</f>
        <v>Mayor A:</v>
      </c>
      <c r="AP49" s="478">
        <f>+'Rango indicadores'!I83</f>
        <v>90</v>
      </c>
      <c r="AQ49" s="478" t="str">
        <f>+'Rango indicadores'!J83</f>
        <v>Desde (&gt;=):</v>
      </c>
      <c r="AR49" s="478">
        <f>+'Rango indicadores'!K83</f>
        <v>70</v>
      </c>
      <c r="AS49" s="478" t="str">
        <f>+'Rango indicadores'!L83</f>
        <v>Hasta (&lt;=):</v>
      </c>
      <c r="AT49" s="478">
        <f>+'Rango indicadores'!M83</f>
        <v>90</v>
      </c>
      <c r="AU49" s="478" t="str">
        <f>+'Rango indicadores'!N83</f>
        <v>Menor A:</v>
      </c>
      <c r="AV49" s="478">
        <f>+'Rango indicadores'!O83</f>
        <v>70</v>
      </c>
      <c r="AW49" s="582" t="s">
        <v>1179</v>
      </c>
    </row>
    <row r="50" spans="2:53" ht="89.4" customHeight="1">
      <c r="B50" s="475">
        <f>+B49+1</f>
        <v>19</v>
      </c>
      <c r="C50" s="476" t="str">
        <f>+'Rango indicadores'!D84</f>
        <v>14-RI-02</v>
      </c>
      <c r="D50" s="476" t="str">
        <f>+'Rango indicadores'!E84</f>
        <v>Lineamientos implementados</v>
      </c>
      <c r="E50" s="478">
        <f>+'Rango indicadores'!Q84</f>
        <v>3</v>
      </c>
      <c r="F50" s="478">
        <f>+'1.Informe Seguimiento POA 2022'!O60</f>
        <v>1</v>
      </c>
      <c r="G50" s="478">
        <f>+'1.Informe Seguimiento POA 2022'!O60</f>
        <v>1</v>
      </c>
      <c r="H50" s="478">
        <f>+'1.Informe Seguimiento POA 2022'!P60</f>
        <v>1</v>
      </c>
      <c r="I50" s="478">
        <f>+'1.Informe Seguimiento POA 2022'!P60</f>
        <v>1</v>
      </c>
      <c r="J50" s="478">
        <f t="shared" ref="J50:J51" si="75">+I50</f>
        <v>1</v>
      </c>
      <c r="K50" s="466">
        <f>IF(AND(F50&gt;0),H50/F50,"No programado")</f>
        <v>1</v>
      </c>
      <c r="L50" s="466">
        <f t="shared" ref="L50:L51" si="76">IF(AND(G50&gt;0),I50/G50,"No programado")</f>
        <v>1</v>
      </c>
      <c r="M50" s="479">
        <f t="shared" ref="M50:M51" si="77">IF(AND(E50&gt;0,$J50&gt;0),J50/$E50,0)</f>
        <v>0.33333333333333331</v>
      </c>
      <c r="N50" s="478">
        <f>+E50</f>
        <v>3</v>
      </c>
      <c r="O50" s="478">
        <f>+'1.Informe Seguimiento POA 2022'!Q60</f>
        <v>1</v>
      </c>
      <c r="P50" s="478">
        <f>+'1.Informe Seguimiento POA 2022'!O60+'1.Informe Seguimiento POA 2022'!Q60</f>
        <v>2</v>
      </c>
      <c r="Q50" s="478">
        <f>'1.Informe Seguimiento POA 2022'!R60</f>
        <v>0</v>
      </c>
      <c r="R50" s="478">
        <f>+'1.Informe Seguimiento POA 2022'!P60+'1.Informe Seguimiento POA 2022'!R60</f>
        <v>1</v>
      </c>
      <c r="S50" s="478">
        <f>H50+Q50</f>
        <v>1</v>
      </c>
      <c r="T50" s="466">
        <f>IF(AND(O50&gt;0),Q50/O50,"No programado")</f>
        <v>0</v>
      </c>
      <c r="U50" s="466">
        <f t="shared" ref="U50:U51" si="78">IF(AND(P50&gt;0),R50/P50,"No programado")</f>
        <v>0.5</v>
      </c>
      <c r="V50" s="479">
        <f t="shared" si="72"/>
        <v>0.33333333333333331</v>
      </c>
      <c r="W50" s="478">
        <f>+N50</f>
        <v>3</v>
      </c>
      <c r="X50" s="478">
        <f>+'1.Informe Seguimiento POA 2022'!S60</f>
        <v>0</v>
      </c>
      <c r="Y50" s="478">
        <f>+'1.Informe Seguimiento POA 2022'!O60+'1.Informe Seguimiento POA 2022'!Q60+'1.Informe Seguimiento POA 2022'!S60</f>
        <v>2</v>
      </c>
      <c r="Z50" s="478">
        <f>+'1.Informe Seguimiento POA 2022'!T60</f>
        <v>0</v>
      </c>
      <c r="AA50" s="478">
        <f>+'1.Informe Seguimiento POA 2022'!R60+'1.Informe Seguimiento POA 2022'!T60+'1.Informe Seguimiento POA 2022'!P60</f>
        <v>1</v>
      </c>
      <c r="AB50" s="1083">
        <f>H50+Q50+Z50</f>
        <v>1</v>
      </c>
      <c r="AC50" s="466" t="str">
        <f>IF(AND(X50&gt;0),Z50/X50,"No programado")</f>
        <v>No programado</v>
      </c>
      <c r="AD50" s="466">
        <f t="shared" ref="AD50:AD51" si="79">IF(AND(Y50&gt;0),AA50/Y50,"No programado")</f>
        <v>0.5</v>
      </c>
      <c r="AE50" s="479">
        <f t="shared" si="73"/>
        <v>0.33333333333333331</v>
      </c>
      <c r="AF50" s="478">
        <f>+W50</f>
        <v>3</v>
      </c>
      <c r="AG50" s="478">
        <f>+'1.Informe Seguimiento POA 2022'!U60</f>
        <v>1</v>
      </c>
      <c r="AH50" s="478">
        <f>+'1.Informe Seguimiento POA 2022'!O60+'1.Informe Seguimiento POA 2022'!Q60+'1.Informe Seguimiento POA 2022'!S60+'1.Informe Seguimiento POA 2022'!U60</f>
        <v>3</v>
      </c>
      <c r="AI50" s="478">
        <f>+'1.Informe Seguimiento POA 2022'!V60</f>
        <v>0</v>
      </c>
      <c r="AJ50" s="478">
        <f>+'1.Informe Seguimiento POA 2022'!P60+'1.Informe Seguimiento POA 2022'!R60+'1.Informe Seguimiento POA 2022'!T60+'1.Informe Seguimiento POA 2022'!V60</f>
        <v>1</v>
      </c>
      <c r="AK50" s="478">
        <f>H50+Q50+Z50+AI50</f>
        <v>1</v>
      </c>
      <c r="AL50" s="466">
        <f>IF(AND(AG50&gt;0),AI50/AG50,"No programado")</f>
        <v>0</v>
      </c>
      <c r="AM50" s="466">
        <f t="shared" ref="AM50:AM51" si="80">IF(AND(AH50&gt;0),AJ50/AH50,"No programado")</f>
        <v>0.33333333333333331</v>
      </c>
      <c r="AN50" s="479">
        <f t="shared" si="74"/>
        <v>0.33333333333333331</v>
      </c>
      <c r="AO50" s="489" t="str">
        <f>+'Rango indicadores'!H84</f>
        <v>Mayor A:</v>
      </c>
      <c r="AP50" s="478">
        <f>+'Rango indicadores'!I84</f>
        <v>90</v>
      </c>
      <c r="AQ50" s="478" t="str">
        <f>+'Rango indicadores'!J84</f>
        <v>Desde (&gt;=):</v>
      </c>
      <c r="AR50" s="478">
        <f>+'Rango indicadores'!K84</f>
        <v>70</v>
      </c>
      <c r="AS50" s="478" t="str">
        <f>+'Rango indicadores'!L84</f>
        <v>Hasta (&lt;=):</v>
      </c>
      <c r="AT50" s="478">
        <f>+'Rango indicadores'!M84</f>
        <v>90</v>
      </c>
      <c r="AU50" s="478" t="str">
        <f>+'Rango indicadores'!N84</f>
        <v>Menor A:</v>
      </c>
      <c r="AV50" s="478">
        <f>+'Rango indicadores'!O84</f>
        <v>70</v>
      </c>
      <c r="AW50" s="574" t="s">
        <v>1180</v>
      </c>
    </row>
    <row r="51" spans="2:53" ht="51" customHeight="1">
      <c r="B51" s="475">
        <f>+B50+1</f>
        <v>20</v>
      </c>
      <c r="C51" s="476" t="str">
        <f>+'Rango indicadores'!D85</f>
        <v>14-RI-03</v>
      </c>
      <c r="D51" s="476" t="str">
        <f>+'Rango indicadores'!E85</f>
        <v>Acuerdos interinstitucionales gestionados</v>
      </c>
      <c r="E51" s="478">
        <f>+'Rango indicadores'!Q85</f>
        <v>1</v>
      </c>
      <c r="F51" s="478">
        <f>+'1.Informe Seguimiento POA 2022'!O95</f>
        <v>0</v>
      </c>
      <c r="G51" s="478">
        <f>+'1.Informe Seguimiento POA 2022'!O95</f>
        <v>0</v>
      </c>
      <c r="H51" s="478">
        <f>+'1.Informe Seguimiento POA 2022'!P95</f>
        <v>0</v>
      </c>
      <c r="I51" s="478">
        <f>+'1.Informe Seguimiento POA 2022'!P95</f>
        <v>0</v>
      </c>
      <c r="J51" s="478">
        <f t="shared" si="75"/>
        <v>0</v>
      </c>
      <c r="K51" s="494" t="str">
        <f>IF(AND(F51&gt;0),H51/F51,"No programado")</f>
        <v>No programado</v>
      </c>
      <c r="L51" s="494" t="str">
        <f t="shared" si="76"/>
        <v>No programado</v>
      </c>
      <c r="M51" s="479">
        <f t="shared" si="77"/>
        <v>0</v>
      </c>
      <c r="N51" s="478">
        <f>+E51</f>
        <v>1</v>
      </c>
      <c r="O51" s="478">
        <f>+'1.Informe Seguimiento POA 2022'!Q95</f>
        <v>0</v>
      </c>
      <c r="P51" s="478">
        <f>+'1.Informe Seguimiento POA 2022'!O95+'1.Informe Seguimiento POA 2022'!Q95</f>
        <v>0</v>
      </c>
      <c r="Q51" s="478">
        <f>'1.Informe Seguimiento POA 2022'!R95</f>
        <v>0</v>
      </c>
      <c r="R51" s="478">
        <f>+'1.Informe Seguimiento POA 2022'!P95+'1.Informe Seguimiento POA 2022'!R95</f>
        <v>0</v>
      </c>
      <c r="S51" s="478">
        <f>H51+Q51</f>
        <v>0</v>
      </c>
      <c r="T51" s="494" t="str">
        <f>IF(AND(O51&gt;0),Q51/O51,"No programado")</f>
        <v>No programado</v>
      </c>
      <c r="U51" s="494" t="str">
        <f t="shared" si="78"/>
        <v>No programado</v>
      </c>
      <c r="V51" s="479">
        <f t="shared" si="72"/>
        <v>0</v>
      </c>
      <c r="W51" s="478">
        <f>+N51</f>
        <v>1</v>
      </c>
      <c r="X51" s="478">
        <f>+'1.Informe Seguimiento POA 2022'!S95</f>
        <v>0</v>
      </c>
      <c r="Y51" s="478">
        <f>+'1.Informe Seguimiento POA 2022'!O95+'1.Informe Seguimiento POA 2022'!Q95+'1.Informe Seguimiento POA 2022'!S95</f>
        <v>0</v>
      </c>
      <c r="Z51" s="478">
        <f>+'1.Informe Seguimiento POA 2022'!T95</f>
        <v>0</v>
      </c>
      <c r="AA51" s="478">
        <f>+'1.Informe Seguimiento POA 2022'!R95+'1.Informe Seguimiento POA 2022'!T95+'1.Informe Seguimiento POA 2022'!P95</f>
        <v>0</v>
      </c>
      <c r="AB51" s="1083">
        <f>H51+Q51+Z51</f>
        <v>0</v>
      </c>
      <c r="AC51" s="466" t="str">
        <f>IF(AND(X51&gt;0),Z51/X51,"No programado")</f>
        <v>No programado</v>
      </c>
      <c r="AD51" s="494" t="str">
        <f t="shared" si="79"/>
        <v>No programado</v>
      </c>
      <c r="AE51" s="479">
        <f t="shared" si="73"/>
        <v>0</v>
      </c>
      <c r="AF51" s="478">
        <f>+W51</f>
        <v>1</v>
      </c>
      <c r="AG51" s="478">
        <f>+'1.Informe Seguimiento POA 2022'!U95</f>
        <v>1</v>
      </c>
      <c r="AH51" s="478">
        <f>+'1.Informe Seguimiento POA 2022'!O95+'1.Informe Seguimiento POA 2022'!Q95+'1.Informe Seguimiento POA 2022'!S95+'1.Informe Seguimiento POA 2022'!U95</f>
        <v>1</v>
      </c>
      <c r="AI51" s="478">
        <f>+'1.Informe Seguimiento POA 2022'!V95</f>
        <v>0</v>
      </c>
      <c r="AJ51" s="478">
        <f>+'1.Informe Seguimiento POA 2022'!P95+'1.Informe Seguimiento POA 2022'!R95+'1.Informe Seguimiento POA 2022'!T95+'1.Informe Seguimiento POA 2022'!V95</f>
        <v>0</v>
      </c>
      <c r="AK51" s="478">
        <f>H51+Q51+Z51+AI51</f>
        <v>0</v>
      </c>
      <c r="AL51" s="494">
        <f>IF(AND(AG51&gt;0),AI51/AG51,"No programado")</f>
        <v>0</v>
      </c>
      <c r="AM51" s="494">
        <f t="shared" si="80"/>
        <v>0</v>
      </c>
      <c r="AN51" s="479">
        <f t="shared" si="74"/>
        <v>0</v>
      </c>
      <c r="AO51" s="489" t="str">
        <f>+'Rango indicadores'!H85</f>
        <v>Mayor A:</v>
      </c>
      <c r="AP51" s="478">
        <f>+'Rango indicadores'!I85</f>
        <v>90</v>
      </c>
      <c r="AQ51" s="478" t="str">
        <f>+'Rango indicadores'!J85</f>
        <v>Desde (&gt;=):</v>
      </c>
      <c r="AR51" s="478">
        <f>+'Rango indicadores'!K85</f>
        <v>70</v>
      </c>
      <c r="AS51" s="478" t="str">
        <f>+'Rango indicadores'!L85</f>
        <v>Hasta (&lt;=):</v>
      </c>
      <c r="AT51" s="478">
        <f>+'Rango indicadores'!M85</f>
        <v>90</v>
      </c>
      <c r="AU51" s="478" t="str">
        <f>+'Rango indicadores'!N85</f>
        <v>Menor A:</v>
      </c>
      <c r="AV51" s="478">
        <f>+'Rango indicadores'!O85</f>
        <v>70</v>
      </c>
      <c r="AW51" s="582" t="s">
        <v>1173</v>
      </c>
    </row>
    <row r="52" spans="2:53" ht="15.6">
      <c r="C52" s="1474" t="s">
        <v>873</v>
      </c>
      <c r="D52" s="1475"/>
      <c r="E52" s="1475"/>
      <c r="F52" s="1475"/>
      <c r="G52" s="1475"/>
      <c r="H52" s="1475"/>
      <c r="I52" s="1475"/>
      <c r="J52" s="1475"/>
      <c r="K52" s="481">
        <f t="shared" ref="K52:L52" si="81">IFERROR(AVERAGE(K49:K51),0)</f>
        <v>1.0327777777777778</v>
      </c>
      <c r="L52" s="481">
        <f t="shared" si="81"/>
        <v>1.0327777777777778</v>
      </c>
      <c r="M52" s="481">
        <f>IFERROR(AVERAGE(M49:M51),0)</f>
        <v>0.19990740740740742</v>
      </c>
      <c r="N52" s="1085"/>
      <c r="O52" s="1085"/>
      <c r="P52" s="1085"/>
      <c r="Q52" s="1085"/>
      <c r="R52" s="1085"/>
      <c r="S52" s="1085"/>
      <c r="T52" s="481">
        <f t="shared" ref="T52:U52" si="82">IFERROR(AVERAGE(T49:T51),0)</f>
        <v>0</v>
      </c>
      <c r="U52" s="481">
        <f t="shared" si="82"/>
        <v>0.78277777777777779</v>
      </c>
      <c r="V52" s="481">
        <f>IFERROR(AVERAGE(V49:V51),0)</f>
        <v>0.46629629629629626</v>
      </c>
      <c r="W52" s="1085"/>
      <c r="X52" s="1085"/>
      <c r="Y52" s="1085"/>
      <c r="Z52" s="1085"/>
      <c r="AA52" s="1085"/>
      <c r="AB52" s="1085"/>
      <c r="AC52" s="481">
        <f t="shared" ref="AC52:AD52" si="83">IFERROR(AVERAGE(AC49:AC51),0)</f>
        <v>0</v>
      </c>
      <c r="AD52" s="481">
        <f t="shared" si="83"/>
        <v>0.25</v>
      </c>
      <c r="AE52" s="481">
        <f>IFERROR(AVERAGE(AE49:AE51),0)</f>
        <v>0.28851851851851845</v>
      </c>
      <c r="AF52" s="1085"/>
      <c r="AG52" s="1085"/>
      <c r="AH52" s="1085"/>
      <c r="AI52" s="1085"/>
      <c r="AJ52" s="1085"/>
      <c r="AK52" s="1086"/>
      <c r="AL52" s="481">
        <f t="shared" ref="AL52:AM52" si="84">IFERROR(AVERAGE(AL49:AL51),0)</f>
        <v>0</v>
      </c>
      <c r="AM52" s="481">
        <f t="shared" si="84"/>
        <v>0.1111111111111111</v>
      </c>
      <c r="AN52" s="481">
        <f>IFERROR(AVERAGE(AN49:AN51),0)</f>
        <v>0.28851851851851845</v>
      </c>
      <c r="AO52" s="488"/>
      <c r="AP52" s="488"/>
      <c r="AQ52" s="488"/>
      <c r="AR52" s="488"/>
      <c r="AS52" s="488"/>
      <c r="AT52" s="488"/>
      <c r="AU52" s="488"/>
      <c r="AV52" s="488"/>
      <c r="AW52" s="583"/>
    </row>
    <row r="53" spans="2:53" s="471" customFormat="1" ht="23.4" customHeight="1" thickBot="1">
      <c r="D53" s="473"/>
      <c r="AW53" s="473"/>
    </row>
    <row r="54" spans="2:53" s="471" customFormat="1" ht="16.2" thickBot="1">
      <c r="C54" s="474" t="s">
        <v>878</v>
      </c>
      <c r="D54" s="504"/>
      <c r="E54" s="1446" t="s">
        <v>1144</v>
      </c>
      <c r="F54" s="1447"/>
      <c r="G54" s="1447"/>
      <c r="H54" s="1447"/>
      <c r="I54" s="1447"/>
      <c r="J54" s="1447"/>
      <c r="K54" s="1447"/>
      <c r="L54" s="1447"/>
      <c r="M54" s="1448"/>
      <c r="N54" s="1449" t="s">
        <v>1145</v>
      </c>
      <c r="O54" s="1450"/>
      <c r="P54" s="1450"/>
      <c r="Q54" s="1450"/>
      <c r="R54" s="1450"/>
      <c r="S54" s="1450"/>
      <c r="T54" s="1450"/>
      <c r="U54" s="1450"/>
      <c r="V54" s="1451"/>
      <c r="W54" s="1443" t="s">
        <v>1146</v>
      </c>
      <c r="X54" s="1444"/>
      <c r="Y54" s="1444"/>
      <c r="Z54" s="1444"/>
      <c r="AA54" s="1444"/>
      <c r="AB54" s="1444"/>
      <c r="AC54" s="1444"/>
      <c r="AD54" s="1444"/>
      <c r="AE54" s="1445"/>
      <c r="AF54" s="1449" t="s">
        <v>1056</v>
      </c>
      <c r="AG54" s="1450"/>
      <c r="AH54" s="1450"/>
      <c r="AI54" s="1450"/>
      <c r="AJ54" s="1450"/>
      <c r="AK54" s="1450"/>
      <c r="AL54" s="1450"/>
      <c r="AM54" s="1450"/>
      <c r="AN54" s="1451"/>
      <c r="AW54" s="473"/>
    </row>
    <row r="55" spans="2:53" ht="27" customHeight="1">
      <c r="C55" s="1440" t="str">
        <f>+$C$10</f>
        <v>Identifificación del Indicador</v>
      </c>
      <c r="D55" s="1460" t="s">
        <v>868</v>
      </c>
      <c r="E55" s="1436" t="s">
        <v>869</v>
      </c>
      <c r="F55" s="1437"/>
      <c r="G55" s="1438"/>
      <c r="H55" s="1439" t="s">
        <v>1148</v>
      </c>
      <c r="I55" s="1441" t="s">
        <v>1152</v>
      </c>
      <c r="J55" s="1439" t="s">
        <v>870</v>
      </c>
      <c r="K55" s="1439" t="s">
        <v>864</v>
      </c>
      <c r="L55" s="1439"/>
      <c r="M55" s="1439"/>
      <c r="N55" s="1436" t="s">
        <v>869</v>
      </c>
      <c r="O55" s="1437"/>
      <c r="P55" s="1438"/>
      <c r="Q55" s="1439" t="s">
        <v>1158</v>
      </c>
      <c r="R55" s="1441" t="s">
        <v>1149</v>
      </c>
      <c r="S55" s="1439" t="s">
        <v>870</v>
      </c>
      <c r="T55" s="1439" t="s">
        <v>864</v>
      </c>
      <c r="U55" s="1439"/>
      <c r="V55" s="1439"/>
      <c r="W55" s="1436" t="s">
        <v>869</v>
      </c>
      <c r="X55" s="1437"/>
      <c r="Y55" s="1438"/>
      <c r="Z55" s="1439" t="s">
        <v>1159</v>
      </c>
      <c r="AA55" s="1441" t="s">
        <v>1154</v>
      </c>
      <c r="AB55" s="1439" t="s">
        <v>870</v>
      </c>
      <c r="AC55" s="1439" t="s">
        <v>864</v>
      </c>
      <c r="AD55" s="1439"/>
      <c r="AE55" s="1439"/>
      <c r="AF55" s="1436" t="s">
        <v>869</v>
      </c>
      <c r="AG55" s="1437"/>
      <c r="AH55" s="1438"/>
      <c r="AI55" s="1439" t="s">
        <v>1160</v>
      </c>
      <c r="AJ55" s="1441" t="s">
        <v>1156</v>
      </c>
      <c r="AK55" s="1439" t="s">
        <v>870</v>
      </c>
      <c r="AL55" s="1439" t="s">
        <v>864</v>
      </c>
      <c r="AM55" s="1439"/>
      <c r="AN55" s="1439"/>
      <c r="AO55" s="1452" t="s">
        <v>716</v>
      </c>
      <c r="AP55" s="1452"/>
      <c r="AQ55" s="1452"/>
      <c r="AR55" s="1452"/>
      <c r="AS55" s="1452"/>
      <c r="AT55" s="1452"/>
      <c r="AU55" s="1452"/>
      <c r="AV55" s="1452"/>
      <c r="AW55" s="1440" t="s">
        <v>890</v>
      </c>
    </row>
    <row r="56" spans="2:53" ht="53.4" customHeight="1">
      <c r="C56" s="1440"/>
      <c r="D56" s="1460"/>
      <c r="E56" s="1041" t="s">
        <v>1161</v>
      </c>
      <c r="F56" s="1041" t="str">
        <f>+E54</f>
        <v>Primer Trimestre</v>
      </c>
      <c r="G56" s="1042" t="s">
        <v>1151</v>
      </c>
      <c r="H56" s="1440"/>
      <c r="I56" s="1442"/>
      <c r="J56" s="1440"/>
      <c r="K56" s="1041" t="str">
        <f>+$D$6</f>
        <v>Primer Trimestre</v>
      </c>
      <c r="L56" s="1042" t="str">
        <f>+G56</f>
        <v>Acumulado
Corte 
31/03/2022</v>
      </c>
      <c r="M56" s="1043" t="s">
        <v>761</v>
      </c>
      <c r="N56" s="1041" t="s">
        <v>1161</v>
      </c>
      <c r="O56" s="1041" t="str">
        <f>+N54</f>
        <v>Segundo Trimestre</v>
      </c>
      <c r="P56" s="1042" t="s">
        <v>1150</v>
      </c>
      <c r="Q56" s="1440"/>
      <c r="R56" s="1442"/>
      <c r="S56" s="1440"/>
      <c r="T56" s="1041" t="str">
        <f>+O56</f>
        <v>Segundo Trimestre</v>
      </c>
      <c r="U56" s="1042" t="str">
        <f>+P56</f>
        <v>Acumulado Corte 
30/06/2022</v>
      </c>
      <c r="V56" s="1043" t="s">
        <v>761</v>
      </c>
      <c r="W56" s="1041" t="s">
        <v>1161</v>
      </c>
      <c r="X56" s="1041" t="str">
        <f>+W54</f>
        <v>Tercer Trimestre</v>
      </c>
      <c r="Y56" s="1042" t="s">
        <v>1153</v>
      </c>
      <c r="Z56" s="1440"/>
      <c r="AA56" s="1442"/>
      <c r="AB56" s="1440"/>
      <c r="AC56" s="1041" t="str">
        <f>+X56</f>
        <v>Tercer Trimestre</v>
      </c>
      <c r="AD56" s="1042" t="str">
        <f>+Y56</f>
        <v>Acumulado Corte 
30/09/2022</v>
      </c>
      <c r="AE56" s="1043" t="s">
        <v>761</v>
      </c>
      <c r="AF56" s="1041" t="s">
        <v>1161</v>
      </c>
      <c r="AG56" s="1041" t="str">
        <f>+AF54</f>
        <v>Cuarto Trimestre</v>
      </c>
      <c r="AH56" s="1042" t="s">
        <v>1155</v>
      </c>
      <c r="AI56" s="1440"/>
      <c r="AJ56" s="1442"/>
      <c r="AK56" s="1440"/>
      <c r="AL56" s="1041" t="str">
        <f>+AG56</f>
        <v>Cuarto Trimestre</v>
      </c>
      <c r="AM56" s="1042" t="str">
        <f>+AH56</f>
        <v>Acumulado Corte 
31/12/2022</v>
      </c>
      <c r="AN56" s="1043" t="s">
        <v>761</v>
      </c>
      <c r="AO56" s="1453" t="s">
        <v>871</v>
      </c>
      <c r="AP56" s="1454"/>
      <c r="AQ56" s="1455" t="s">
        <v>872</v>
      </c>
      <c r="AR56" s="1456"/>
      <c r="AS56" s="1456"/>
      <c r="AT56" s="1457"/>
      <c r="AU56" s="1458" t="s">
        <v>724</v>
      </c>
      <c r="AV56" s="1459"/>
      <c r="AW56" s="1440"/>
    </row>
    <row r="57" spans="2:53" ht="138.6" customHeight="1">
      <c r="B57" s="475">
        <f>+B51+1</f>
        <v>21</v>
      </c>
      <c r="C57" s="476" t="str">
        <f>+'Rango indicadores'!D22</f>
        <v>05-RI-01</v>
      </c>
      <c r="D57" s="476" t="str">
        <f>+'Rango indicadores'!E22</f>
        <v>Intervenciones realizadas en defensa de los derechos</v>
      </c>
      <c r="E57" s="490">
        <f>+'Rango indicadores'!Q22</f>
        <v>106660</v>
      </c>
      <c r="F57" s="490">
        <f>'1.Informe Seguimiento POA 2022'!O13</f>
        <v>25305</v>
      </c>
      <c r="G57" s="490">
        <f>'1.Informe Seguimiento POA 2022'!O13</f>
        <v>25305</v>
      </c>
      <c r="H57" s="490">
        <f>'1.Informe Seguimiento POA 2022'!P13</f>
        <v>29145</v>
      </c>
      <c r="I57" s="490">
        <f>'1.Informe Seguimiento POA 2022'!P13</f>
        <v>29145</v>
      </c>
      <c r="J57" s="490">
        <f>I57</f>
        <v>29145</v>
      </c>
      <c r="K57" s="479">
        <f t="shared" ref="K57:K76" si="85">IF(AND(F57&gt;0),H57/F57,"No programado")</f>
        <v>1.1517486662714878</v>
      </c>
      <c r="L57" s="479">
        <f>IF(AND(G57&gt;0),I57/G57,"No programado")</f>
        <v>1.1517486662714878</v>
      </c>
      <c r="M57" s="479">
        <f t="shared" ref="M57:M76" si="86">IF(AND(E57&gt;0,$J57&gt;0),J57/$E57,0)</f>
        <v>0.273251453215826</v>
      </c>
      <c r="N57" s="490">
        <f>+E57</f>
        <v>106660</v>
      </c>
      <c r="O57" s="478">
        <f>+'1.Informe Seguimiento POA 2022'!Q13</f>
        <v>28020</v>
      </c>
      <c r="P57" s="490">
        <f>F57+O57</f>
        <v>53325</v>
      </c>
      <c r="Q57" s="478">
        <f>'1.Informe Seguimiento POA 2022'!R13</f>
        <v>0</v>
      </c>
      <c r="R57" s="478">
        <f>+'1.Informe Seguimiento POA 2022'!P13+'1.Informe Seguimiento POA 2022'!R13</f>
        <v>29145</v>
      </c>
      <c r="S57" s="490">
        <f>H57+Q57</f>
        <v>29145</v>
      </c>
      <c r="T57" s="479">
        <f t="shared" ref="T57:T76" si="87">IF(AND(O57&gt;0),Q57/O57,"No programado")</f>
        <v>0</v>
      </c>
      <c r="U57" s="479">
        <f>IF(AND(P57&gt;0),R57/P57,"No programado")</f>
        <v>0.54655414908579469</v>
      </c>
      <c r="V57" s="479">
        <f t="shared" ref="V57:V62" si="88">IF(AND(N57&gt;0,$J57&gt;0),S57/$E57,0)</f>
        <v>0.273251453215826</v>
      </c>
      <c r="W57" s="490">
        <f>+N57</f>
        <v>106660</v>
      </c>
      <c r="X57" s="478">
        <f>+'1.Informe Seguimiento POA 2022'!S13</f>
        <v>28020</v>
      </c>
      <c r="Y57" s="478">
        <f>+'1.Informe Seguimiento POA 2022'!O13+'1.Informe Seguimiento POA 2022'!Q13+'1.Informe Seguimiento POA 2022'!S13</f>
        <v>81345</v>
      </c>
      <c r="Z57" s="478">
        <f>+'1.Informe Seguimiento POA 2022'!T13</f>
        <v>0</v>
      </c>
      <c r="AA57" s="478">
        <f>+'1.Informe Seguimiento POA 2022'!R13+'1.Informe Seguimiento POA 2022'!T13+'1.Informe Seguimiento POA 2022'!P13</f>
        <v>29145</v>
      </c>
      <c r="AB57" s="1083">
        <f>H57+Q57+Z57</f>
        <v>29145</v>
      </c>
      <c r="AC57" s="479">
        <f t="shared" ref="AC57:AC76" si="89">IF(AND(X57&gt;0),Z57/X57,"No programado")</f>
        <v>0</v>
      </c>
      <c r="AD57" s="479">
        <f>IF(AND(Y57&gt;0),AA57/Y57,"No programado")</f>
        <v>0.35828877005347592</v>
      </c>
      <c r="AE57" s="479">
        <f t="shared" ref="AE57:AE62" si="90">IF(AND(W57&gt;0,$J57&gt;0),AB57/$E57,0)</f>
        <v>0.273251453215826</v>
      </c>
      <c r="AF57" s="490">
        <f>+W57</f>
        <v>106660</v>
      </c>
      <c r="AG57" s="490">
        <f>+'1.Informe Seguimiento POA 2022'!U13</f>
        <v>25315</v>
      </c>
      <c r="AH57" s="490">
        <f>+'1.Informe Seguimiento POA 2022'!O13+'1.Informe Seguimiento POA 2022'!Q13+'1.Informe Seguimiento POA 2022'!S13+'1.Informe Seguimiento POA 2022'!U13</f>
        <v>106660</v>
      </c>
      <c r="AI57" s="490">
        <f>+'1.Informe Seguimiento POA 2022'!V13</f>
        <v>0</v>
      </c>
      <c r="AJ57" s="490">
        <f>+'1.Informe Seguimiento POA 2022'!P13+'1.Informe Seguimiento POA 2022'!R13+'1.Informe Seguimiento POA 2022'!T13+'1.Informe Seguimiento POA 2022'!V13</f>
        <v>29145</v>
      </c>
      <c r="AK57" s="490">
        <f>H57+Q57+Z57+AI57</f>
        <v>29145</v>
      </c>
      <c r="AL57" s="479">
        <f t="shared" ref="AL57:AL76" si="91">IF(AND(AG57&gt;0),AI57/AG57,"No programado")</f>
        <v>0</v>
      </c>
      <c r="AM57" s="479">
        <f>IF(AND(AH57&gt;0),AJ57/AH57,"No programado")</f>
        <v>0.273251453215826</v>
      </c>
      <c r="AN57" s="479">
        <f t="shared" ref="AN57:AN62" si="92">IF(AND(AF57&gt;0,$J57&gt;0),AK57/$E57,0)</f>
        <v>0.273251453215826</v>
      </c>
      <c r="AO57" s="483" t="str">
        <f>+'Rango indicadores'!H22</f>
        <v>Mayor A:</v>
      </c>
      <c r="AP57" s="478">
        <f>+'Rango indicadores'!I22</f>
        <v>85</v>
      </c>
      <c r="AQ57" s="478" t="str">
        <f>+'Rango indicadores'!J22</f>
        <v>Desde (&gt;=):</v>
      </c>
      <c r="AR57" s="478">
        <f>+'Rango indicadores'!K22</f>
        <v>80</v>
      </c>
      <c r="AS57" s="478" t="str">
        <f>+'Rango indicadores'!L22</f>
        <v>Hasta (&lt;=):</v>
      </c>
      <c r="AT57" s="478">
        <f>+'Rango indicadores'!M22</f>
        <v>85</v>
      </c>
      <c r="AU57" s="478" t="str">
        <f>+'Rango indicadores'!N22</f>
        <v>Menor A:</v>
      </c>
      <c r="AV57" s="478">
        <f>+'Rango indicadores'!O22</f>
        <v>80</v>
      </c>
      <c r="AW57" s="1103" t="s">
        <v>1187</v>
      </c>
      <c r="AX57" s="656"/>
      <c r="AY57" s="656">
        <f>+F57-H57</f>
        <v>-3840</v>
      </c>
      <c r="AZ57" s="656"/>
      <c r="BA57" s="656"/>
    </row>
    <row r="58" spans="2:53" ht="171" customHeight="1">
      <c r="B58" s="475">
        <f t="shared" ref="B58:B63" si="93">+B57+1</f>
        <v>22</v>
      </c>
      <c r="C58" s="476" t="str">
        <f>+'Rango indicadores'!D23</f>
        <v>05-RI-02</v>
      </c>
      <c r="D58" s="476" t="str">
        <f>+'Rango indicadores'!E23</f>
        <v>Personas orientadas en garantía de derechos</v>
      </c>
      <c r="E58" s="490">
        <f>+'Rango indicadores'!Q23</f>
        <v>97105</v>
      </c>
      <c r="F58" s="490">
        <f>'1.Informe Seguimiento POA 2022'!O14</f>
        <v>21621</v>
      </c>
      <c r="G58" s="490">
        <f>'1.Informe Seguimiento POA 2022'!O14</f>
        <v>21621</v>
      </c>
      <c r="H58" s="490">
        <f>'1.Informe Seguimiento POA 2022'!P14</f>
        <v>26507</v>
      </c>
      <c r="I58" s="490">
        <f>'1.Informe Seguimiento POA 2022'!P14</f>
        <v>26507</v>
      </c>
      <c r="J58" s="490">
        <f t="shared" ref="J58:J76" si="94">I58</f>
        <v>26507</v>
      </c>
      <c r="K58" s="479">
        <f t="shared" si="85"/>
        <v>1.2259839970399149</v>
      </c>
      <c r="L58" s="479">
        <f>IF(AND(G58&gt;0),I58/G58,"No programado")</f>
        <v>1.2259839970399149</v>
      </c>
      <c r="M58" s="479">
        <f t="shared" si="86"/>
        <v>0.27297255548118016</v>
      </c>
      <c r="N58" s="490">
        <f t="shared" ref="N58:N76" si="95">+E58</f>
        <v>97105</v>
      </c>
      <c r="O58" s="478">
        <f>+'1.Informe Seguimiento POA 2022'!Q14</f>
        <v>25997</v>
      </c>
      <c r="P58" s="490">
        <f t="shared" ref="P58:P76" si="96">F58+O58</f>
        <v>47618</v>
      </c>
      <c r="Q58" s="478">
        <f>'1.Informe Seguimiento POA 2022'!R14</f>
        <v>0</v>
      </c>
      <c r="R58" s="478">
        <f>+'1.Informe Seguimiento POA 2022'!P14+'1.Informe Seguimiento POA 2022'!R14</f>
        <v>26507</v>
      </c>
      <c r="S58" s="490">
        <f t="shared" ref="S58:S76" si="97">H58+Q58</f>
        <v>26507</v>
      </c>
      <c r="T58" s="479">
        <f t="shared" si="87"/>
        <v>0</v>
      </c>
      <c r="U58" s="479">
        <f>IF(AND(P58&gt;0),R58/P58,"No programado")</f>
        <v>0.55665924650342302</v>
      </c>
      <c r="V58" s="479">
        <f t="shared" si="88"/>
        <v>0.27297255548118016</v>
      </c>
      <c r="W58" s="490">
        <f t="shared" ref="W58:W76" si="98">+N58</f>
        <v>97105</v>
      </c>
      <c r="X58" s="478">
        <f>+'1.Informe Seguimiento POA 2022'!S14</f>
        <v>26645</v>
      </c>
      <c r="Y58" s="478">
        <f>+'1.Informe Seguimiento POA 2022'!O14+'1.Informe Seguimiento POA 2022'!Q14+'1.Informe Seguimiento POA 2022'!S14</f>
        <v>74263</v>
      </c>
      <c r="Z58" s="478">
        <f>+'1.Informe Seguimiento POA 2022'!T14</f>
        <v>0</v>
      </c>
      <c r="AA58" s="478">
        <f>+'1.Informe Seguimiento POA 2022'!R14+'1.Informe Seguimiento POA 2022'!T14+'1.Informe Seguimiento POA 2022'!P14</f>
        <v>26507</v>
      </c>
      <c r="AB58" s="1083">
        <f t="shared" ref="AB58:AB76" si="99">H58+Q58+Z58</f>
        <v>26507</v>
      </c>
      <c r="AC58" s="479">
        <f t="shared" si="89"/>
        <v>0</v>
      </c>
      <c r="AD58" s="479">
        <f>IF(AND(Y58&gt;0),AA58/Y58,"No programado")</f>
        <v>0.35693413947726321</v>
      </c>
      <c r="AE58" s="479">
        <f t="shared" si="90"/>
        <v>0.27297255548118016</v>
      </c>
      <c r="AF58" s="490">
        <f t="shared" ref="AF58:AF76" si="100">+W58</f>
        <v>97105</v>
      </c>
      <c r="AG58" s="490">
        <f>+'1.Informe Seguimiento POA 2022'!U14</f>
        <v>22842</v>
      </c>
      <c r="AH58" s="490">
        <f>+'1.Informe Seguimiento POA 2022'!O14+'1.Informe Seguimiento POA 2022'!Q14+'1.Informe Seguimiento POA 2022'!S14+'1.Informe Seguimiento POA 2022'!U14</f>
        <v>97105</v>
      </c>
      <c r="AI58" s="490">
        <f>+'1.Informe Seguimiento POA 2022'!V14</f>
        <v>0</v>
      </c>
      <c r="AJ58" s="490">
        <f>+'1.Informe Seguimiento POA 2022'!P14+'1.Informe Seguimiento POA 2022'!R14+'1.Informe Seguimiento POA 2022'!T14+'1.Informe Seguimiento POA 2022'!V14</f>
        <v>26507</v>
      </c>
      <c r="AK58" s="490">
        <f t="shared" ref="AK58:AK76" si="101">H58+Q58+Z58+AI58</f>
        <v>26507</v>
      </c>
      <c r="AL58" s="479">
        <f t="shared" si="91"/>
        <v>0</v>
      </c>
      <c r="AM58" s="479">
        <f>IF(AND(AH58&gt;0),AJ58/AH58,"No programado")</f>
        <v>0.27297255548118016</v>
      </c>
      <c r="AN58" s="479">
        <f t="shared" si="92"/>
        <v>0.27297255548118016</v>
      </c>
      <c r="AO58" s="483" t="str">
        <f>+'Rango indicadores'!H23</f>
        <v>Mayor A:</v>
      </c>
      <c r="AP58" s="478">
        <f>+'Rango indicadores'!I23</f>
        <v>85</v>
      </c>
      <c r="AQ58" s="478" t="str">
        <f>+'Rango indicadores'!J23</f>
        <v>Desde (&gt;=):</v>
      </c>
      <c r="AR58" s="478">
        <f>+'Rango indicadores'!K23</f>
        <v>80</v>
      </c>
      <c r="AS58" s="478" t="str">
        <f>+'Rango indicadores'!L23</f>
        <v>Hasta (&lt;=):</v>
      </c>
      <c r="AT58" s="478">
        <f>+'Rango indicadores'!M23</f>
        <v>85</v>
      </c>
      <c r="AU58" s="478" t="str">
        <f>+'Rango indicadores'!N23</f>
        <v>Menor A:</v>
      </c>
      <c r="AV58" s="478">
        <f>+'Rango indicadores'!O23</f>
        <v>80</v>
      </c>
      <c r="AW58" s="1103" t="s">
        <v>1217</v>
      </c>
      <c r="AX58" s="656"/>
      <c r="AY58" s="656">
        <f t="shared" ref="AY58:AY76" si="102">+F58-H58</f>
        <v>-4886</v>
      </c>
      <c r="AZ58" s="656"/>
      <c r="BA58" s="656"/>
    </row>
    <row r="59" spans="2:53" ht="177" customHeight="1">
      <c r="B59" s="509">
        <f t="shared" si="93"/>
        <v>23</v>
      </c>
      <c r="C59" s="476" t="str">
        <f>+'Rango indicadores'!D24</f>
        <v>05-RI-03</v>
      </c>
      <c r="D59" s="476" t="str">
        <f>+'Rango indicadores'!E24</f>
        <v>Personas asistidas en garantía de derechos</v>
      </c>
      <c r="E59" s="490">
        <f>+'Rango indicadores'!Q24</f>
        <v>26115</v>
      </c>
      <c r="F59" s="490">
        <f>'1.Informe Seguimiento POA 2022'!O15</f>
        <v>6670</v>
      </c>
      <c r="G59" s="490">
        <f>'1.Informe Seguimiento POA 2022'!O15</f>
        <v>6670</v>
      </c>
      <c r="H59" s="490">
        <f>'1.Informe Seguimiento POA 2022'!P15</f>
        <v>9518</v>
      </c>
      <c r="I59" s="490">
        <f>'1.Informe Seguimiento POA 2022'!P15</f>
        <v>9518</v>
      </c>
      <c r="J59" s="490">
        <f t="shared" si="94"/>
        <v>9518</v>
      </c>
      <c r="K59" s="479">
        <f t="shared" si="85"/>
        <v>1.4269865067466267</v>
      </c>
      <c r="L59" s="479">
        <f>IF(AND(G59&gt;0),I59/G59,"No programado")</f>
        <v>1.4269865067466267</v>
      </c>
      <c r="M59" s="479">
        <f t="shared" si="86"/>
        <v>0.36446486693471186</v>
      </c>
      <c r="N59" s="490">
        <f t="shared" si="95"/>
        <v>26115</v>
      </c>
      <c r="O59" s="478">
        <f>+'1.Informe Seguimiento POA 2022'!Q15</f>
        <v>8165</v>
      </c>
      <c r="P59" s="490">
        <f t="shared" si="96"/>
        <v>14835</v>
      </c>
      <c r="Q59" s="478">
        <f>'1.Informe Seguimiento POA 2022'!R15</f>
        <v>0</v>
      </c>
      <c r="R59" s="478">
        <f>+'1.Informe Seguimiento POA 2022'!P15+'1.Informe Seguimiento POA 2022'!R15</f>
        <v>9518</v>
      </c>
      <c r="S59" s="490">
        <f t="shared" si="97"/>
        <v>9518</v>
      </c>
      <c r="T59" s="479">
        <f t="shared" si="87"/>
        <v>0</v>
      </c>
      <c r="U59" s="479">
        <f>IF(AND(P59&gt;0),R59/P59,"No programado")</f>
        <v>0.64159083249073134</v>
      </c>
      <c r="V59" s="479">
        <f t="shared" si="88"/>
        <v>0.36446486693471186</v>
      </c>
      <c r="W59" s="490">
        <f t="shared" si="98"/>
        <v>26115</v>
      </c>
      <c r="X59" s="478">
        <f>+'1.Informe Seguimiento POA 2022'!S15</f>
        <v>6765</v>
      </c>
      <c r="Y59" s="478">
        <f>+'1.Informe Seguimiento POA 2022'!O15+'1.Informe Seguimiento POA 2022'!Q15+'1.Informe Seguimiento POA 2022'!S15</f>
        <v>21600</v>
      </c>
      <c r="Z59" s="478">
        <f>+'1.Informe Seguimiento POA 2022'!T15</f>
        <v>0</v>
      </c>
      <c r="AA59" s="478">
        <f>+'1.Informe Seguimiento POA 2022'!R15+'1.Informe Seguimiento POA 2022'!T15+'1.Informe Seguimiento POA 2022'!P15</f>
        <v>9518</v>
      </c>
      <c r="AB59" s="1083">
        <f t="shared" si="99"/>
        <v>9518</v>
      </c>
      <c r="AC59" s="479">
        <f t="shared" si="89"/>
        <v>0</v>
      </c>
      <c r="AD59" s="479">
        <f>IF(AND(Y59&gt;0),AA59/Y59,"No programado")</f>
        <v>0.44064814814814812</v>
      </c>
      <c r="AE59" s="479">
        <f t="shared" si="90"/>
        <v>0.36446486693471186</v>
      </c>
      <c r="AF59" s="490">
        <f t="shared" si="100"/>
        <v>26115</v>
      </c>
      <c r="AG59" s="490">
        <f>+'1.Informe Seguimiento POA 2022'!U15</f>
        <v>4515</v>
      </c>
      <c r="AH59" s="490">
        <f>+'1.Informe Seguimiento POA 2022'!O15+'1.Informe Seguimiento POA 2022'!Q15+'1.Informe Seguimiento POA 2022'!S15+'1.Informe Seguimiento POA 2022'!U15</f>
        <v>26115</v>
      </c>
      <c r="AI59" s="490">
        <f>+'1.Informe Seguimiento POA 2022'!V15</f>
        <v>0</v>
      </c>
      <c r="AJ59" s="490">
        <f>+'1.Informe Seguimiento POA 2022'!P15+'1.Informe Seguimiento POA 2022'!R15+'1.Informe Seguimiento POA 2022'!T15+'1.Informe Seguimiento POA 2022'!V15</f>
        <v>9518</v>
      </c>
      <c r="AK59" s="490">
        <f t="shared" si="101"/>
        <v>9518</v>
      </c>
      <c r="AL59" s="479">
        <f t="shared" si="91"/>
        <v>0</v>
      </c>
      <c r="AM59" s="479">
        <f>IF(AND(AH59&gt;0),AJ59/AH59,"No programado")</f>
        <v>0.36446486693471186</v>
      </c>
      <c r="AN59" s="479">
        <f t="shared" si="92"/>
        <v>0.36446486693471186</v>
      </c>
      <c r="AO59" s="483" t="str">
        <f>+'Rango indicadores'!H24</f>
        <v>Mayor A:</v>
      </c>
      <c r="AP59" s="478">
        <f>+'Rango indicadores'!I24</f>
        <v>80</v>
      </c>
      <c r="AQ59" s="478" t="str">
        <f>+'Rango indicadores'!J24</f>
        <v>Desde (&gt;=):</v>
      </c>
      <c r="AR59" s="478">
        <f>+'Rango indicadores'!K24</f>
        <v>70</v>
      </c>
      <c r="AS59" s="478" t="str">
        <f>+'Rango indicadores'!L24</f>
        <v>Hasta (&lt;=):</v>
      </c>
      <c r="AT59" s="478">
        <f>+'Rango indicadores'!M24</f>
        <v>80</v>
      </c>
      <c r="AU59" s="478" t="str">
        <f>+'Rango indicadores'!N24</f>
        <v>Menor A:</v>
      </c>
      <c r="AV59" s="478">
        <f>+'Rango indicadores'!O24</f>
        <v>70</v>
      </c>
      <c r="AW59" s="574" t="s">
        <v>1218</v>
      </c>
      <c r="AX59" s="656"/>
      <c r="AY59" s="656">
        <f t="shared" si="102"/>
        <v>-2848</v>
      </c>
      <c r="AZ59" s="656"/>
      <c r="BA59" s="491"/>
    </row>
    <row r="60" spans="2:53" ht="144.6" customHeight="1">
      <c r="B60" s="475">
        <f t="shared" si="93"/>
        <v>24</v>
      </c>
      <c r="C60" s="476" t="str">
        <f>+'Rango indicadores'!D25</f>
        <v>05-RI-04</v>
      </c>
      <c r="D60" s="476" t="str">
        <f>+'Rango indicadores'!E25</f>
        <v>Personas asistidas en Mecanismos Alternativos de Solución de Conflictos</v>
      </c>
      <c r="E60" s="490">
        <f>+'Rango indicadores'!Q25</f>
        <v>6900</v>
      </c>
      <c r="F60" s="490">
        <f>'1.Informe Seguimiento POA 2022'!O16</f>
        <v>900</v>
      </c>
      <c r="G60" s="490">
        <f>'1.Informe Seguimiento POA 2022'!O16</f>
        <v>900</v>
      </c>
      <c r="H60" s="490">
        <f>'1.Informe Seguimiento POA 2022'!P16</f>
        <v>3289</v>
      </c>
      <c r="I60" s="490">
        <f>'1.Informe Seguimiento POA 2022'!P16</f>
        <v>3289</v>
      </c>
      <c r="J60" s="490">
        <f t="shared" si="94"/>
        <v>3289</v>
      </c>
      <c r="K60" s="479">
        <f t="shared" si="85"/>
        <v>3.6544444444444446</v>
      </c>
      <c r="L60" s="479">
        <f t="shared" ref="L60:L62" si="103">IF(AND(G60&gt;0),I60/G60,"No programado")</f>
        <v>3.6544444444444446</v>
      </c>
      <c r="M60" s="479">
        <f t="shared" si="86"/>
        <v>0.47666666666666668</v>
      </c>
      <c r="N60" s="490">
        <f t="shared" si="95"/>
        <v>6900</v>
      </c>
      <c r="O60" s="478">
        <f>+'1.Informe Seguimiento POA 2022'!Q16</f>
        <v>1500</v>
      </c>
      <c r="P60" s="490">
        <f t="shared" si="96"/>
        <v>2400</v>
      </c>
      <c r="Q60" s="478">
        <f>'1.Informe Seguimiento POA 2022'!R16</f>
        <v>0</v>
      </c>
      <c r="R60" s="478">
        <f>+'1.Informe Seguimiento POA 2022'!P16+'1.Informe Seguimiento POA 2022'!R16</f>
        <v>3289</v>
      </c>
      <c r="S60" s="490">
        <f t="shared" si="97"/>
        <v>3289</v>
      </c>
      <c r="T60" s="479">
        <f t="shared" si="87"/>
        <v>0</v>
      </c>
      <c r="U60" s="479">
        <f t="shared" ref="U60:U62" si="104">IF(AND(P60&gt;0),R60/P60,"No programado")</f>
        <v>1.3704166666666666</v>
      </c>
      <c r="V60" s="479">
        <f t="shared" si="88"/>
        <v>0.47666666666666668</v>
      </c>
      <c r="W60" s="490">
        <f t="shared" si="98"/>
        <v>6900</v>
      </c>
      <c r="X60" s="478">
        <f>+'1.Informe Seguimiento POA 2022'!S16</f>
        <v>2100</v>
      </c>
      <c r="Y60" s="478">
        <f>+'1.Informe Seguimiento POA 2022'!O16+'1.Informe Seguimiento POA 2022'!Q16+'1.Informe Seguimiento POA 2022'!S16</f>
        <v>4500</v>
      </c>
      <c r="Z60" s="478">
        <f>+'1.Informe Seguimiento POA 2022'!T16</f>
        <v>0</v>
      </c>
      <c r="AA60" s="478">
        <f>+'1.Informe Seguimiento POA 2022'!R16+'1.Informe Seguimiento POA 2022'!T16+'1.Informe Seguimiento POA 2022'!P16</f>
        <v>3289</v>
      </c>
      <c r="AB60" s="1083">
        <f t="shared" si="99"/>
        <v>3289</v>
      </c>
      <c r="AC60" s="479">
        <f t="shared" si="89"/>
        <v>0</v>
      </c>
      <c r="AD60" s="479">
        <f t="shared" ref="AD60:AD62" si="105">IF(AND(Y60&gt;0),AA60/Y60,"No programado")</f>
        <v>0.73088888888888892</v>
      </c>
      <c r="AE60" s="479">
        <f t="shared" si="90"/>
        <v>0.47666666666666668</v>
      </c>
      <c r="AF60" s="490">
        <f t="shared" si="100"/>
        <v>6900</v>
      </c>
      <c r="AG60" s="490">
        <f>+'1.Informe Seguimiento POA 2022'!U16</f>
        <v>2400</v>
      </c>
      <c r="AH60" s="490">
        <f>+'1.Informe Seguimiento POA 2022'!O16+'1.Informe Seguimiento POA 2022'!Q16+'1.Informe Seguimiento POA 2022'!S16+'1.Informe Seguimiento POA 2022'!U16</f>
        <v>6900</v>
      </c>
      <c r="AI60" s="490">
        <f>+'1.Informe Seguimiento POA 2022'!V16</f>
        <v>0</v>
      </c>
      <c r="AJ60" s="490">
        <f>+'1.Informe Seguimiento POA 2022'!P16+'1.Informe Seguimiento POA 2022'!R16+'1.Informe Seguimiento POA 2022'!T16+'1.Informe Seguimiento POA 2022'!V16</f>
        <v>3289</v>
      </c>
      <c r="AK60" s="490">
        <f t="shared" si="101"/>
        <v>3289</v>
      </c>
      <c r="AL60" s="479">
        <f t="shared" si="91"/>
        <v>0</v>
      </c>
      <c r="AM60" s="479">
        <f t="shared" ref="AM60:AM62" si="106">IF(AND(AH60&gt;0),AJ60/AH60,"No programado")</f>
        <v>0.47666666666666668</v>
      </c>
      <c r="AN60" s="479">
        <f t="shared" si="92"/>
        <v>0.47666666666666668</v>
      </c>
      <c r="AO60" s="483" t="str">
        <f>+'Rango indicadores'!H25</f>
        <v>Mayor A:</v>
      </c>
      <c r="AP60" s="478">
        <f>+'Rango indicadores'!I25</f>
        <v>85</v>
      </c>
      <c r="AQ60" s="478" t="str">
        <f>+'Rango indicadores'!J25</f>
        <v>Desde (&gt;=):</v>
      </c>
      <c r="AR60" s="478">
        <f>+'Rango indicadores'!K25</f>
        <v>80</v>
      </c>
      <c r="AS60" s="478" t="str">
        <f>+'Rango indicadores'!L25</f>
        <v>Hasta (&lt;=):</v>
      </c>
      <c r="AT60" s="478">
        <f>+'Rango indicadores'!M25</f>
        <v>85</v>
      </c>
      <c r="AU60" s="478" t="str">
        <f>+'Rango indicadores'!N25</f>
        <v>Menor A:</v>
      </c>
      <c r="AV60" s="478">
        <f>+'Rango indicadores'!O25</f>
        <v>80</v>
      </c>
      <c r="AW60" s="1103" t="s">
        <v>1186</v>
      </c>
      <c r="AX60" s="656"/>
      <c r="AY60" s="656">
        <f t="shared" si="102"/>
        <v>-2389</v>
      </c>
      <c r="AZ60" s="656"/>
      <c r="BA60" s="491"/>
    </row>
    <row r="61" spans="2:53" ht="178.2" customHeight="1">
      <c r="B61" s="509">
        <f t="shared" si="93"/>
        <v>25</v>
      </c>
      <c r="C61" s="476" t="str">
        <f>+'Rango indicadores'!D26</f>
        <v>05-RI-05</v>
      </c>
      <c r="D61" s="476" t="str">
        <f>+'Rango indicadores'!E26</f>
        <v>Peticiones o requerimientos ciudadanos atendidos en garantía de derechos</v>
      </c>
      <c r="E61" s="490">
        <f>+'Rango indicadores'!Q26</f>
        <v>16115</v>
      </c>
      <c r="F61" s="490">
        <f>'1.Informe Seguimiento POA 2022'!O17</f>
        <v>3408</v>
      </c>
      <c r="G61" s="490">
        <f>'1.Informe Seguimiento POA 2022'!O17</f>
        <v>3408</v>
      </c>
      <c r="H61" s="490">
        <f>'1.Informe Seguimiento POA 2022'!P17</f>
        <v>5102</v>
      </c>
      <c r="I61" s="490">
        <f>'1.Informe Seguimiento POA 2022'!P17</f>
        <v>5102</v>
      </c>
      <c r="J61" s="490">
        <f t="shared" si="94"/>
        <v>5102</v>
      </c>
      <c r="K61" s="479">
        <f t="shared" si="85"/>
        <v>1.4970657276995305</v>
      </c>
      <c r="L61" s="479">
        <f t="shared" si="103"/>
        <v>1.4970657276995305</v>
      </c>
      <c r="M61" s="479">
        <f t="shared" si="86"/>
        <v>0.31659944151411729</v>
      </c>
      <c r="N61" s="490">
        <f t="shared" si="95"/>
        <v>16115</v>
      </c>
      <c r="O61" s="478">
        <f>+'1.Informe Seguimiento POA 2022'!Q17</f>
        <v>4265</v>
      </c>
      <c r="P61" s="490">
        <f t="shared" si="96"/>
        <v>7673</v>
      </c>
      <c r="Q61" s="478">
        <f>'1.Informe Seguimiento POA 2022'!R17</f>
        <v>0</v>
      </c>
      <c r="R61" s="478">
        <f>+'1.Informe Seguimiento POA 2022'!P17+'1.Informe Seguimiento POA 2022'!R17</f>
        <v>5102</v>
      </c>
      <c r="S61" s="490">
        <f t="shared" si="97"/>
        <v>5102</v>
      </c>
      <c r="T61" s="479">
        <f t="shared" si="87"/>
        <v>0</v>
      </c>
      <c r="U61" s="479">
        <f t="shared" si="104"/>
        <v>0.66492897171901477</v>
      </c>
      <c r="V61" s="479">
        <f t="shared" si="88"/>
        <v>0.31659944151411729</v>
      </c>
      <c r="W61" s="490">
        <f t="shared" si="98"/>
        <v>16115</v>
      </c>
      <c r="X61" s="478">
        <f>+'1.Informe Seguimiento POA 2022'!S17</f>
        <v>4275</v>
      </c>
      <c r="Y61" s="478">
        <f>+'1.Informe Seguimiento POA 2022'!O17+'1.Informe Seguimiento POA 2022'!Q17+'1.Informe Seguimiento POA 2022'!S17</f>
        <v>11948</v>
      </c>
      <c r="Z61" s="478">
        <f>+'1.Informe Seguimiento POA 2022'!T17</f>
        <v>0</v>
      </c>
      <c r="AA61" s="478">
        <f>+'1.Informe Seguimiento POA 2022'!R17+'1.Informe Seguimiento POA 2022'!T17+'1.Informe Seguimiento POA 2022'!P17</f>
        <v>5102</v>
      </c>
      <c r="AB61" s="1083">
        <f t="shared" si="99"/>
        <v>5102</v>
      </c>
      <c r="AC61" s="479">
        <f t="shared" si="89"/>
        <v>0</v>
      </c>
      <c r="AD61" s="479">
        <f t="shared" si="105"/>
        <v>0.42701707398727823</v>
      </c>
      <c r="AE61" s="479">
        <f t="shared" si="90"/>
        <v>0.31659944151411729</v>
      </c>
      <c r="AF61" s="490">
        <f t="shared" si="100"/>
        <v>16115</v>
      </c>
      <c r="AG61" s="490">
        <f>+'1.Informe Seguimiento POA 2022'!U17</f>
        <v>4167</v>
      </c>
      <c r="AH61" s="490">
        <f>+'1.Informe Seguimiento POA 2022'!O17+'1.Informe Seguimiento POA 2022'!Q17+'1.Informe Seguimiento POA 2022'!S17+'1.Informe Seguimiento POA 2022'!U17</f>
        <v>16115</v>
      </c>
      <c r="AI61" s="490">
        <f>+'1.Informe Seguimiento POA 2022'!V17</f>
        <v>0</v>
      </c>
      <c r="AJ61" s="490">
        <f>+'1.Informe Seguimiento POA 2022'!P17+'1.Informe Seguimiento POA 2022'!R17+'1.Informe Seguimiento POA 2022'!T17+'1.Informe Seguimiento POA 2022'!V17</f>
        <v>5102</v>
      </c>
      <c r="AK61" s="490">
        <f t="shared" si="101"/>
        <v>5102</v>
      </c>
      <c r="AL61" s="479">
        <f t="shared" si="91"/>
        <v>0</v>
      </c>
      <c r="AM61" s="479">
        <f t="shared" si="106"/>
        <v>0.31659944151411729</v>
      </c>
      <c r="AN61" s="479">
        <f t="shared" si="92"/>
        <v>0.31659944151411729</v>
      </c>
      <c r="AO61" s="483" t="str">
        <f>+'Rango indicadores'!H26</f>
        <v>Mayor A:</v>
      </c>
      <c r="AP61" s="478">
        <f>+'Rango indicadores'!I26</f>
        <v>85</v>
      </c>
      <c r="AQ61" s="478" t="str">
        <f>+'Rango indicadores'!J26</f>
        <v>Desde (&gt;=):</v>
      </c>
      <c r="AR61" s="478">
        <f>+'Rango indicadores'!K26</f>
        <v>80</v>
      </c>
      <c r="AS61" s="478" t="str">
        <f>+'Rango indicadores'!L26</f>
        <v>Hasta (&lt;=):</v>
      </c>
      <c r="AT61" s="478">
        <f>+'Rango indicadores'!M26</f>
        <v>85</v>
      </c>
      <c r="AU61" s="478" t="str">
        <f>+'Rango indicadores'!N26</f>
        <v>Menor A:</v>
      </c>
      <c r="AV61" s="478">
        <f>+'Rango indicadores'!O26</f>
        <v>80</v>
      </c>
      <c r="AW61" s="1103" t="s">
        <v>1219</v>
      </c>
      <c r="AX61" s="656"/>
      <c r="AY61" s="656">
        <f t="shared" si="102"/>
        <v>-1694</v>
      </c>
      <c r="AZ61" s="656"/>
      <c r="BA61" s="491"/>
    </row>
    <row r="62" spans="2:53" ht="99.6" customHeight="1">
      <c r="B62" s="475">
        <f t="shared" si="93"/>
        <v>26</v>
      </c>
      <c r="C62" s="476" t="str">
        <f>+'Rango indicadores'!D27</f>
        <v>05-RI-06</v>
      </c>
      <c r="D62" s="476" t="str">
        <f>+'Rango indicadores'!E27</f>
        <v>Espacios de mejora y transferencia de conocimiento realizados</v>
      </c>
      <c r="E62" s="490">
        <f>+'Rango indicadores'!Q27</f>
        <v>20</v>
      </c>
      <c r="F62" s="490">
        <f>'1.Informe Seguimiento POA 2022'!O18</f>
        <v>2</v>
      </c>
      <c r="G62" s="490">
        <f>'1.Informe Seguimiento POA 2022'!O18</f>
        <v>2</v>
      </c>
      <c r="H62" s="490">
        <f>'1.Informe Seguimiento POA 2022'!P18</f>
        <v>0</v>
      </c>
      <c r="I62" s="490">
        <f>'1.Informe Seguimiento POA 2022'!P18</f>
        <v>0</v>
      </c>
      <c r="J62" s="490">
        <f t="shared" si="94"/>
        <v>0</v>
      </c>
      <c r="K62" s="479">
        <f t="shared" si="85"/>
        <v>0</v>
      </c>
      <c r="L62" s="479">
        <f t="shared" si="103"/>
        <v>0</v>
      </c>
      <c r="M62" s="479">
        <f t="shared" si="86"/>
        <v>0</v>
      </c>
      <c r="N62" s="490">
        <f t="shared" si="95"/>
        <v>20</v>
      </c>
      <c r="O62" s="478">
        <f>+'1.Informe Seguimiento POA 2022'!Q18</f>
        <v>11</v>
      </c>
      <c r="P62" s="490">
        <f t="shared" si="96"/>
        <v>13</v>
      </c>
      <c r="Q62" s="478">
        <f>'1.Informe Seguimiento POA 2022'!R18</f>
        <v>0</v>
      </c>
      <c r="R62" s="478">
        <f>+'1.Informe Seguimiento POA 2022'!P18+'1.Informe Seguimiento POA 2022'!R18</f>
        <v>0</v>
      </c>
      <c r="S62" s="490">
        <f t="shared" si="97"/>
        <v>0</v>
      </c>
      <c r="T62" s="479">
        <f t="shared" si="87"/>
        <v>0</v>
      </c>
      <c r="U62" s="479">
        <f t="shared" si="104"/>
        <v>0</v>
      </c>
      <c r="V62" s="479">
        <f t="shared" si="88"/>
        <v>0</v>
      </c>
      <c r="W62" s="490">
        <f t="shared" si="98"/>
        <v>20</v>
      </c>
      <c r="X62" s="478">
        <f>+'1.Informe Seguimiento POA 2022'!S18</f>
        <v>6</v>
      </c>
      <c r="Y62" s="478">
        <f>+'1.Informe Seguimiento POA 2022'!O18+'1.Informe Seguimiento POA 2022'!Q18+'1.Informe Seguimiento POA 2022'!S18</f>
        <v>19</v>
      </c>
      <c r="Z62" s="478">
        <f>+'1.Informe Seguimiento POA 2022'!T18</f>
        <v>0</v>
      </c>
      <c r="AA62" s="478">
        <f>+'1.Informe Seguimiento POA 2022'!R18+'1.Informe Seguimiento POA 2022'!T18+'1.Informe Seguimiento POA 2022'!P18</f>
        <v>0</v>
      </c>
      <c r="AB62" s="1083">
        <f t="shared" si="99"/>
        <v>0</v>
      </c>
      <c r="AC62" s="479">
        <f t="shared" si="89"/>
        <v>0</v>
      </c>
      <c r="AD62" s="479">
        <f t="shared" si="105"/>
        <v>0</v>
      </c>
      <c r="AE62" s="479">
        <f t="shared" si="90"/>
        <v>0</v>
      </c>
      <c r="AF62" s="490">
        <f t="shared" si="100"/>
        <v>20</v>
      </c>
      <c r="AG62" s="490">
        <f>+'1.Informe Seguimiento POA 2022'!U18</f>
        <v>1</v>
      </c>
      <c r="AH62" s="490">
        <f>+'1.Informe Seguimiento POA 2022'!O18+'1.Informe Seguimiento POA 2022'!Q18+'1.Informe Seguimiento POA 2022'!S18+'1.Informe Seguimiento POA 2022'!U18</f>
        <v>20</v>
      </c>
      <c r="AI62" s="490">
        <f>+'1.Informe Seguimiento POA 2022'!V18</f>
        <v>0</v>
      </c>
      <c r="AJ62" s="490">
        <f>+'1.Informe Seguimiento POA 2022'!P18+'1.Informe Seguimiento POA 2022'!R18+'1.Informe Seguimiento POA 2022'!T18+'1.Informe Seguimiento POA 2022'!V18</f>
        <v>0</v>
      </c>
      <c r="AK62" s="490">
        <f t="shared" si="101"/>
        <v>0</v>
      </c>
      <c r="AL62" s="479">
        <f t="shared" si="91"/>
        <v>0</v>
      </c>
      <c r="AM62" s="479">
        <f t="shared" si="106"/>
        <v>0</v>
      </c>
      <c r="AN62" s="479">
        <f t="shared" si="92"/>
        <v>0</v>
      </c>
      <c r="AO62" s="483" t="str">
        <f>+'Rango indicadores'!H27</f>
        <v>Mayor A:</v>
      </c>
      <c r="AP62" s="478">
        <f>+'Rango indicadores'!I27</f>
        <v>85</v>
      </c>
      <c r="AQ62" s="478" t="str">
        <f>+'Rango indicadores'!J27</f>
        <v>Desde (&gt;=):</v>
      </c>
      <c r="AR62" s="478">
        <f>+'Rango indicadores'!K27</f>
        <v>80</v>
      </c>
      <c r="AS62" s="478" t="str">
        <f>+'Rango indicadores'!L27</f>
        <v>Hasta (&lt;=):</v>
      </c>
      <c r="AT62" s="478">
        <f>+'Rango indicadores'!M27</f>
        <v>85</v>
      </c>
      <c r="AU62" s="478" t="str">
        <f>+'Rango indicadores'!N27</f>
        <v>Menor A:</v>
      </c>
      <c r="AV62" s="478">
        <f>+'Rango indicadores'!O27</f>
        <v>80</v>
      </c>
      <c r="AW62" s="1105" t="s">
        <v>1195</v>
      </c>
      <c r="AX62" s="656"/>
      <c r="AY62" s="656">
        <f t="shared" si="102"/>
        <v>2</v>
      </c>
      <c r="AZ62" s="656"/>
      <c r="BA62" s="491"/>
    </row>
    <row r="63" spans="2:53" ht="144" customHeight="1">
      <c r="B63" s="475">
        <f t="shared" si="93"/>
        <v>27</v>
      </c>
      <c r="C63" s="476" t="str">
        <f>+'Rango indicadores'!D28</f>
        <v>05-RI-07</v>
      </c>
      <c r="D63" s="476" t="str">
        <f>+'Rango indicadores'!E28</f>
        <v>Porcentaje de Acciones de Tutela, Desacatos e Impugnaciones Entregadas en un Termino Menor a Cinco (5) Días Hábiles</v>
      </c>
      <c r="E63" s="490" t="str">
        <f>+'Rango indicadores'!Q28</f>
        <v>&gt;=95%</v>
      </c>
      <c r="F63" s="508">
        <f>'1.Informe Seguimiento POA 2022'!O19</f>
        <v>0.94999999999999984</v>
      </c>
      <c r="G63" s="508">
        <f>'1.Informe Seguimiento POA 2022'!O19</f>
        <v>0.94999999999999984</v>
      </c>
      <c r="H63" s="945">
        <f>'1.Informe Seguimiento POA 2022'!P19</f>
        <v>1</v>
      </c>
      <c r="I63" s="945">
        <f>'1.Informe Seguimiento POA 2022'!P19</f>
        <v>1</v>
      </c>
      <c r="J63" s="945">
        <f t="shared" si="94"/>
        <v>1</v>
      </c>
      <c r="K63" s="479">
        <f t="shared" si="85"/>
        <v>1.0526315789473686</v>
      </c>
      <c r="L63" s="479">
        <f>(IF(AND(G63&gt;0),I63/G63,"No programado"))</f>
        <v>1.0526315789473686</v>
      </c>
      <c r="M63" s="479">
        <f>IF(AND(E63&gt;0,$J63&gt;0),J63/95%,0)*0.25</f>
        <v>0.26315789473684209</v>
      </c>
      <c r="N63" s="490" t="str">
        <f t="shared" si="95"/>
        <v>&gt;=95%</v>
      </c>
      <c r="O63" s="945">
        <f>+'1.Informe Seguimiento POA 2022'!Q19</f>
        <v>0.94999999999999984</v>
      </c>
      <c r="P63" s="1084">
        <f>IFERROR(AVERAGE(F63,O63),0)</f>
        <v>0.94999999999999984</v>
      </c>
      <c r="Q63" s="945">
        <f>'1.Informe Seguimiento POA 2022'!R19</f>
        <v>0</v>
      </c>
      <c r="R63" s="480">
        <f>IFERROR(AVERAGE('1.Informe Seguimiento POA 2022'!P19,'1.Informe Seguimiento POA 2022'!R19),0)</f>
        <v>0.5</v>
      </c>
      <c r="S63" s="480">
        <f>IFERROR(IF(OR($N63="",$N63=0),0,ROUNDDOWN(AVERAGE($H63,Q63),3)),0)</f>
        <v>0.5</v>
      </c>
      <c r="T63" s="479">
        <f t="shared" si="87"/>
        <v>0</v>
      </c>
      <c r="U63" s="479">
        <f>(IF(AND(P63&gt;0),R63/P63,"No programado"))</f>
        <v>0.52631578947368429</v>
      </c>
      <c r="V63" s="479">
        <f>IF(AND(N63&gt;0,$J63&gt;0),S63/95%,0)</f>
        <v>0.52631578947368418</v>
      </c>
      <c r="W63" s="490" t="str">
        <f t="shared" si="98"/>
        <v>&gt;=95%</v>
      </c>
      <c r="X63" s="508">
        <f>+'1.Informe Seguimiento POA 2022'!S19</f>
        <v>0.94999999999999984</v>
      </c>
      <c r="Y63" s="480">
        <f>IFERROR(AVERAGE('1.Informe Seguimiento POA 2022'!O19,'1.Informe Seguimiento POA 2022'!Q19,,'1.Informe Seguimiento POA 2022'!S19),0)</f>
        <v>0.71249999999999991</v>
      </c>
      <c r="Z63" s="480">
        <f>+'1.Informe Seguimiento POA 2022'!T19</f>
        <v>0</v>
      </c>
      <c r="AA63" s="480">
        <f>IFERROR(AVERAGE('1.Informe Seguimiento POA 2022'!R19,'1.Informe Seguimiento POA 2022'!P19,'1.Informe Seguimiento POA 2022'!T19),0)</f>
        <v>0.33333333333333331</v>
      </c>
      <c r="AB63" s="480">
        <f>IFERROR(IF(OR($W63="",$W63=0),0,ROUNDDOWN(AVERAGE($H63,Q63,Z63),3)),0)</f>
        <v>0.33300000000000002</v>
      </c>
      <c r="AC63" s="479">
        <f t="shared" si="89"/>
        <v>0</v>
      </c>
      <c r="AD63" s="479">
        <f>(IF(AND(Y63&gt;0),AA63/Y63,"No programado"))</f>
        <v>0.46783625730994155</v>
      </c>
      <c r="AE63" s="479">
        <f>IF(AND(W63&gt;0,$J63&gt;0),AB63/95%,0)</f>
        <v>0.35052631578947374</v>
      </c>
      <c r="AF63" s="490" t="str">
        <f t="shared" si="100"/>
        <v>&gt;=95%</v>
      </c>
      <c r="AG63" s="575">
        <f>'1.Informe Seguimiento POA 2022'!U19</f>
        <v>0.94999999999999984</v>
      </c>
      <c r="AH63" s="575">
        <f>IFERROR(AVERAGE('1.Informe Seguimiento POA 2022'!O19,'1.Informe Seguimiento POA 2022'!Q19,'1.Informe Seguimiento POA 2022'!S19,'1.Informe Seguimiento POA 2022'!U19),0)</f>
        <v>0.94999999999999984</v>
      </c>
      <c r="AI63" s="575">
        <f>+'1.Informe Seguimiento POA 2022'!V19</f>
        <v>0</v>
      </c>
      <c r="AJ63" s="575">
        <f>IFERROR(AVERAGE('1.Informe Seguimiento POA 2022'!P19,'1.Informe Seguimiento POA 2022'!R19,'1.Informe Seguimiento POA 2022'!T19,'1.Informe Seguimiento POA 2022'!V19),0)</f>
        <v>0.25</v>
      </c>
      <c r="AK63" s="575">
        <f>IFERROR(IF(OR($AF63="",$AF63=0),0,ROUNDDOWN(AVERAGE($H63,Q63,Z63,AI63),3)),0)</f>
        <v>0.25</v>
      </c>
      <c r="AL63" s="479">
        <f t="shared" si="91"/>
        <v>0</v>
      </c>
      <c r="AM63" s="479">
        <f>(IF(AND(AH63&gt;0),AJ63/AH63,"No programado"))</f>
        <v>0.26315789473684215</v>
      </c>
      <c r="AN63" s="479">
        <f>IF(AND(AF63&gt;0,$J63&gt;0),AK63/95%,0)</f>
        <v>0.26315789473684209</v>
      </c>
      <c r="AO63" s="483" t="str">
        <f>+'Rango indicadores'!H28</f>
        <v>Mayor o igual A:</v>
      </c>
      <c r="AP63" s="478">
        <f>+'Rango indicadores'!I28</f>
        <v>95</v>
      </c>
      <c r="AQ63" s="478" t="str">
        <f>+'Rango indicadores'!J28</f>
        <v>Desde (&gt;):</v>
      </c>
      <c r="AR63" s="478">
        <f>+'Rango indicadores'!K28</f>
        <v>90</v>
      </c>
      <c r="AS63" s="478" t="str">
        <f>+'Rango indicadores'!L28</f>
        <v>Hasta (&lt;):</v>
      </c>
      <c r="AT63" s="478">
        <f>+'Rango indicadores'!M28</f>
        <v>95</v>
      </c>
      <c r="AU63" s="478" t="str">
        <f>+'Rango indicadores'!N28</f>
        <v>Menor o Igual A:</v>
      </c>
      <c r="AV63" s="478">
        <f>+'Rango indicadores'!O28</f>
        <v>90</v>
      </c>
      <c r="AW63" s="1103" t="s">
        <v>1181</v>
      </c>
      <c r="AX63" s="908"/>
      <c r="AY63" s="656">
        <f t="shared" si="102"/>
        <v>-5.0000000000000155E-2</v>
      </c>
      <c r="AZ63" s="656"/>
      <c r="BA63" s="491"/>
    </row>
    <row r="64" spans="2:53" ht="118.8">
      <c r="B64" s="475">
        <f t="shared" ref="B64:B76" si="107">+B63+1</f>
        <v>28</v>
      </c>
      <c r="C64" s="476" t="str">
        <f>+'Rango indicadores'!D29</f>
        <v>05-RI-08</v>
      </c>
      <c r="D64" s="476" t="str">
        <f>+'Rango indicadores'!E29</f>
        <v>Audiencias Publicas Realizadas con Asistencia del Ministerio Público</v>
      </c>
      <c r="E64" s="490">
        <f>+'Rango indicadores'!Q29</f>
        <v>6000</v>
      </c>
      <c r="F64" s="490">
        <f>'1.Informe Seguimiento POA 2022'!O20</f>
        <v>1200</v>
      </c>
      <c r="G64" s="490">
        <f>'1.Informe Seguimiento POA 2022'!O20</f>
        <v>1200</v>
      </c>
      <c r="H64" s="490">
        <f>'1.Informe Seguimiento POA 2022'!P20</f>
        <v>1452</v>
      </c>
      <c r="I64" s="490">
        <f>'1.Informe Seguimiento POA 2022'!P20</f>
        <v>1452</v>
      </c>
      <c r="J64" s="490">
        <f t="shared" si="94"/>
        <v>1452</v>
      </c>
      <c r="K64" s="479">
        <f t="shared" si="85"/>
        <v>1.21</v>
      </c>
      <c r="L64" s="479">
        <f t="shared" ref="L64:L76" si="108">IF(AND(G64&gt;0),I64/G64,"No programado")</f>
        <v>1.21</v>
      </c>
      <c r="M64" s="479">
        <f t="shared" si="86"/>
        <v>0.24199999999999999</v>
      </c>
      <c r="N64" s="490">
        <f t="shared" si="95"/>
        <v>6000</v>
      </c>
      <c r="O64" s="478">
        <f>+'1.Informe Seguimiento POA 2022'!Q20</f>
        <v>1800</v>
      </c>
      <c r="P64" s="490">
        <f t="shared" si="96"/>
        <v>3000</v>
      </c>
      <c r="Q64" s="478">
        <f>'1.Informe Seguimiento POA 2022'!R20</f>
        <v>0</v>
      </c>
      <c r="R64" s="478">
        <f>+'1.Informe Seguimiento POA 2022'!P20+'1.Informe Seguimiento POA 2022'!R20</f>
        <v>1452</v>
      </c>
      <c r="S64" s="490">
        <f t="shared" si="97"/>
        <v>1452</v>
      </c>
      <c r="T64" s="479">
        <f t="shared" si="87"/>
        <v>0</v>
      </c>
      <c r="U64" s="479">
        <f t="shared" ref="U64:U76" si="109">IF(AND(P64&gt;0),R64/P64,"No programado")</f>
        <v>0.48399999999999999</v>
      </c>
      <c r="V64" s="479">
        <f t="shared" ref="V64:V66" si="110">IF(AND(N64&gt;0,$J64&gt;0),S64/$E64,0)</f>
        <v>0.24199999999999999</v>
      </c>
      <c r="W64" s="490">
        <f t="shared" si="98"/>
        <v>6000</v>
      </c>
      <c r="X64" s="478">
        <f>+'1.Informe Seguimiento POA 2022'!S20</f>
        <v>1800</v>
      </c>
      <c r="Y64" s="478">
        <f>+'1.Informe Seguimiento POA 2022'!O20+'1.Informe Seguimiento POA 2022'!Q20+'1.Informe Seguimiento POA 2022'!S20</f>
        <v>4800</v>
      </c>
      <c r="Z64" s="478">
        <f>+'1.Informe Seguimiento POA 2022'!T20</f>
        <v>0</v>
      </c>
      <c r="AA64" s="478">
        <f>+'1.Informe Seguimiento POA 2022'!R20+'1.Informe Seguimiento POA 2022'!T20+'1.Informe Seguimiento POA 2022'!P20</f>
        <v>1452</v>
      </c>
      <c r="AB64" s="1083">
        <f t="shared" si="99"/>
        <v>1452</v>
      </c>
      <c r="AC64" s="479">
        <f t="shared" si="89"/>
        <v>0</v>
      </c>
      <c r="AD64" s="479">
        <f t="shared" ref="AD64:AD76" si="111">IF(AND(Y64&gt;0),AA64/Y64,"No programado")</f>
        <v>0.30249999999999999</v>
      </c>
      <c r="AE64" s="479">
        <f t="shared" ref="AE64:AE66" si="112">IF(AND(W64&gt;0,$J64&gt;0),AB64/$E64,0)</f>
        <v>0.24199999999999999</v>
      </c>
      <c r="AF64" s="490">
        <f t="shared" si="100"/>
        <v>6000</v>
      </c>
      <c r="AG64" s="490">
        <f>+'1.Informe Seguimiento POA 2022'!U20</f>
        <v>1200</v>
      </c>
      <c r="AH64" s="490">
        <f>+'1.Informe Seguimiento POA 2022'!O20+'1.Informe Seguimiento POA 2022'!Q20+'1.Informe Seguimiento POA 2022'!S20+'1.Informe Seguimiento POA 2022'!U20</f>
        <v>6000</v>
      </c>
      <c r="AI64" s="490">
        <f>+'1.Informe Seguimiento POA 2022'!V20</f>
        <v>0</v>
      </c>
      <c r="AJ64" s="490">
        <f>+'1.Informe Seguimiento POA 2022'!P20+'1.Informe Seguimiento POA 2022'!R20+'1.Informe Seguimiento POA 2022'!T20+'1.Informe Seguimiento POA 2022'!V20</f>
        <v>1452</v>
      </c>
      <c r="AK64" s="490">
        <f t="shared" si="101"/>
        <v>1452</v>
      </c>
      <c r="AL64" s="479">
        <f t="shared" si="91"/>
        <v>0</v>
      </c>
      <c r="AM64" s="479">
        <f t="shared" ref="AM64:AM76" si="113">IF(AND(AH64&gt;0),AJ64/AH64,"No programado")</f>
        <v>0.24199999999999999</v>
      </c>
      <c r="AN64" s="479">
        <f t="shared" ref="AN64:AN66" si="114">IF(AND(AF64&gt;0,$J64&gt;0),AK64/$E64,0)</f>
        <v>0.24199999999999999</v>
      </c>
      <c r="AO64" s="483" t="str">
        <f>+'Rango indicadores'!H29</f>
        <v>Mayor o igual A:</v>
      </c>
      <c r="AP64" s="478">
        <f>+'Rango indicadores'!I29</f>
        <v>95</v>
      </c>
      <c r="AQ64" s="478" t="str">
        <f>+'Rango indicadores'!J29</f>
        <v>Desde (&gt;):</v>
      </c>
      <c r="AR64" s="478">
        <f>+'Rango indicadores'!K29</f>
        <v>90</v>
      </c>
      <c r="AS64" s="478" t="str">
        <f>+'Rango indicadores'!L29</f>
        <v>Hasta (&lt;):</v>
      </c>
      <c r="AT64" s="478">
        <f>+'Rango indicadores'!M29</f>
        <v>95</v>
      </c>
      <c r="AU64" s="478" t="str">
        <f>+'Rango indicadores'!N29</f>
        <v>Menor o Igual A:</v>
      </c>
      <c r="AV64" s="478">
        <f>+'Rango indicadores'!O29</f>
        <v>90</v>
      </c>
      <c r="AW64" s="1103" t="s">
        <v>1185</v>
      </c>
      <c r="AX64" s="656"/>
      <c r="AY64" s="656">
        <f t="shared" si="102"/>
        <v>-252</v>
      </c>
      <c r="AZ64" s="656"/>
    </row>
    <row r="65" spans="2:53" ht="137.4" customHeight="1">
      <c r="B65" s="475">
        <f t="shared" si="107"/>
        <v>29</v>
      </c>
      <c r="C65" s="476" t="str">
        <f>+'Rango indicadores'!D30</f>
        <v>05-RI-09</v>
      </c>
      <c r="D65" s="476" t="str">
        <f>+'Rango indicadores'!E30</f>
        <v>Intervenciones realizadas oportunamente para evitar la caducidad y perdida de fuerza ejecutoria (Impulsos procesales)</v>
      </c>
      <c r="E65" s="490">
        <f>+'Rango indicadores'!Q30</f>
        <v>3000</v>
      </c>
      <c r="F65" s="490">
        <f>'1.Informe Seguimiento POA 2022'!O21</f>
        <v>600</v>
      </c>
      <c r="G65" s="490">
        <f>'1.Informe Seguimiento POA 2022'!O21</f>
        <v>600</v>
      </c>
      <c r="H65" s="490">
        <f>'1.Informe Seguimiento POA 2022'!P21</f>
        <v>438</v>
      </c>
      <c r="I65" s="490">
        <f>'1.Informe Seguimiento POA 2022'!P21</f>
        <v>438</v>
      </c>
      <c r="J65" s="490">
        <f t="shared" si="94"/>
        <v>438</v>
      </c>
      <c r="K65" s="479">
        <f t="shared" si="85"/>
        <v>0.73</v>
      </c>
      <c r="L65" s="479">
        <f t="shared" si="108"/>
        <v>0.73</v>
      </c>
      <c r="M65" s="479">
        <f t="shared" si="86"/>
        <v>0.14599999999999999</v>
      </c>
      <c r="N65" s="490">
        <f t="shared" si="95"/>
        <v>3000</v>
      </c>
      <c r="O65" s="478">
        <f>+'1.Informe Seguimiento POA 2022'!Q21</f>
        <v>900</v>
      </c>
      <c r="P65" s="490">
        <f t="shared" si="96"/>
        <v>1500</v>
      </c>
      <c r="Q65" s="478">
        <f>'1.Informe Seguimiento POA 2022'!R21</f>
        <v>0</v>
      </c>
      <c r="R65" s="478">
        <f>+'1.Informe Seguimiento POA 2022'!P21+'1.Informe Seguimiento POA 2022'!R21</f>
        <v>438</v>
      </c>
      <c r="S65" s="490">
        <f t="shared" si="97"/>
        <v>438</v>
      </c>
      <c r="T65" s="479">
        <f t="shared" si="87"/>
        <v>0</v>
      </c>
      <c r="U65" s="479">
        <f t="shared" si="109"/>
        <v>0.29199999999999998</v>
      </c>
      <c r="V65" s="479">
        <f t="shared" si="110"/>
        <v>0.14599999999999999</v>
      </c>
      <c r="W65" s="490">
        <f t="shared" si="98"/>
        <v>3000</v>
      </c>
      <c r="X65" s="478">
        <f>+'1.Informe Seguimiento POA 2022'!S21</f>
        <v>900</v>
      </c>
      <c r="Y65" s="478">
        <f>+'1.Informe Seguimiento POA 2022'!O21+'1.Informe Seguimiento POA 2022'!Q21+'1.Informe Seguimiento POA 2022'!S21</f>
        <v>2400</v>
      </c>
      <c r="Z65" s="478">
        <f>+'1.Informe Seguimiento POA 2022'!T21</f>
        <v>0</v>
      </c>
      <c r="AA65" s="478">
        <f>+'1.Informe Seguimiento POA 2022'!R21+'1.Informe Seguimiento POA 2022'!T21+'1.Informe Seguimiento POA 2022'!P21</f>
        <v>438</v>
      </c>
      <c r="AB65" s="1083">
        <f t="shared" si="99"/>
        <v>438</v>
      </c>
      <c r="AC65" s="479">
        <f t="shared" si="89"/>
        <v>0</v>
      </c>
      <c r="AD65" s="479">
        <f t="shared" si="111"/>
        <v>0.1825</v>
      </c>
      <c r="AE65" s="479">
        <f t="shared" si="112"/>
        <v>0.14599999999999999</v>
      </c>
      <c r="AF65" s="490">
        <f t="shared" si="100"/>
        <v>3000</v>
      </c>
      <c r="AG65" s="490">
        <f>+'1.Informe Seguimiento POA 2022'!U21</f>
        <v>600</v>
      </c>
      <c r="AH65" s="490">
        <f>+'1.Informe Seguimiento POA 2022'!O21+'1.Informe Seguimiento POA 2022'!Q21+'1.Informe Seguimiento POA 2022'!S21+'1.Informe Seguimiento POA 2022'!U21</f>
        <v>3000</v>
      </c>
      <c r="AI65" s="490">
        <f>+'1.Informe Seguimiento POA 2022'!V21</f>
        <v>0</v>
      </c>
      <c r="AJ65" s="490">
        <f>+'1.Informe Seguimiento POA 2022'!P21+'1.Informe Seguimiento POA 2022'!R21+'1.Informe Seguimiento POA 2022'!T21+'1.Informe Seguimiento POA 2022'!V21</f>
        <v>438</v>
      </c>
      <c r="AK65" s="490">
        <f t="shared" si="101"/>
        <v>438</v>
      </c>
      <c r="AL65" s="479">
        <f t="shared" si="91"/>
        <v>0</v>
      </c>
      <c r="AM65" s="479">
        <f t="shared" si="113"/>
        <v>0.14599999999999999</v>
      </c>
      <c r="AN65" s="479">
        <f t="shared" si="114"/>
        <v>0.14599999999999999</v>
      </c>
      <c r="AO65" s="483" t="str">
        <f>+'Rango indicadores'!H30</f>
        <v>Mayor o igual A:</v>
      </c>
      <c r="AP65" s="478">
        <f>+'Rango indicadores'!I30</f>
        <v>95</v>
      </c>
      <c r="AQ65" s="478" t="str">
        <f>+'Rango indicadores'!J30</f>
        <v>Desde (&gt;):</v>
      </c>
      <c r="AR65" s="478">
        <f>+'Rango indicadores'!K30</f>
        <v>90</v>
      </c>
      <c r="AS65" s="478" t="str">
        <f>+'Rango indicadores'!L30</f>
        <v>Hasta (&lt;):</v>
      </c>
      <c r="AT65" s="478">
        <f>+'Rango indicadores'!M30</f>
        <v>95</v>
      </c>
      <c r="AU65" s="478" t="str">
        <f>+'Rango indicadores'!N30</f>
        <v>Menor o Igual A:</v>
      </c>
      <c r="AV65" s="478">
        <f>+'Rango indicadores'!O30</f>
        <v>90</v>
      </c>
      <c r="AW65" s="1103" t="s">
        <v>1182</v>
      </c>
      <c r="AX65" s="656"/>
      <c r="AY65" s="656">
        <f t="shared" si="102"/>
        <v>162</v>
      </c>
      <c r="AZ65" s="656"/>
    </row>
    <row r="66" spans="2:53" ht="158.4" customHeight="1">
      <c r="B66" s="475">
        <f t="shared" si="107"/>
        <v>30</v>
      </c>
      <c r="C66" s="476" t="str">
        <f>+'Rango indicadores'!D31</f>
        <v>05-RI-10</v>
      </c>
      <c r="D66" s="476" t="str">
        <f>+'Rango indicadores'!E31</f>
        <v>Expedientes con impulso procesal para la gestión de multas</v>
      </c>
      <c r="E66" s="490">
        <f>+'Rango indicadores'!Q31</f>
        <v>500</v>
      </c>
      <c r="F66" s="490">
        <f>'1.Informe Seguimiento POA 2022'!O22</f>
        <v>100</v>
      </c>
      <c r="G66" s="490">
        <f>'1.Informe Seguimiento POA 2022'!O22</f>
        <v>100</v>
      </c>
      <c r="H66" s="490">
        <f>'1.Informe Seguimiento POA 2022'!P22</f>
        <v>82</v>
      </c>
      <c r="I66" s="490">
        <f>'1.Informe Seguimiento POA 2022'!P22</f>
        <v>82</v>
      </c>
      <c r="J66" s="490">
        <f t="shared" si="94"/>
        <v>82</v>
      </c>
      <c r="K66" s="479">
        <f t="shared" si="85"/>
        <v>0.82</v>
      </c>
      <c r="L66" s="479">
        <f t="shared" si="108"/>
        <v>0.82</v>
      </c>
      <c r="M66" s="479">
        <f t="shared" si="86"/>
        <v>0.16400000000000001</v>
      </c>
      <c r="N66" s="490">
        <f t="shared" si="95"/>
        <v>500</v>
      </c>
      <c r="O66" s="478">
        <f>+'1.Informe Seguimiento POA 2022'!Q22</f>
        <v>150</v>
      </c>
      <c r="P66" s="490">
        <f t="shared" si="96"/>
        <v>250</v>
      </c>
      <c r="Q66" s="478">
        <f>'1.Informe Seguimiento POA 2022'!R22</f>
        <v>0</v>
      </c>
      <c r="R66" s="478">
        <f>+'1.Informe Seguimiento POA 2022'!P22+'1.Informe Seguimiento POA 2022'!R22</f>
        <v>82</v>
      </c>
      <c r="S66" s="490">
        <f t="shared" si="97"/>
        <v>82</v>
      </c>
      <c r="T66" s="479">
        <f t="shared" si="87"/>
        <v>0</v>
      </c>
      <c r="U66" s="479">
        <f t="shared" si="109"/>
        <v>0.32800000000000001</v>
      </c>
      <c r="V66" s="479">
        <f t="shared" si="110"/>
        <v>0.16400000000000001</v>
      </c>
      <c r="W66" s="490">
        <f t="shared" si="98"/>
        <v>500</v>
      </c>
      <c r="X66" s="478">
        <f>+'1.Informe Seguimiento POA 2022'!S22</f>
        <v>150</v>
      </c>
      <c r="Y66" s="478">
        <f>+'1.Informe Seguimiento POA 2022'!O22+'1.Informe Seguimiento POA 2022'!Q22+'1.Informe Seguimiento POA 2022'!S22</f>
        <v>400</v>
      </c>
      <c r="Z66" s="478">
        <f>+'1.Informe Seguimiento POA 2022'!T22</f>
        <v>0</v>
      </c>
      <c r="AA66" s="478">
        <f>+'1.Informe Seguimiento POA 2022'!R22+'1.Informe Seguimiento POA 2022'!T22+'1.Informe Seguimiento POA 2022'!P22</f>
        <v>82</v>
      </c>
      <c r="AB66" s="1083">
        <f t="shared" si="99"/>
        <v>82</v>
      </c>
      <c r="AC66" s="479">
        <f t="shared" si="89"/>
        <v>0</v>
      </c>
      <c r="AD66" s="479">
        <f t="shared" si="111"/>
        <v>0.20499999999999999</v>
      </c>
      <c r="AE66" s="479">
        <f t="shared" si="112"/>
        <v>0.16400000000000001</v>
      </c>
      <c r="AF66" s="490">
        <f t="shared" si="100"/>
        <v>500</v>
      </c>
      <c r="AG66" s="490">
        <f>+'1.Informe Seguimiento POA 2022'!U22</f>
        <v>100</v>
      </c>
      <c r="AH66" s="490">
        <f>+'1.Informe Seguimiento POA 2022'!O22+'1.Informe Seguimiento POA 2022'!Q22+'1.Informe Seguimiento POA 2022'!S22+'1.Informe Seguimiento POA 2022'!U22</f>
        <v>500</v>
      </c>
      <c r="AI66" s="490">
        <f>+'1.Informe Seguimiento POA 2022'!V22</f>
        <v>0</v>
      </c>
      <c r="AJ66" s="490">
        <f>+'1.Informe Seguimiento POA 2022'!P22+'1.Informe Seguimiento POA 2022'!R22+'1.Informe Seguimiento POA 2022'!T22+'1.Informe Seguimiento POA 2022'!V22</f>
        <v>82</v>
      </c>
      <c r="AK66" s="490">
        <f t="shared" si="101"/>
        <v>82</v>
      </c>
      <c r="AL66" s="479">
        <f t="shared" si="91"/>
        <v>0</v>
      </c>
      <c r="AM66" s="479">
        <f t="shared" si="113"/>
        <v>0.16400000000000001</v>
      </c>
      <c r="AN66" s="479">
        <f t="shared" si="114"/>
        <v>0.16400000000000001</v>
      </c>
      <c r="AO66" s="483" t="str">
        <f>+'Rango indicadores'!H31</f>
        <v>Mayor o igual A:</v>
      </c>
      <c r="AP66" s="478">
        <f>+'Rango indicadores'!I31</f>
        <v>95</v>
      </c>
      <c r="AQ66" s="478" t="str">
        <f>+'Rango indicadores'!J31</f>
        <v>Desde (&gt;):</v>
      </c>
      <c r="AR66" s="478">
        <f>+'Rango indicadores'!K31</f>
        <v>90</v>
      </c>
      <c r="AS66" s="478" t="str">
        <f>+'Rango indicadores'!L31</f>
        <v>Hasta (&lt;):</v>
      </c>
      <c r="AT66" s="478">
        <f>+'Rango indicadores'!M31</f>
        <v>95</v>
      </c>
      <c r="AU66" s="478" t="str">
        <f>+'Rango indicadores'!N31</f>
        <v>Menor o Igual A:</v>
      </c>
      <c r="AV66" s="478">
        <f>+'Rango indicadores'!O31</f>
        <v>90</v>
      </c>
      <c r="AW66" s="1103" t="s">
        <v>1183</v>
      </c>
      <c r="AX66" s="656"/>
      <c r="AY66" s="656">
        <f t="shared" si="102"/>
        <v>18</v>
      </c>
      <c r="AZ66" s="656"/>
    </row>
    <row r="67" spans="2:53" ht="30">
      <c r="B67" s="475">
        <f t="shared" si="107"/>
        <v>31</v>
      </c>
      <c r="C67" s="476" t="str">
        <f>+'Rango indicadores'!D32</f>
        <v>05-RI-11</v>
      </c>
      <c r="D67" s="476" t="str">
        <f>+'Rango indicadores'!E32</f>
        <v>Estados de vulneración establecidos</v>
      </c>
      <c r="E67" s="490">
        <f>+'Rango indicadores'!Q32</f>
        <v>0</v>
      </c>
      <c r="F67" s="490">
        <f>'1.Informe Seguimiento POA 2022'!O23</f>
        <v>0</v>
      </c>
      <c r="G67" s="490">
        <f>'1.Informe Seguimiento POA 2022'!O23</f>
        <v>0</v>
      </c>
      <c r="H67" s="490">
        <f>'1.Informe Seguimiento POA 2022'!P23</f>
        <v>0</v>
      </c>
      <c r="I67" s="490">
        <f>'1.Informe Seguimiento POA 2022'!P23</f>
        <v>0</v>
      </c>
      <c r="J67" s="490">
        <f t="shared" si="94"/>
        <v>0</v>
      </c>
      <c r="K67" s="492" t="str">
        <f t="shared" si="85"/>
        <v>No programado</v>
      </c>
      <c r="L67" s="492" t="str">
        <f t="shared" si="108"/>
        <v>No programado</v>
      </c>
      <c r="M67" s="479" t="str">
        <f>IF(AND(E67&gt;0,$J67&gt;0),J67/$E67,"No programado")</f>
        <v>No programado</v>
      </c>
      <c r="N67" s="490">
        <f t="shared" si="95"/>
        <v>0</v>
      </c>
      <c r="O67" s="478">
        <f>+'1.Informe Seguimiento POA 2022'!Q23</f>
        <v>0</v>
      </c>
      <c r="P67" s="490">
        <f t="shared" si="96"/>
        <v>0</v>
      </c>
      <c r="Q67" s="478">
        <f>'1.Informe Seguimiento POA 2022'!R23</f>
        <v>0</v>
      </c>
      <c r="R67" s="478">
        <f>+'1.Informe Seguimiento POA 2022'!P23+'1.Informe Seguimiento POA 2022'!R23</f>
        <v>0</v>
      </c>
      <c r="S67" s="490">
        <f t="shared" si="97"/>
        <v>0</v>
      </c>
      <c r="T67" s="492" t="str">
        <f t="shared" si="87"/>
        <v>No programado</v>
      </c>
      <c r="U67" s="492" t="str">
        <f t="shared" si="109"/>
        <v>No programado</v>
      </c>
      <c r="V67" s="479" t="str">
        <f>IF(AND(N67&gt;0,$J67&gt;0),S67/$E67,"No programado")</f>
        <v>No programado</v>
      </c>
      <c r="W67" s="490">
        <f t="shared" si="98"/>
        <v>0</v>
      </c>
      <c r="X67" s="478">
        <f>+'1.Informe Seguimiento POA 2022'!S23</f>
        <v>0</v>
      </c>
      <c r="Y67" s="478">
        <f>+'1.Informe Seguimiento POA 2022'!O23+'1.Informe Seguimiento POA 2022'!Q23+'1.Informe Seguimiento POA 2022'!S23</f>
        <v>0</v>
      </c>
      <c r="Z67" s="478">
        <f>+'1.Informe Seguimiento POA 2022'!T23</f>
        <v>0</v>
      </c>
      <c r="AA67" s="478">
        <f>+'1.Informe Seguimiento POA 2022'!R23+'1.Informe Seguimiento POA 2022'!T23+'1.Informe Seguimiento POA 2022'!P23</f>
        <v>0</v>
      </c>
      <c r="AB67" s="1083">
        <f t="shared" si="99"/>
        <v>0</v>
      </c>
      <c r="AC67" s="492" t="str">
        <f t="shared" si="89"/>
        <v>No programado</v>
      </c>
      <c r="AD67" s="492" t="str">
        <f t="shared" si="111"/>
        <v>No programado</v>
      </c>
      <c r="AE67" s="479" t="str">
        <f>IF(AND(W67&gt;0,$J67&gt;0),AB67/$E67,"No programado")</f>
        <v>No programado</v>
      </c>
      <c r="AF67" s="490">
        <f t="shared" si="100"/>
        <v>0</v>
      </c>
      <c r="AG67" s="490">
        <f>+'1.Informe Seguimiento POA 2022'!U23</f>
        <v>0</v>
      </c>
      <c r="AH67" s="490">
        <f>+'1.Informe Seguimiento POA 2022'!O23+'1.Informe Seguimiento POA 2022'!Q23+'1.Informe Seguimiento POA 2022'!S23+'1.Informe Seguimiento POA 2022'!U23</f>
        <v>0</v>
      </c>
      <c r="AI67" s="490">
        <f>+'1.Informe Seguimiento POA 2022'!V23</f>
        <v>0</v>
      </c>
      <c r="AJ67" s="490">
        <f>+'1.Informe Seguimiento POA 2022'!P23+'1.Informe Seguimiento POA 2022'!R23+'1.Informe Seguimiento POA 2022'!T23+'1.Informe Seguimiento POA 2022'!V23</f>
        <v>0</v>
      </c>
      <c r="AK67" s="490">
        <f t="shared" si="101"/>
        <v>0</v>
      </c>
      <c r="AL67" s="492" t="str">
        <f t="shared" si="91"/>
        <v>No programado</v>
      </c>
      <c r="AM67" s="492" t="str">
        <f t="shared" si="113"/>
        <v>No programado</v>
      </c>
      <c r="AN67" s="479" t="str">
        <f>IF(AND(AF67&gt;0,$J67&gt;0),AK67/$E67,"No programado")</f>
        <v>No programado</v>
      </c>
      <c r="AO67" s="483" t="str">
        <f>+'Rango indicadores'!H32</f>
        <v>Mayor o igual A:</v>
      </c>
      <c r="AP67" s="478">
        <f>+'Rango indicadores'!I32</f>
        <v>95</v>
      </c>
      <c r="AQ67" s="478" t="str">
        <f>+'Rango indicadores'!J32</f>
        <v>Desde (&gt;):</v>
      </c>
      <c r="AR67" s="478">
        <f>+'Rango indicadores'!K32</f>
        <v>90</v>
      </c>
      <c r="AS67" s="478" t="str">
        <f>+'Rango indicadores'!L32</f>
        <v>Hasta (&lt;):</v>
      </c>
      <c r="AT67" s="478">
        <f>+'Rango indicadores'!M32</f>
        <v>95</v>
      </c>
      <c r="AU67" s="478" t="str">
        <f>+'Rango indicadores'!N32</f>
        <v>Menor o Igual A:</v>
      </c>
      <c r="AV67" s="478">
        <f>+'Rango indicadores'!O32</f>
        <v>90</v>
      </c>
      <c r="AW67" s="582" t="s">
        <v>1184</v>
      </c>
      <c r="AX67" s="656"/>
      <c r="AY67" s="656">
        <f t="shared" si="102"/>
        <v>0</v>
      </c>
      <c r="AZ67" s="656"/>
      <c r="BA67" s="491"/>
    </row>
    <row r="68" spans="2:53" ht="175.2" customHeight="1">
      <c r="B68" s="475">
        <f t="shared" si="107"/>
        <v>32</v>
      </c>
      <c r="C68" s="476" t="str">
        <f>+'Rango indicadores'!D33</f>
        <v>05-RI-12</v>
      </c>
      <c r="D68" s="476" t="str">
        <f>+'Rango indicadores'!E33</f>
        <v>Personas sensibilizadas en el Distrito Capital</v>
      </c>
      <c r="E68" s="490">
        <f>+'Rango indicadores'!Q33</f>
        <v>71570</v>
      </c>
      <c r="F68" s="490">
        <f>'1.Informe Seguimiento POA 2022'!O24</f>
        <v>10700</v>
      </c>
      <c r="G68" s="490">
        <f>'1.Informe Seguimiento POA 2022'!O24</f>
        <v>10700</v>
      </c>
      <c r="H68" s="490">
        <f>'1.Informe Seguimiento POA 2022'!P24</f>
        <v>16789</v>
      </c>
      <c r="I68" s="490">
        <f>'1.Informe Seguimiento POA 2022'!P24</f>
        <v>16789</v>
      </c>
      <c r="J68" s="490">
        <f t="shared" si="94"/>
        <v>16789</v>
      </c>
      <c r="K68" s="479">
        <f t="shared" si="85"/>
        <v>1.5690654205607477</v>
      </c>
      <c r="L68" s="479">
        <f t="shared" si="108"/>
        <v>1.5690654205607477</v>
      </c>
      <c r="M68" s="479">
        <f t="shared" si="86"/>
        <v>0.23458152857342462</v>
      </c>
      <c r="N68" s="490">
        <f t="shared" si="95"/>
        <v>71570</v>
      </c>
      <c r="O68" s="478">
        <f>+'1.Informe Seguimiento POA 2022'!Q24</f>
        <v>21400</v>
      </c>
      <c r="P68" s="490">
        <f t="shared" si="96"/>
        <v>32100</v>
      </c>
      <c r="Q68" s="478">
        <f>'1.Informe Seguimiento POA 2022'!R24</f>
        <v>0</v>
      </c>
      <c r="R68" s="478">
        <f>+'1.Informe Seguimiento POA 2022'!P24+'1.Informe Seguimiento POA 2022'!R24</f>
        <v>16789</v>
      </c>
      <c r="S68" s="490">
        <f t="shared" si="97"/>
        <v>16789</v>
      </c>
      <c r="T68" s="479">
        <f t="shared" si="87"/>
        <v>0</v>
      </c>
      <c r="U68" s="479">
        <f t="shared" si="109"/>
        <v>0.52302180685358257</v>
      </c>
      <c r="V68" s="479">
        <f t="shared" ref="V68:V76" si="115">IF(AND(N68&gt;0,$J68&gt;0),S68/$E68,0)</f>
        <v>0.23458152857342462</v>
      </c>
      <c r="W68" s="490">
        <f t="shared" si="98"/>
        <v>71570</v>
      </c>
      <c r="X68" s="478">
        <f>+'1.Informe Seguimiento POA 2022'!S24</f>
        <v>23550</v>
      </c>
      <c r="Y68" s="478">
        <f>+'1.Informe Seguimiento POA 2022'!O24+'1.Informe Seguimiento POA 2022'!Q24+'1.Informe Seguimiento POA 2022'!S24</f>
        <v>55650</v>
      </c>
      <c r="Z68" s="478">
        <f>+'1.Informe Seguimiento POA 2022'!T24</f>
        <v>0</v>
      </c>
      <c r="AA68" s="478">
        <f>+'1.Informe Seguimiento POA 2022'!R24+'1.Informe Seguimiento POA 2022'!T24+'1.Informe Seguimiento POA 2022'!P24</f>
        <v>16789</v>
      </c>
      <c r="AB68" s="1083">
        <f t="shared" si="99"/>
        <v>16789</v>
      </c>
      <c r="AC68" s="479">
        <f t="shared" si="89"/>
        <v>0</v>
      </c>
      <c r="AD68" s="479">
        <f t="shared" si="111"/>
        <v>0.3016891284815813</v>
      </c>
      <c r="AE68" s="479">
        <f t="shared" ref="AE68:AE76" si="116">IF(AND(W68&gt;0,$J68&gt;0),AB68/$E68,0)</f>
        <v>0.23458152857342462</v>
      </c>
      <c r="AF68" s="490">
        <f t="shared" si="100"/>
        <v>71570</v>
      </c>
      <c r="AG68" s="490">
        <f>+'1.Informe Seguimiento POA 2022'!U24</f>
        <v>15920</v>
      </c>
      <c r="AH68" s="490">
        <f>+'1.Informe Seguimiento POA 2022'!O24+'1.Informe Seguimiento POA 2022'!Q24+'1.Informe Seguimiento POA 2022'!S24+'1.Informe Seguimiento POA 2022'!U24</f>
        <v>71570</v>
      </c>
      <c r="AI68" s="490">
        <f>+'1.Informe Seguimiento POA 2022'!V24</f>
        <v>0</v>
      </c>
      <c r="AJ68" s="490">
        <f>+'1.Informe Seguimiento POA 2022'!P24+'1.Informe Seguimiento POA 2022'!R24+'1.Informe Seguimiento POA 2022'!T24+'1.Informe Seguimiento POA 2022'!V24</f>
        <v>16789</v>
      </c>
      <c r="AK68" s="490">
        <f t="shared" si="101"/>
        <v>16789</v>
      </c>
      <c r="AL68" s="479">
        <f t="shared" si="91"/>
        <v>0</v>
      </c>
      <c r="AM68" s="479">
        <f t="shared" si="113"/>
        <v>0.23458152857342462</v>
      </c>
      <c r="AN68" s="479">
        <f t="shared" ref="AN68:AN76" si="117">IF(AND(AF68&gt;0,$J68&gt;0),AK68/$E68,0)</f>
        <v>0.23458152857342462</v>
      </c>
      <c r="AO68" s="483" t="str">
        <f>+'Rango indicadores'!H33</f>
        <v>Mayor A:</v>
      </c>
      <c r="AP68" s="478">
        <f>+'Rango indicadores'!I33</f>
        <v>85</v>
      </c>
      <c r="AQ68" s="478" t="str">
        <f>+'Rango indicadores'!J33</f>
        <v>Desde (&gt;=):</v>
      </c>
      <c r="AR68" s="478">
        <f>+'Rango indicadores'!K33</f>
        <v>80</v>
      </c>
      <c r="AS68" s="478" t="str">
        <f>+'Rango indicadores'!L33</f>
        <v>Hasta (&lt;=):</v>
      </c>
      <c r="AT68" s="478">
        <f>+'Rango indicadores'!M33</f>
        <v>85</v>
      </c>
      <c r="AU68" s="478" t="str">
        <f>+'Rango indicadores'!N33</f>
        <v>Menor A:</v>
      </c>
      <c r="AV68" s="478">
        <f>+'Rango indicadores'!O33</f>
        <v>80</v>
      </c>
      <c r="AW68" s="1103" t="s">
        <v>1220</v>
      </c>
      <c r="AX68" s="656"/>
      <c r="AY68" s="656">
        <f t="shared" si="102"/>
        <v>-6089</v>
      </c>
      <c r="AZ68" s="656"/>
      <c r="BA68" s="491"/>
    </row>
    <row r="69" spans="2:53" ht="192" customHeight="1">
      <c r="B69" s="475">
        <f t="shared" si="107"/>
        <v>33</v>
      </c>
      <c r="C69" s="476" t="str">
        <f>+'Rango indicadores'!D34</f>
        <v>05-RI-13</v>
      </c>
      <c r="D69" s="476" t="str">
        <f>+'Rango indicadores'!E34</f>
        <v>Acciones en favor de las víctimas del conflicto armado interno adelantadas</v>
      </c>
      <c r="E69" s="490">
        <f>+'Rango indicadores'!Q34</f>
        <v>5480</v>
      </c>
      <c r="F69" s="490">
        <f>'1.Informe Seguimiento POA 2022'!O25</f>
        <v>920</v>
      </c>
      <c r="G69" s="490">
        <f>'1.Informe Seguimiento POA 2022'!O25</f>
        <v>920</v>
      </c>
      <c r="H69" s="490">
        <f>'1.Informe Seguimiento POA 2022'!P25</f>
        <v>2701</v>
      </c>
      <c r="I69" s="490">
        <f>'1.Informe Seguimiento POA 2022'!P25</f>
        <v>2701</v>
      </c>
      <c r="J69" s="490">
        <f t="shared" si="94"/>
        <v>2701</v>
      </c>
      <c r="K69" s="479">
        <f t="shared" si="85"/>
        <v>2.9358695652173914</v>
      </c>
      <c r="L69" s="479">
        <f t="shared" si="108"/>
        <v>2.9358695652173914</v>
      </c>
      <c r="M69" s="479">
        <f t="shared" si="86"/>
        <v>0.49288321167883209</v>
      </c>
      <c r="N69" s="490">
        <f t="shared" si="95"/>
        <v>5480</v>
      </c>
      <c r="O69" s="478">
        <f>+'1.Informe Seguimiento POA 2022'!Q25</f>
        <v>1760</v>
      </c>
      <c r="P69" s="490">
        <f t="shared" si="96"/>
        <v>2680</v>
      </c>
      <c r="Q69" s="478">
        <f>'1.Informe Seguimiento POA 2022'!R25</f>
        <v>0</v>
      </c>
      <c r="R69" s="478">
        <f>+'1.Informe Seguimiento POA 2022'!P25+'1.Informe Seguimiento POA 2022'!R25</f>
        <v>2701</v>
      </c>
      <c r="S69" s="490">
        <f t="shared" si="97"/>
        <v>2701</v>
      </c>
      <c r="T69" s="479">
        <f t="shared" si="87"/>
        <v>0</v>
      </c>
      <c r="U69" s="479">
        <f t="shared" si="109"/>
        <v>1.0078358208955225</v>
      </c>
      <c r="V69" s="479">
        <f t="shared" si="115"/>
        <v>0.49288321167883209</v>
      </c>
      <c r="W69" s="490">
        <f t="shared" si="98"/>
        <v>5480</v>
      </c>
      <c r="X69" s="478">
        <f>+'1.Informe Seguimiento POA 2022'!S25</f>
        <v>1680</v>
      </c>
      <c r="Y69" s="478">
        <f>+'1.Informe Seguimiento POA 2022'!O25+'1.Informe Seguimiento POA 2022'!Q25+'1.Informe Seguimiento POA 2022'!S25</f>
        <v>4360</v>
      </c>
      <c r="Z69" s="478">
        <f>+'1.Informe Seguimiento POA 2022'!T25</f>
        <v>0</v>
      </c>
      <c r="AA69" s="478">
        <f>+'1.Informe Seguimiento POA 2022'!R25+'1.Informe Seguimiento POA 2022'!T25+'1.Informe Seguimiento POA 2022'!P25</f>
        <v>2701</v>
      </c>
      <c r="AB69" s="1083">
        <f t="shared" si="99"/>
        <v>2701</v>
      </c>
      <c r="AC69" s="479">
        <f t="shared" si="89"/>
        <v>0</v>
      </c>
      <c r="AD69" s="479">
        <f t="shared" si="111"/>
        <v>0.61949541284403675</v>
      </c>
      <c r="AE69" s="479">
        <f t="shared" si="116"/>
        <v>0.49288321167883209</v>
      </c>
      <c r="AF69" s="490">
        <f t="shared" si="100"/>
        <v>5480</v>
      </c>
      <c r="AG69" s="490">
        <f>+'1.Informe Seguimiento POA 2022'!U25</f>
        <v>1120</v>
      </c>
      <c r="AH69" s="490">
        <f>+'1.Informe Seguimiento POA 2022'!O25+'1.Informe Seguimiento POA 2022'!Q25+'1.Informe Seguimiento POA 2022'!S25+'1.Informe Seguimiento POA 2022'!U25</f>
        <v>5480</v>
      </c>
      <c r="AI69" s="490">
        <f>+'1.Informe Seguimiento POA 2022'!V25</f>
        <v>0</v>
      </c>
      <c r="AJ69" s="490">
        <f>+'1.Informe Seguimiento POA 2022'!P25+'1.Informe Seguimiento POA 2022'!R25+'1.Informe Seguimiento POA 2022'!T25+'1.Informe Seguimiento POA 2022'!V25</f>
        <v>2701</v>
      </c>
      <c r="AK69" s="490">
        <f t="shared" si="101"/>
        <v>2701</v>
      </c>
      <c r="AL69" s="479">
        <f t="shared" si="91"/>
        <v>0</v>
      </c>
      <c r="AM69" s="479">
        <f t="shared" si="113"/>
        <v>0.49288321167883209</v>
      </c>
      <c r="AN69" s="479">
        <f t="shared" si="117"/>
        <v>0.49288321167883209</v>
      </c>
      <c r="AO69" s="483" t="str">
        <f>+'Rango indicadores'!H34</f>
        <v>Mayor A:</v>
      </c>
      <c r="AP69" s="478">
        <f>+'Rango indicadores'!I34</f>
        <v>85</v>
      </c>
      <c r="AQ69" s="478" t="str">
        <f>+'Rango indicadores'!J34</f>
        <v>Desde (&gt;=):</v>
      </c>
      <c r="AR69" s="478">
        <f>+'Rango indicadores'!K34</f>
        <v>80</v>
      </c>
      <c r="AS69" s="478" t="str">
        <f>+'Rango indicadores'!L34</f>
        <v>Hasta (&lt;=):</v>
      </c>
      <c r="AT69" s="478">
        <f>+'Rango indicadores'!M34</f>
        <v>85</v>
      </c>
      <c r="AU69" s="478" t="str">
        <f>+'Rango indicadores'!N34</f>
        <v>Menor A:</v>
      </c>
      <c r="AV69" s="478">
        <f>+'Rango indicadores'!O34</f>
        <v>80</v>
      </c>
      <c r="AW69" s="574" t="s">
        <v>1221</v>
      </c>
      <c r="AX69" s="656"/>
      <c r="AY69" s="656">
        <f t="shared" si="102"/>
        <v>-1781</v>
      </c>
      <c r="AZ69" s="656"/>
      <c r="BA69" s="491"/>
    </row>
    <row r="70" spans="2:53" ht="163.19999999999999" customHeight="1">
      <c r="B70" s="475">
        <f t="shared" si="107"/>
        <v>34</v>
      </c>
      <c r="C70" s="476" t="str">
        <f>+'Rango indicadores'!D35</f>
        <v>05-RI-14</v>
      </c>
      <c r="D70" s="476" t="str">
        <f>+'Rango indicadores'!E35</f>
        <v>Acciones constitucionales elaboradas para prevenir vulneración de derechos</v>
      </c>
      <c r="E70" s="490">
        <f>+'Rango indicadores'!Q35</f>
        <v>4790</v>
      </c>
      <c r="F70" s="490">
        <f>'1.Informe Seguimiento POA 2022'!O26</f>
        <v>1311</v>
      </c>
      <c r="G70" s="490">
        <f>'1.Informe Seguimiento POA 2022'!O26</f>
        <v>1311</v>
      </c>
      <c r="H70" s="490">
        <f>'1.Informe Seguimiento POA 2022'!P26</f>
        <v>1473</v>
      </c>
      <c r="I70" s="490">
        <f>'1.Informe Seguimiento POA 2022'!P26</f>
        <v>1473</v>
      </c>
      <c r="J70" s="490">
        <f t="shared" si="94"/>
        <v>1473</v>
      </c>
      <c r="K70" s="479">
        <f t="shared" si="85"/>
        <v>1.1235697940503433</v>
      </c>
      <c r="L70" s="479">
        <f t="shared" si="108"/>
        <v>1.1235697940503433</v>
      </c>
      <c r="M70" s="479">
        <f t="shared" si="86"/>
        <v>0.30751565762004174</v>
      </c>
      <c r="N70" s="490">
        <f t="shared" si="95"/>
        <v>4790</v>
      </c>
      <c r="O70" s="478">
        <f>+'1.Informe Seguimiento POA 2022'!Q26</f>
        <v>1674</v>
      </c>
      <c r="P70" s="490">
        <f t="shared" si="96"/>
        <v>2985</v>
      </c>
      <c r="Q70" s="478">
        <f>'1.Informe Seguimiento POA 2022'!R26</f>
        <v>0</v>
      </c>
      <c r="R70" s="478">
        <f>+'1.Informe Seguimiento POA 2022'!P26+'1.Informe Seguimiento POA 2022'!R26</f>
        <v>1473</v>
      </c>
      <c r="S70" s="490">
        <f t="shared" si="97"/>
        <v>1473</v>
      </c>
      <c r="T70" s="479">
        <f t="shared" si="87"/>
        <v>0</v>
      </c>
      <c r="U70" s="479">
        <f t="shared" si="109"/>
        <v>0.49346733668341708</v>
      </c>
      <c r="V70" s="479">
        <f t="shared" si="115"/>
        <v>0.30751565762004174</v>
      </c>
      <c r="W70" s="490">
        <f t="shared" si="98"/>
        <v>4790</v>
      </c>
      <c r="X70" s="478">
        <f>+'1.Informe Seguimiento POA 2022'!S26</f>
        <v>1107</v>
      </c>
      <c r="Y70" s="478">
        <f>+'1.Informe Seguimiento POA 2022'!O26+'1.Informe Seguimiento POA 2022'!Q26+'1.Informe Seguimiento POA 2022'!S26</f>
        <v>4092</v>
      </c>
      <c r="Z70" s="478">
        <f>+'1.Informe Seguimiento POA 2022'!T26</f>
        <v>0</v>
      </c>
      <c r="AA70" s="478">
        <f>+'1.Informe Seguimiento POA 2022'!R26+'1.Informe Seguimiento POA 2022'!T26+'1.Informe Seguimiento POA 2022'!P26</f>
        <v>1473</v>
      </c>
      <c r="AB70" s="1083">
        <f t="shared" si="99"/>
        <v>1473</v>
      </c>
      <c r="AC70" s="479">
        <f t="shared" si="89"/>
        <v>0</v>
      </c>
      <c r="AD70" s="479">
        <f t="shared" si="111"/>
        <v>0.35997067448680353</v>
      </c>
      <c r="AE70" s="479">
        <f t="shared" si="116"/>
        <v>0.30751565762004174</v>
      </c>
      <c r="AF70" s="490">
        <f t="shared" si="100"/>
        <v>4790</v>
      </c>
      <c r="AG70" s="490">
        <f>+'1.Informe Seguimiento POA 2022'!U26</f>
        <v>698</v>
      </c>
      <c r="AH70" s="490">
        <f>+'1.Informe Seguimiento POA 2022'!O26+'1.Informe Seguimiento POA 2022'!Q26+'1.Informe Seguimiento POA 2022'!S26+'1.Informe Seguimiento POA 2022'!U26</f>
        <v>4790</v>
      </c>
      <c r="AI70" s="490">
        <f>+'1.Informe Seguimiento POA 2022'!V26</f>
        <v>0</v>
      </c>
      <c r="AJ70" s="490">
        <f>+'1.Informe Seguimiento POA 2022'!P26+'1.Informe Seguimiento POA 2022'!R26+'1.Informe Seguimiento POA 2022'!T26+'1.Informe Seguimiento POA 2022'!V26</f>
        <v>1473</v>
      </c>
      <c r="AK70" s="490">
        <f t="shared" si="101"/>
        <v>1473</v>
      </c>
      <c r="AL70" s="479">
        <f t="shared" si="91"/>
        <v>0</v>
      </c>
      <c r="AM70" s="479">
        <f t="shared" si="113"/>
        <v>0.30751565762004174</v>
      </c>
      <c r="AN70" s="479">
        <f t="shared" si="117"/>
        <v>0.30751565762004174</v>
      </c>
      <c r="AO70" s="483" t="str">
        <f>+'Rango indicadores'!H35</f>
        <v>Mayor A:</v>
      </c>
      <c r="AP70" s="478">
        <f>+'Rango indicadores'!I35</f>
        <v>85</v>
      </c>
      <c r="AQ70" s="478" t="str">
        <f>+'Rango indicadores'!J35</f>
        <v>Desde (&gt;=):</v>
      </c>
      <c r="AR70" s="478">
        <f>+'Rango indicadores'!K35</f>
        <v>80</v>
      </c>
      <c r="AS70" s="478" t="str">
        <f>+'Rango indicadores'!L35</f>
        <v>Hasta (&lt;=):</v>
      </c>
      <c r="AT70" s="478">
        <f>+'Rango indicadores'!M35</f>
        <v>85</v>
      </c>
      <c r="AU70" s="478" t="str">
        <f>+'Rango indicadores'!N35</f>
        <v>Menor A:</v>
      </c>
      <c r="AV70" s="478">
        <f>+'Rango indicadores'!O35</f>
        <v>80</v>
      </c>
      <c r="AW70" s="1103" t="s">
        <v>1222</v>
      </c>
      <c r="AX70" s="656"/>
      <c r="AY70" s="656">
        <f t="shared" si="102"/>
        <v>-162</v>
      </c>
      <c r="AZ70" s="656"/>
      <c r="BA70" s="491"/>
    </row>
    <row r="71" spans="2:53" ht="124.8" customHeight="1">
      <c r="B71" s="475">
        <f t="shared" si="107"/>
        <v>35</v>
      </c>
      <c r="C71" s="476" t="str">
        <f>+'Rango indicadores'!D36</f>
        <v>05-RI-15</v>
      </c>
      <c r="D71" s="476" t="str">
        <f>+'Rango indicadores'!E36</f>
        <v>Seguimientos realizados por el Ministerio Público a las medidas de protección impuestas por las Comisarias de Familia</v>
      </c>
      <c r="E71" s="490">
        <f>+'Rango indicadores'!Q36</f>
        <v>800</v>
      </c>
      <c r="F71" s="490">
        <f>'1.Informe Seguimiento POA 2022'!O27</f>
        <v>140</v>
      </c>
      <c r="G71" s="490">
        <f>'1.Informe Seguimiento POA 2022'!O27</f>
        <v>140</v>
      </c>
      <c r="H71" s="490">
        <f>'1.Informe Seguimiento POA 2022'!P27</f>
        <v>53</v>
      </c>
      <c r="I71" s="490">
        <f>'1.Informe Seguimiento POA 2022'!P27</f>
        <v>53</v>
      </c>
      <c r="J71" s="490">
        <f t="shared" si="94"/>
        <v>53</v>
      </c>
      <c r="K71" s="479">
        <f t="shared" si="85"/>
        <v>0.37857142857142856</v>
      </c>
      <c r="L71" s="479">
        <f t="shared" si="108"/>
        <v>0.37857142857142856</v>
      </c>
      <c r="M71" s="479">
        <f t="shared" si="86"/>
        <v>6.6250000000000003E-2</v>
      </c>
      <c r="N71" s="490">
        <f t="shared" si="95"/>
        <v>800</v>
      </c>
      <c r="O71" s="478">
        <f>+'1.Informe Seguimiento POA 2022'!Q27</f>
        <v>270</v>
      </c>
      <c r="P71" s="490">
        <f t="shared" si="96"/>
        <v>410</v>
      </c>
      <c r="Q71" s="478">
        <f>'1.Informe Seguimiento POA 2022'!R27</f>
        <v>0</v>
      </c>
      <c r="R71" s="478">
        <f>+'1.Informe Seguimiento POA 2022'!P27+'1.Informe Seguimiento POA 2022'!R27</f>
        <v>53</v>
      </c>
      <c r="S71" s="490">
        <f t="shared" si="97"/>
        <v>53</v>
      </c>
      <c r="T71" s="479">
        <f t="shared" si="87"/>
        <v>0</v>
      </c>
      <c r="U71" s="479">
        <f t="shared" si="109"/>
        <v>0.12926829268292683</v>
      </c>
      <c r="V71" s="479">
        <f t="shared" si="115"/>
        <v>6.6250000000000003E-2</v>
      </c>
      <c r="W71" s="490">
        <f t="shared" si="98"/>
        <v>800</v>
      </c>
      <c r="X71" s="478">
        <f>+'1.Informe Seguimiento POA 2022'!S27</f>
        <v>240</v>
      </c>
      <c r="Y71" s="478">
        <f>+'1.Informe Seguimiento POA 2022'!O27+'1.Informe Seguimiento POA 2022'!Q27+'1.Informe Seguimiento POA 2022'!S27</f>
        <v>650</v>
      </c>
      <c r="Z71" s="478">
        <f>+'1.Informe Seguimiento POA 2022'!T27</f>
        <v>0</v>
      </c>
      <c r="AA71" s="478">
        <f>+'1.Informe Seguimiento POA 2022'!R27+'1.Informe Seguimiento POA 2022'!T27+'1.Informe Seguimiento POA 2022'!P27</f>
        <v>53</v>
      </c>
      <c r="AB71" s="1083">
        <f t="shared" si="99"/>
        <v>53</v>
      </c>
      <c r="AC71" s="479">
        <f t="shared" si="89"/>
        <v>0</v>
      </c>
      <c r="AD71" s="479">
        <f t="shared" si="111"/>
        <v>8.1538461538461532E-2</v>
      </c>
      <c r="AE71" s="479">
        <f t="shared" si="116"/>
        <v>6.6250000000000003E-2</v>
      </c>
      <c r="AF71" s="490">
        <f t="shared" si="100"/>
        <v>800</v>
      </c>
      <c r="AG71" s="490">
        <f>+'1.Informe Seguimiento POA 2022'!U27</f>
        <v>150</v>
      </c>
      <c r="AH71" s="490">
        <f>+'1.Informe Seguimiento POA 2022'!O27+'1.Informe Seguimiento POA 2022'!Q27+'1.Informe Seguimiento POA 2022'!S27+'1.Informe Seguimiento POA 2022'!U27</f>
        <v>800</v>
      </c>
      <c r="AI71" s="490">
        <f>+'1.Informe Seguimiento POA 2022'!V27</f>
        <v>0</v>
      </c>
      <c r="AJ71" s="490">
        <f>+'1.Informe Seguimiento POA 2022'!P27+'1.Informe Seguimiento POA 2022'!R27+'1.Informe Seguimiento POA 2022'!T27+'1.Informe Seguimiento POA 2022'!V27</f>
        <v>53</v>
      </c>
      <c r="AK71" s="490">
        <f t="shared" si="101"/>
        <v>53</v>
      </c>
      <c r="AL71" s="479">
        <f t="shared" si="91"/>
        <v>0</v>
      </c>
      <c r="AM71" s="479">
        <f t="shared" si="113"/>
        <v>6.6250000000000003E-2</v>
      </c>
      <c r="AN71" s="479">
        <f t="shared" si="117"/>
        <v>6.6250000000000003E-2</v>
      </c>
      <c r="AO71" s="483" t="str">
        <f>+'Rango indicadores'!H36</f>
        <v>Mayor A:</v>
      </c>
      <c r="AP71" s="478">
        <f>+'Rango indicadores'!I36</f>
        <v>85</v>
      </c>
      <c r="AQ71" s="478" t="str">
        <f>+'Rango indicadores'!J36</f>
        <v>Desde (&gt;=):</v>
      </c>
      <c r="AR71" s="478">
        <f>+'Rango indicadores'!K36</f>
        <v>80</v>
      </c>
      <c r="AS71" s="478" t="str">
        <f>+'Rango indicadores'!L36</f>
        <v>Hasta (&lt;=):</v>
      </c>
      <c r="AT71" s="478">
        <f>+'Rango indicadores'!M36</f>
        <v>85</v>
      </c>
      <c r="AU71" s="478" t="str">
        <f>+'Rango indicadores'!N36</f>
        <v>Menor A:</v>
      </c>
      <c r="AV71" s="478">
        <f>+'Rango indicadores'!O36</f>
        <v>80</v>
      </c>
      <c r="AW71" s="582" t="s">
        <v>1188</v>
      </c>
      <c r="AX71" s="656"/>
      <c r="AY71" s="656">
        <f t="shared" si="102"/>
        <v>87</v>
      </c>
      <c r="AZ71" s="656"/>
      <c r="BA71" s="491"/>
    </row>
    <row r="72" spans="2:53" ht="165" customHeight="1">
      <c r="B72" s="475">
        <f t="shared" si="107"/>
        <v>36</v>
      </c>
      <c r="C72" s="476" t="str">
        <f>+'Rango indicadores'!D37</f>
        <v>05-RI-16</v>
      </c>
      <c r="D72" s="476" t="str">
        <f>+'Rango indicadores'!E37</f>
        <v>Espacios Interinstitucionales con participación</v>
      </c>
      <c r="E72" s="490">
        <f>+'Rango indicadores'!Q37</f>
        <v>2771</v>
      </c>
      <c r="F72" s="490">
        <f>'1.Informe Seguimiento POA 2022'!O28</f>
        <v>678</v>
      </c>
      <c r="G72" s="490">
        <f>'1.Informe Seguimiento POA 2022'!O28</f>
        <v>678</v>
      </c>
      <c r="H72" s="490">
        <f>'1.Informe Seguimiento POA 2022'!P28</f>
        <v>602</v>
      </c>
      <c r="I72" s="490">
        <f>'1.Informe Seguimiento POA 2022'!P28</f>
        <v>602</v>
      </c>
      <c r="J72" s="490">
        <f t="shared" si="94"/>
        <v>602</v>
      </c>
      <c r="K72" s="479">
        <f t="shared" si="85"/>
        <v>0.88790560471976399</v>
      </c>
      <c r="L72" s="479">
        <f t="shared" si="108"/>
        <v>0.88790560471976399</v>
      </c>
      <c r="M72" s="479">
        <f t="shared" si="86"/>
        <v>0.21725009022013714</v>
      </c>
      <c r="N72" s="490">
        <f t="shared" si="95"/>
        <v>2771</v>
      </c>
      <c r="O72" s="478">
        <f>+'1.Informe Seguimiento POA 2022'!Q28</f>
        <v>702</v>
      </c>
      <c r="P72" s="490">
        <f t="shared" si="96"/>
        <v>1380</v>
      </c>
      <c r="Q72" s="478">
        <f>'1.Informe Seguimiento POA 2022'!R28</f>
        <v>0</v>
      </c>
      <c r="R72" s="478">
        <f>+'1.Informe Seguimiento POA 2022'!P28+'1.Informe Seguimiento POA 2022'!R28</f>
        <v>602</v>
      </c>
      <c r="S72" s="490">
        <f t="shared" si="97"/>
        <v>602</v>
      </c>
      <c r="T72" s="479">
        <f t="shared" si="87"/>
        <v>0</v>
      </c>
      <c r="U72" s="479">
        <f t="shared" si="109"/>
        <v>0.43623188405797103</v>
      </c>
      <c r="V72" s="479">
        <f t="shared" si="115"/>
        <v>0.21725009022013714</v>
      </c>
      <c r="W72" s="490">
        <f t="shared" si="98"/>
        <v>2771</v>
      </c>
      <c r="X72" s="478">
        <f>+'1.Informe Seguimiento POA 2022'!S28</f>
        <v>703</v>
      </c>
      <c r="Y72" s="478">
        <f>+'1.Informe Seguimiento POA 2022'!O28+'1.Informe Seguimiento POA 2022'!Q28+'1.Informe Seguimiento POA 2022'!S28</f>
        <v>2083</v>
      </c>
      <c r="Z72" s="478">
        <f>+'1.Informe Seguimiento POA 2022'!T28</f>
        <v>0</v>
      </c>
      <c r="AA72" s="478">
        <f>+'1.Informe Seguimiento POA 2022'!R28+'1.Informe Seguimiento POA 2022'!T28+'1.Informe Seguimiento POA 2022'!P28</f>
        <v>602</v>
      </c>
      <c r="AB72" s="1083">
        <f t="shared" si="99"/>
        <v>602</v>
      </c>
      <c r="AC72" s="479">
        <f t="shared" si="89"/>
        <v>0</v>
      </c>
      <c r="AD72" s="479">
        <f t="shared" si="111"/>
        <v>0.28900624099855976</v>
      </c>
      <c r="AE72" s="479">
        <f t="shared" si="116"/>
        <v>0.21725009022013714</v>
      </c>
      <c r="AF72" s="490">
        <f t="shared" si="100"/>
        <v>2771</v>
      </c>
      <c r="AG72" s="490">
        <f>+'1.Informe Seguimiento POA 2022'!U28</f>
        <v>688</v>
      </c>
      <c r="AH72" s="490">
        <f>+'1.Informe Seguimiento POA 2022'!O28+'1.Informe Seguimiento POA 2022'!Q28+'1.Informe Seguimiento POA 2022'!S28+'1.Informe Seguimiento POA 2022'!U28</f>
        <v>2771</v>
      </c>
      <c r="AI72" s="490">
        <f>+'1.Informe Seguimiento POA 2022'!V28</f>
        <v>0</v>
      </c>
      <c r="AJ72" s="490">
        <f>+'1.Informe Seguimiento POA 2022'!P28+'1.Informe Seguimiento POA 2022'!R28+'1.Informe Seguimiento POA 2022'!T28+'1.Informe Seguimiento POA 2022'!V28</f>
        <v>602</v>
      </c>
      <c r="AK72" s="490">
        <f t="shared" si="101"/>
        <v>602</v>
      </c>
      <c r="AL72" s="479">
        <f t="shared" si="91"/>
        <v>0</v>
      </c>
      <c r="AM72" s="479">
        <f t="shared" si="113"/>
        <v>0.21725009022013714</v>
      </c>
      <c r="AN72" s="479">
        <f t="shared" si="117"/>
        <v>0.21725009022013714</v>
      </c>
      <c r="AO72" s="483" t="str">
        <f>+'Rango indicadores'!H37</f>
        <v>Mayor A:</v>
      </c>
      <c r="AP72" s="478">
        <f>+'Rango indicadores'!I37</f>
        <v>85</v>
      </c>
      <c r="AQ72" s="478" t="str">
        <f>+'Rango indicadores'!J37</f>
        <v>Desde (&gt;=):</v>
      </c>
      <c r="AR72" s="478">
        <f>+'Rango indicadores'!K37</f>
        <v>80</v>
      </c>
      <c r="AS72" s="478" t="str">
        <f>+'Rango indicadores'!L37</f>
        <v>Hasta (&lt;=):</v>
      </c>
      <c r="AT72" s="478">
        <f>+'Rango indicadores'!M37</f>
        <v>85</v>
      </c>
      <c r="AU72" s="478" t="str">
        <f>+'Rango indicadores'!N37</f>
        <v>Menor A:</v>
      </c>
      <c r="AV72" s="478">
        <f>+'Rango indicadores'!O37</f>
        <v>80</v>
      </c>
      <c r="AW72" s="1103" t="s">
        <v>1223</v>
      </c>
      <c r="AX72" s="656"/>
      <c r="AY72" s="656">
        <f t="shared" si="102"/>
        <v>76</v>
      </c>
      <c r="AZ72" s="656"/>
      <c r="BA72" s="491"/>
    </row>
    <row r="73" spans="2:53" ht="166.2" customHeight="1">
      <c r="B73" s="475">
        <f t="shared" si="107"/>
        <v>37</v>
      </c>
      <c r="C73" s="476" t="str">
        <f>+'Rango indicadores'!D38</f>
        <v>05-RI-17</v>
      </c>
      <c r="D73" s="476" t="str">
        <f>+'Rango indicadores'!E38</f>
        <v>Seguimientos a la Amenaza y Vulneración de los Derechos Realizados</v>
      </c>
      <c r="E73" s="490">
        <f>+'Rango indicadores'!Q38</f>
        <v>208</v>
      </c>
      <c r="F73" s="490">
        <f>'1.Informe Seguimiento POA 2022'!O29</f>
        <v>45</v>
      </c>
      <c r="G73" s="490">
        <f>'1.Informe Seguimiento POA 2022'!O29</f>
        <v>45</v>
      </c>
      <c r="H73" s="490">
        <f>'1.Informe Seguimiento POA 2022'!P29</f>
        <v>88</v>
      </c>
      <c r="I73" s="490">
        <f>'1.Informe Seguimiento POA 2022'!P29</f>
        <v>88</v>
      </c>
      <c r="J73" s="490">
        <f t="shared" si="94"/>
        <v>88</v>
      </c>
      <c r="K73" s="479">
        <f t="shared" si="85"/>
        <v>1.9555555555555555</v>
      </c>
      <c r="L73" s="479">
        <f t="shared" si="108"/>
        <v>1.9555555555555555</v>
      </c>
      <c r="M73" s="479">
        <f t="shared" si="86"/>
        <v>0.42307692307692307</v>
      </c>
      <c r="N73" s="490">
        <f t="shared" si="95"/>
        <v>208</v>
      </c>
      <c r="O73" s="478">
        <f>+'1.Informe Seguimiento POA 2022'!Q29</f>
        <v>64</v>
      </c>
      <c r="P73" s="490">
        <f t="shared" si="96"/>
        <v>109</v>
      </c>
      <c r="Q73" s="478">
        <f>'1.Informe Seguimiento POA 2022'!R29</f>
        <v>0</v>
      </c>
      <c r="R73" s="478">
        <f>+'1.Informe Seguimiento POA 2022'!P29+'1.Informe Seguimiento POA 2022'!R29</f>
        <v>88</v>
      </c>
      <c r="S73" s="490">
        <f t="shared" si="97"/>
        <v>88</v>
      </c>
      <c r="T73" s="479">
        <f t="shared" si="87"/>
        <v>0</v>
      </c>
      <c r="U73" s="479">
        <f t="shared" si="109"/>
        <v>0.80733944954128445</v>
      </c>
      <c r="V73" s="479">
        <f t="shared" si="115"/>
        <v>0.42307692307692307</v>
      </c>
      <c r="W73" s="490">
        <f t="shared" si="98"/>
        <v>208</v>
      </c>
      <c r="X73" s="478">
        <f>+'1.Informe Seguimiento POA 2022'!S29</f>
        <v>57</v>
      </c>
      <c r="Y73" s="478">
        <f>+'1.Informe Seguimiento POA 2022'!O29+'1.Informe Seguimiento POA 2022'!Q29+'1.Informe Seguimiento POA 2022'!S29</f>
        <v>166</v>
      </c>
      <c r="Z73" s="478">
        <f>+'1.Informe Seguimiento POA 2022'!T29</f>
        <v>0</v>
      </c>
      <c r="AA73" s="478">
        <f>+'1.Informe Seguimiento POA 2022'!R29+'1.Informe Seguimiento POA 2022'!T29+'1.Informe Seguimiento POA 2022'!P29</f>
        <v>88</v>
      </c>
      <c r="AB73" s="1083">
        <f t="shared" si="99"/>
        <v>88</v>
      </c>
      <c r="AC73" s="479">
        <f t="shared" si="89"/>
        <v>0</v>
      </c>
      <c r="AD73" s="479">
        <f t="shared" si="111"/>
        <v>0.53012048192771088</v>
      </c>
      <c r="AE73" s="479">
        <f t="shared" si="116"/>
        <v>0.42307692307692307</v>
      </c>
      <c r="AF73" s="490">
        <f t="shared" si="100"/>
        <v>208</v>
      </c>
      <c r="AG73" s="490">
        <f>+'1.Informe Seguimiento POA 2022'!U29</f>
        <v>42</v>
      </c>
      <c r="AH73" s="490">
        <f>+'1.Informe Seguimiento POA 2022'!O29+'1.Informe Seguimiento POA 2022'!Q29+'1.Informe Seguimiento POA 2022'!S29+'1.Informe Seguimiento POA 2022'!U29</f>
        <v>208</v>
      </c>
      <c r="AI73" s="490">
        <f>+'1.Informe Seguimiento POA 2022'!V29</f>
        <v>0</v>
      </c>
      <c r="AJ73" s="490">
        <f>+'1.Informe Seguimiento POA 2022'!P29+'1.Informe Seguimiento POA 2022'!R29+'1.Informe Seguimiento POA 2022'!T29+'1.Informe Seguimiento POA 2022'!V29</f>
        <v>88</v>
      </c>
      <c r="AK73" s="490">
        <f t="shared" si="101"/>
        <v>88</v>
      </c>
      <c r="AL73" s="479">
        <f t="shared" si="91"/>
        <v>0</v>
      </c>
      <c r="AM73" s="479">
        <f t="shared" si="113"/>
        <v>0.42307692307692307</v>
      </c>
      <c r="AN73" s="479">
        <f t="shared" si="117"/>
        <v>0.42307692307692307</v>
      </c>
      <c r="AO73" s="483" t="str">
        <f>+'Rango indicadores'!H38</f>
        <v>Mayor A:</v>
      </c>
      <c r="AP73" s="478">
        <f>+'Rango indicadores'!I38</f>
        <v>85</v>
      </c>
      <c r="AQ73" s="478" t="str">
        <f>+'Rango indicadores'!J38</f>
        <v>Desde (&gt;=):</v>
      </c>
      <c r="AR73" s="478">
        <f>+'Rango indicadores'!K38</f>
        <v>80</v>
      </c>
      <c r="AS73" s="478" t="str">
        <f>+'Rango indicadores'!L38</f>
        <v>Hasta (&lt;=):</v>
      </c>
      <c r="AT73" s="478">
        <f>+'Rango indicadores'!M38</f>
        <v>85</v>
      </c>
      <c r="AU73" s="478" t="str">
        <f>+'Rango indicadores'!N38</f>
        <v>Menor A:</v>
      </c>
      <c r="AV73" s="478">
        <f>+'Rango indicadores'!O38</f>
        <v>80</v>
      </c>
      <c r="AW73" s="574" t="s">
        <v>1231</v>
      </c>
      <c r="AX73" s="656"/>
      <c r="AY73" s="656">
        <f t="shared" si="102"/>
        <v>-43</v>
      </c>
      <c r="AZ73" s="656"/>
      <c r="BA73" s="491"/>
    </row>
    <row r="74" spans="2:53" ht="43.95" customHeight="1">
      <c r="B74" s="475">
        <f t="shared" si="107"/>
        <v>38</v>
      </c>
      <c r="C74" s="476" t="str">
        <f>+'Rango indicadores'!D39</f>
        <v>05-RI-18</v>
      </c>
      <c r="D74" s="476" t="str">
        <f>+'Rango indicadores'!E39</f>
        <v>Actividades de acercamiento de la Entidad a la comunidad realizadas</v>
      </c>
      <c r="E74" s="490">
        <f>+'Rango indicadores'!Q39</f>
        <v>8</v>
      </c>
      <c r="F74" s="490">
        <f>'1.Informe Seguimiento POA 2022'!O30</f>
        <v>0</v>
      </c>
      <c r="G74" s="490">
        <f>'1.Informe Seguimiento POA 2022'!O30</f>
        <v>0</v>
      </c>
      <c r="H74" s="490">
        <f>'1.Informe Seguimiento POA 2022'!P30</f>
        <v>0</v>
      </c>
      <c r="I74" s="490">
        <f>'1.Informe Seguimiento POA 2022'!P30</f>
        <v>0</v>
      </c>
      <c r="J74" s="490">
        <f t="shared" si="94"/>
        <v>0</v>
      </c>
      <c r="K74" s="492" t="str">
        <f t="shared" si="85"/>
        <v>No programado</v>
      </c>
      <c r="L74" s="492" t="str">
        <f t="shared" si="108"/>
        <v>No programado</v>
      </c>
      <c r="M74" s="479">
        <f t="shared" si="86"/>
        <v>0</v>
      </c>
      <c r="N74" s="490">
        <f t="shared" si="95"/>
        <v>8</v>
      </c>
      <c r="O74" s="478">
        <f>+'1.Informe Seguimiento POA 2022'!Q30</f>
        <v>2</v>
      </c>
      <c r="P74" s="490">
        <f t="shared" si="96"/>
        <v>2</v>
      </c>
      <c r="Q74" s="478">
        <f>'1.Informe Seguimiento POA 2022'!R30</f>
        <v>0</v>
      </c>
      <c r="R74" s="478">
        <f>+'1.Informe Seguimiento POA 2022'!P30+'1.Informe Seguimiento POA 2022'!R30</f>
        <v>0</v>
      </c>
      <c r="S74" s="490">
        <f t="shared" si="97"/>
        <v>0</v>
      </c>
      <c r="T74" s="492">
        <f t="shared" si="87"/>
        <v>0</v>
      </c>
      <c r="U74" s="492">
        <f t="shared" si="109"/>
        <v>0</v>
      </c>
      <c r="V74" s="479">
        <f t="shared" si="115"/>
        <v>0</v>
      </c>
      <c r="W74" s="490">
        <f t="shared" si="98"/>
        <v>8</v>
      </c>
      <c r="X74" s="478">
        <f>+'1.Informe Seguimiento POA 2022'!S30</f>
        <v>5</v>
      </c>
      <c r="Y74" s="478">
        <f>+'1.Informe Seguimiento POA 2022'!O30+'1.Informe Seguimiento POA 2022'!Q30+'1.Informe Seguimiento POA 2022'!S30</f>
        <v>7</v>
      </c>
      <c r="Z74" s="478">
        <f>+'1.Informe Seguimiento POA 2022'!T30</f>
        <v>0</v>
      </c>
      <c r="AA74" s="478">
        <f>+'1.Informe Seguimiento POA 2022'!R30+'1.Informe Seguimiento POA 2022'!T30+'1.Informe Seguimiento POA 2022'!P30</f>
        <v>0</v>
      </c>
      <c r="AB74" s="1083">
        <f t="shared" si="99"/>
        <v>0</v>
      </c>
      <c r="AC74" s="492">
        <f t="shared" si="89"/>
        <v>0</v>
      </c>
      <c r="AD74" s="492">
        <f t="shared" si="111"/>
        <v>0</v>
      </c>
      <c r="AE74" s="479">
        <f t="shared" si="116"/>
        <v>0</v>
      </c>
      <c r="AF74" s="490">
        <f t="shared" si="100"/>
        <v>8</v>
      </c>
      <c r="AG74" s="490">
        <f>+'1.Informe Seguimiento POA 2022'!U30</f>
        <v>1</v>
      </c>
      <c r="AH74" s="490">
        <f>+'1.Informe Seguimiento POA 2022'!O30+'1.Informe Seguimiento POA 2022'!Q30+'1.Informe Seguimiento POA 2022'!S30+'1.Informe Seguimiento POA 2022'!U30</f>
        <v>8</v>
      </c>
      <c r="AI74" s="490">
        <f>+'1.Informe Seguimiento POA 2022'!V30</f>
        <v>0</v>
      </c>
      <c r="AJ74" s="490">
        <f>+'1.Informe Seguimiento POA 2022'!P30+'1.Informe Seguimiento POA 2022'!R30+'1.Informe Seguimiento POA 2022'!T30+'1.Informe Seguimiento POA 2022'!V30</f>
        <v>0</v>
      </c>
      <c r="AK74" s="490">
        <f t="shared" si="101"/>
        <v>0</v>
      </c>
      <c r="AL74" s="492">
        <f t="shared" si="91"/>
        <v>0</v>
      </c>
      <c r="AM74" s="492">
        <f t="shared" si="113"/>
        <v>0</v>
      </c>
      <c r="AN74" s="479">
        <f t="shared" si="117"/>
        <v>0</v>
      </c>
      <c r="AO74" s="483" t="str">
        <f>+'Rango indicadores'!H39</f>
        <v>Mayor A:</v>
      </c>
      <c r="AP74" s="478">
        <f>+'Rango indicadores'!I39</f>
        <v>85</v>
      </c>
      <c r="AQ74" s="478" t="str">
        <f>+'Rango indicadores'!J39</f>
        <v>Desde (&gt;=):</v>
      </c>
      <c r="AR74" s="478">
        <f>+'Rango indicadores'!K39</f>
        <v>80</v>
      </c>
      <c r="AS74" s="478" t="str">
        <f>+'Rango indicadores'!L39</f>
        <v>Hasta (&lt;=):</v>
      </c>
      <c r="AT74" s="478">
        <f>+'Rango indicadores'!M39</f>
        <v>85</v>
      </c>
      <c r="AU74" s="478" t="str">
        <f>+'Rango indicadores'!N39</f>
        <v>Menor A:</v>
      </c>
      <c r="AV74" s="478">
        <f>+'Rango indicadores'!O39</f>
        <v>80</v>
      </c>
      <c r="AW74" s="582" t="s">
        <v>1174</v>
      </c>
      <c r="AX74" s="656"/>
      <c r="AY74" s="656">
        <f t="shared" si="102"/>
        <v>0</v>
      </c>
      <c r="AZ74" s="656"/>
      <c r="BA74" s="491"/>
    </row>
    <row r="75" spans="2:53" ht="43.95" customHeight="1">
      <c r="B75" s="475">
        <f t="shared" si="107"/>
        <v>39</v>
      </c>
      <c r="C75" s="476" t="str">
        <f>+'Rango indicadores'!D40</f>
        <v>05-RI-19</v>
      </c>
      <c r="D75" s="476" t="str">
        <f>+'Rango indicadores'!E40</f>
        <v>Acciones realizadas para incrementar la cobertura de los servicios</v>
      </c>
      <c r="E75" s="490">
        <f>+'Rango indicadores'!Q40</f>
        <v>3</v>
      </c>
      <c r="F75" s="490">
        <f>'1.Informe Seguimiento POA 2022'!O31</f>
        <v>0</v>
      </c>
      <c r="G75" s="490">
        <f>'1.Informe Seguimiento POA 2022'!O31</f>
        <v>0</v>
      </c>
      <c r="H75" s="490">
        <f>'1.Informe Seguimiento POA 2022'!P31</f>
        <v>0</v>
      </c>
      <c r="I75" s="490">
        <f>'1.Informe Seguimiento POA 2022'!P31</f>
        <v>0</v>
      </c>
      <c r="J75" s="490">
        <f t="shared" si="94"/>
        <v>0</v>
      </c>
      <c r="K75" s="492" t="str">
        <f t="shared" si="85"/>
        <v>No programado</v>
      </c>
      <c r="L75" s="492" t="str">
        <f t="shared" si="108"/>
        <v>No programado</v>
      </c>
      <c r="M75" s="479">
        <f t="shared" si="86"/>
        <v>0</v>
      </c>
      <c r="N75" s="490">
        <f t="shared" si="95"/>
        <v>3</v>
      </c>
      <c r="O75" s="478">
        <f>+'1.Informe Seguimiento POA 2022'!Q31</f>
        <v>0</v>
      </c>
      <c r="P75" s="490">
        <f t="shared" si="96"/>
        <v>0</v>
      </c>
      <c r="Q75" s="478">
        <f>'1.Informe Seguimiento POA 2022'!R31</f>
        <v>0</v>
      </c>
      <c r="R75" s="478">
        <f>+'1.Informe Seguimiento POA 2022'!P31+'1.Informe Seguimiento POA 2022'!R31</f>
        <v>0</v>
      </c>
      <c r="S75" s="490">
        <f t="shared" si="97"/>
        <v>0</v>
      </c>
      <c r="T75" s="492" t="str">
        <f t="shared" si="87"/>
        <v>No programado</v>
      </c>
      <c r="U75" s="492" t="str">
        <f t="shared" si="109"/>
        <v>No programado</v>
      </c>
      <c r="V75" s="479">
        <f t="shared" si="115"/>
        <v>0</v>
      </c>
      <c r="W75" s="490">
        <f t="shared" si="98"/>
        <v>3</v>
      </c>
      <c r="X75" s="478">
        <f>+'1.Informe Seguimiento POA 2022'!S31</f>
        <v>3</v>
      </c>
      <c r="Y75" s="478">
        <f>+'1.Informe Seguimiento POA 2022'!O31+'1.Informe Seguimiento POA 2022'!Q31+'1.Informe Seguimiento POA 2022'!S31</f>
        <v>3</v>
      </c>
      <c r="Z75" s="478">
        <f>+'1.Informe Seguimiento POA 2022'!T31</f>
        <v>0</v>
      </c>
      <c r="AA75" s="478">
        <f>+'1.Informe Seguimiento POA 2022'!R31+'1.Informe Seguimiento POA 2022'!T31+'1.Informe Seguimiento POA 2022'!P31</f>
        <v>0</v>
      </c>
      <c r="AB75" s="1083">
        <f t="shared" si="99"/>
        <v>0</v>
      </c>
      <c r="AC75" s="492">
        <f t="shared" si="89"/>
        <v>0</v>
      </c>
      <c r="AD75" s="492">
        <f t="shared" si="111"/>
        <v>0</v>
      </c>
      <c r="AE75" s="479">
        <f t="shared" si="116"/>
        <v>0</v>
      </c>
      <c r="AF75" s="490">
        <f t="shared" si="100"/>
        <v>3</v>
      </c>
      <c r="AG75" s="490">
        <f>+'1.Informe Seguimiento POA 2022'!U31</f>
        <v>0</v>
      </c>
      <c r="AH75" s="490">
        <f>+'1.Informe Seguimiento POA 2022'!O31+'1.Informe Seguimiento POA 2022'!Q31+'1.Informe Seguimiento POA 2022'!S31+'1.Informe Seguimiento POA 2022'!U31</f>
        <v>3</v>
      </c>
      <c r="AI75" s="490">
        <f>+'1.Informe Seguimiento POA 2022'!V31</f>
        <v>0</v>
      </c>
      <c r="AJ75" s="490">
        <f>+'1.Informe Seguimiento POA 2022'!P31+'1.Informe Seguimiento POA 2022'!R31+'1.Informe Seguimiento POA 2022'!T31+'1.Informe Seguimiento POA 2022'!V31</f>
        <v>0</v>
      </c>
      <c r="AK75" s="490">
        <f t="shared" si="101"/>
        <v>0</v>
      </c>
      <c r="AL75" s="492" t="str">
        <f t="shared" si="91"/>
        <v>No programado</v>
      </c>
      <c r="AM75" s="492">
        <f t="shared" si="113"/>
        <v>0</v>
      </c>
      <c r="AN75" s="479">
        <f t="shared" si="117"/>
        <v>0</v>
      </c>
      <c r="AO75" s="483" t="str">
        <f>+'Rango indicadores'!H40</f>
        <v>Mayor A:</v>
      </c>
      <c r="AP75" s="478">
        <f>+'Rango indicadores'!I40</f>
        <v>85</v>
      </c>
      <c r="AQ75" s="478" t="str">
        <f>+'Rango indicadores'!J40</f>
        <v>Desde (&gt;=):</v>
      </c>
      <c r="AR75" s="478">
        <f>+'Rango indicadores'!K40</f>
        <v>80</v>
      </c>
      <c r="AS75" s="478" t="str">
        <f>+'Rango indicadores'!L40</f>
        <v>Hasta (&lt;=):</v>
      </c>
      <c r="AT75" s="478">
        <f>+'Rango indicadores'!M40</f>
        <v>85</v>
      </c>
      <c r="AU75" s="478" t="str">
        <f>+'Rango indicadores'!N40</f>
        <v>Menor A:</v>
      </c>
      <c r="AV75" s="478">
        <f>+'Rango indicadores'!O40</f>
        <v>80</v>
      </c>
      <c r="AW75" s="582" t="s">
        <v>1189</v>
      </c>
      <c r="AX75" s="656"/>
      <c r="AY75" s="656">
        <f t="shared" si="102"/>
        <v>0</v>
      </c>
      <c r="AZ75" s="656"/>
      <c r="BA75" s="491"/>
    </row>
    <row r="76" spans="2:53" ht="43.95" customHeight="1">
      <c r="B76" s="475">
        <f t="shared" si="107"/>
        <v>40</v>
      </c>
      <c r="C76" s="476" t="str">
        <f>+'Rango indicadores'!D41</f>
        <v>05-RI-20</v>
      </c>
      <c r="D76" s="476" t="str">
        <f>+'Rango indicadores'!E41</f>
        <v>Herramientas de promoción y prevención a infracciones del Derecho Internacional Humanitario implementadas</v>
      </c>
      <c r="E76" s="490">
        <f>+'Rango indicadores'!Q41</f>
        <v>1</v>
      </c>
      <c r="F76" s="490">
        <f>'1.Informe Seguimiento POA 2022'!O32</f>
        <v>0</v>
      </c>
      <c r="G76" s="490">
        <f>'1.Informe Seguimiento POA 2022'!O32</f>
        <v>0</v>
      </c>
      <c r="H76" s="490">
        <f>'1.Informe Seguimiento POA 2022'!P32</f>
        <v>0</v>
      </c>
      <c r="I76" s="490">
        <f>'1.Informe Seguimiento POA 2022'!P32</f>
        <v>0</v>
      </c>
      <c r="J76" s="490">
        <f t="shared" si="94"/>
        <v>0</v>
      </c>
      <c r="K76" s="492" t="str">
        <f t="shared" si="85"/>
        <v>No programado</v>
      </c>
      <c r="L76" s="492" t="str">
        <f t="shared" si="108"/>
        <v>No programado</v>
      </c>
      <c r="M76" s="479">
        <f t="shared" si="86"/>
        <v>0</v>
      </c>
      <c r="N76" s="490">
        <f t="shared" si="95"/>
        <v>1</v>
      </c>
      <c r="O76" s="478">
        <f>+'1.Informe Seguimiento POA 2022'!Q32</f>
        <v>0</v>
      </c>
      <c r="P76" s="490">
        <f t="shared" si="96"/>
        <v>0</v>
      </c>
      <c r="Q76" s="478">
        <f>'1.Informe Seguimiento POA 2022'!R32</f>
        <v>0</v>
      </c>
      <c r="R76" s="478">
        <f>+'1.Informe Seguimiento POA 2022'!P32+'1.Informe Seguimiento POA 2022'!R32</f>
        <v>0</v>
      </c>
      <c r="S76" s="490">
        <f t="shared" si="97"/>
        <v>0</v>
      </c>
      <c r="T76" s="492" t="str">
        <f t="shared" si="87"/>
        <v>No programado</v>
      </c>
      <c r="U76" s="492" t="str">
        <f t="shared" si="109"/>
        <v>No programado</v>
      </c>
      <c r="V76" s="479">
        <f t="shared" si="115"/>
        <v>0</v>
      </c>
      <c r="W76" s="490">
        <f t="shared" si="98"/>
        <v>1</v>
      </c>
      <c r="X76" s="478">
        <f>+'1.Informe Seguimiento POA 2022'!S32</f>
        <v>0</v>
      </c>
      <c r="Y76" s="478">
        <f>+'1.Informe Seguimiento POA 2022'!O32+'1.Informe Seguimiento POA 2022'!Q32+'1.Informe Seguimiento POA 2022'!S32</f>
        <v>0</v>
      </c>
      <c r="Z76" s="478">
        <f>+'1.Informe Seguimiento POA 2022'!T32</f>
        <v>0</v>
      </c>
      <c r="AA76" s="478">
        <f>+'1.Informe Seguimiento POA 2022'!R32+'1.Informe Seguimiento POA 2022'!T32+'1.Informe Seguimiento POA 2022'!P32</f>
        <v>0</v>
      </c>
      <c r="AB76" s="1083">
        <f t="shared" si="99"/>
        <v>0</v>
      </c>
      <c r="AC76" s="492" t="str">
        <f t="shared" si="89"/>
        <v>No programado</v>
      </c>
      <c r="AD76" s="492" t="str">
        <f t="shared" si="111"/>
        <v>No programado</v>
      </c>
      <c r="AE76" s="479">
        <f t="shared" si="116"/>
        <v>0</v>
      </c>
      <c r="AF76" s="490">
        <f t="shared" si="100"/>
        <v>1</v>
      </c>
      <c r="AG76" s="490">
        <f>+'1.Informe Seguimiento POA 2022'!U32</f>
        <v>1</v>
      </c>
      <c r="AH76" s="490">
        <f>+'1.Informe Seguimiento POA 2022'!O32+'1.Informe Seguimiento POA 2022'!Q32+'1.Informe Seguimiento POA 2022'!S32+'1.Informe Seguimiento POA 2022'!U32</f>
        <v>1</v>
      </c>
      <c r="AI76" s="490">
        <f>+'1.Informe Seguimiento POA 2022'!V32</f>
        <v>0</v>
      </c>
      <c r="AJ76" s="490">
        <f>+'1.Informe Seguimiento POA 2022'!P32+'1.Informe Seguimiento POA 2022'!R32+'1.Informe Seguimiento POA 2022'!T32+'1.Informe Seguimiento POA 2022'!V32</f>
        <v>0</v>
      </c>
      <c r="AK76" s="490">
        <f t="shared" si="101"/>
        <v>0</v>
      </c>
      <c r="AL76" s="492">
        <f t="shared" si="91"/>
        <v>0</v>
      </c>
      <c r="AM76" s="492">
        <f t="shared" si="113"/>
        <v>0</v>
      </c>
      <c r="AN76" s="479">
        <f t="shared" si="117"/>
        <v>0</v>
      </c>
      <c r="AO76" s="483" t="str">
        <f>+'Rango indicadores'!H41</f>
        <v>Mayor A:</v>
      </c>
      <c r="AP76" s="478">
        <f>+'Rango indicadores'!I41</f>
        <v>85</v>
      </c>
      <c r="AQ76" s="478" t="str">
        <f>+'Rango indicadores'!J41</f>
        <v>Desde (&gt;=):</v>
      </c>
      <c r="AR76" s="478">
        <f>+'Rango indicadores'!K41</f>
        <v>80</v>
      </c>
      <c r="AS76" s="478" t="str">
        <f>+'Rango indicadores'!L41</f>
        <v>Hasta (&lt;=):</v>
      </c>
      <c r="AT76" s="478">
        <f>+'Rango indicadores'!M41</f>
        <v>85</v>
      </c>
      <c r="AU76" s="478" t="str">
        <f>+'Rango indicadores'!N41</f>
        <v>Menor A:</v>
      </c>
      <c r="AV76" s="478">
        <f>+'Rango indicadores'!O41</f>
        <v>80</v>
      </c>
      <c r="AW76" s="582" t="s">
        <v>1190</v>
      </c>
      <c r="AX76" s="656"/>
      <c r="AY76" s="656">
        <f t="shared" si="102"/>
        <v>0</v>
      </c>
      <c r="AZ76" s="656"/>
      <c r="BA76" s="491"/>
    </row>
    <row r="77" spans="2:53" ht="15.6">
      <c r="C77" s="1474" t="s">
        <v>873</v>
      </c>
      <c r="D77" s="1475"/>
      <c r="E77" s="1475"/>
      <c r="F77" s="1475"/>
      <c r="G77" s="1475"/>
      <c r="H77" s="1475"/>
      <c r="I77" s="1475"/>
      <c r="J77" s="1475"/>
      <c r="K77" s="481">
        <f>IFERROR(AVERAGE(K57:K76),0)</f>
        <v>1.3512123931140376</v>
      </c>
      <c r="L77" s="481">
        <f>IFERROR(AVERAGE(L57:L76),0)</f>
        <v>1.3512123931140376</v>
      </c>
      <c r="M77" s="481">
        <f>IFERROR(AVERAGE(M57:M76),0)</f>
        <v>0.22424580472203703</v>
      </c>
      <c r="N77" s="1085"/>
      <c r="O77" s="1085"/>
      <c r="P77" s="1085"/>
      <c r="Q77" s="1085"/>
      <c r="R77" s="1085"/>
      <c r="S77" s="1085"/>
      <c r="T77" s="481">
        <f>IFERROR(AVERAGE(T57:T76),0)</f>
        <v>0</v>
      </c>
      <c r="U77" s="481">
        <f>IFERROR(AVERAGE(U57:U76),0)</f>
        <v>0.51809589686200108</v>
      </c>
      <c r="V77" s="481">
        <f>IFERROR(AVERAGE(V57:V76),0)</f>
        <v>0.23809622023450236</v>
      </c>
      <c r="W77" s="1085"/>
      <c r="X77" s="1085"/>
      <c r="Y77" s="1085"/>
      <c r="Z77" s="1085"/>
      <c r="AA77" s="1085"/>
      <c r="AB77" s="1085"/>
      <c r="AC77" s="481">
        <f>IFERROR(AVERAGE(AC57:AC76),0)</f>
        <v>0</v>
      </c>
      <c r="AD77" s="481">
        <f>IFERROR(AVERAGE(AD57:AD76),0)</f>
        <v>0.31407964878567507</v>
      </c>
      <c r="AE77" s="481">
        <f>IFERROR(AVERAGE(AE57:AE76),0)</f>
        <v>0.22884414267217554</v>
      </c>
      <c r="AF77" s="1085"/>
      <c r="AG77" s="1085"/>
      <c r="AH77" s="1085"/>
      <c r="AI77" s="1085"/>
      <c r="AJ77" s="1085"/>
      <c r="AK77" s="1086"/>
      <c r="AL77" s="481">
        <f>IFERROR(AVERAGE(AL57:AL76),0)</f>
        <v>0</v>
      </c>
      <c r="AM77" s="481">
        <f>IFERROR(AVERAGE(AM57:AM76),0)</f>
        <v>0.22424580472203703</v>
      </c>
      <c r="AN77" s="481">
        <f>IFERROR(AVERAGE(AN57:AN76),0)</f>
        <v>0.22424580472203703</v>
      </c>
      <c r="AO77" s="488"/>
      <c r="AP77" s="488"/>
      <c r="AQ77" s="488"/>
      <c r="AR77" s="488"/>
      <c r="AS77" s="488"/>
      <c r="AT77" s="488"/>
      <c r="AU77" s="488"/>
      <c r="AV77" s="488"/>
      <c r="AW77" s="583"/>
    </row>
    <row r="78" spans="2:53" s="471" customFormat="1" ht="24" customHeight="1" thickBot="1">
      <c r="D78" s="473"/>
      <c r="AW78" s="473"/>
    </row>
    <row r="79" spans="2:53" s="471" customFormat="1" ht="16.2" thickBot="1">
      <c r="C79" s="474" t="s">
        <v>879</v>
      </c>
      <c r="D79" s="504"/>
      <c r="E79" s="1446" t="s">
        <v>1144</v>
      </c>
      <c r="F79" s="1447"/>
      <c r="G79" s="1447"/>
      <c r="H79" s="1447"/>
      <c r="I79" s="1447"/>
      <c r="J79" s="1447"/>
      <c r="K79" s="1447"/>
      <c r="L79" s="1447"/>
      <c r="M79" s="1448"/>
      <c r="N79" s="1449" t="s">
        <v>1145</v>
      </c>
      <c r="O79" s="1450"/>
      <c r="P79" s="1450"/>
      <c r="Q79" s="1450"/>
      <c r="R79" s="1450"/>
      <c r="S79" s="1450"/>
      <c r="T79" s="1450"/>
      <c r="U79" s="1450"/>
      <c r="V79" s="1451"/>
      <c r="W79" s="1443" t="s">
        <v>1146</v>
      </c>
      <c r="X79" s="1444"/>
      <c r="Y79" s="1444"/>
      <c r="Z79" s="1444"/>
      <c r="AA79" s="1444"/>
      <c r="AB79" s="1444"/>
      <c r="AC79" s="1444"/>
      <c r="AD79" s="1444"/>
      <c r="AE79" s="1445"/>
      <c r="AF79" s="1449" t="s">
        <v>1056</v>
      </c>
      <c r="AG79" s="1450"/>
      <c r="AH79" s="1450"/>
      <c r="AI79" s="1450"/>
      <c r="AJ79" s="1450"/>
      <c r="AK79" s="1450"/>
      <c r="AL79" s="1450"/>
      <c r="AM79" s="1450"/>
      <c r="AN79" s="1451"/>
      <c r="AW79" s="473"/>
    </row>
    <row r="80" spans="2:53" ht="22.2" customHeight="1">
      <c r="C80" s="1440" t="str">
        <f>+$C$10</f>
        <v>Identifificación del Indicador</v>
      </c>
      <c r="D80" s="1460" t="s">
        <v>868</v>
      </c>
      <c r="E80" s="1436" t="s">
        <v>869</v>
      </c>
      <c r="F80" s="1437"/>
      <c r="G80" s="1438"/>
      <c r="H80" s="1439" t="s">
        <v>1148</v>
      </c>
      <c r="I80" s="1441" t="s">
        <v>1152</v>
      </c>
      <c r="J80" s="1439" t="s">
        <v>870</v>
      </c>
      <c r="K80" s="1439" t="s">
        <v>864</v>
      </c>
      <c r="L80" s="1439"/>
      <c r="M80" s="1439"/>
      <c r="N80" s="1436" t="s">
        <v>869</v>
      </c>
      <c r="O80" s="1437"/>
      <c r="P80" s="1438"/>
      <c r="Q80" s="1439" t="s">
        <v>1158</v>
      </c>
      <c r="R80" s="1441" t="s">
        <v>1149</v>
      </c>
      <c r="S80" s="1439" t="s">
        <v>870</v>
      </c>
      <c r="T80" s="1439" t="s">
        <v>864</v>
      </c>
      <c r="U80" s="1439"/>
      <c r="V80" s="1439"/>
      <c r="W80" s="1436" t="s">
        <v>869</v>
      </c>
      <c r="X80" s="1437"/>
      <c r="Y80" s="1438"/>
      <c r="Z80" s="1439" t="s">
        <v>1159</v>
      </c>
      <c r="AA80" s="1441" t="s">
        <v>1154</v>
      </c>
      <c r="AB80" s="1439" t="s">
        <v>870</v>
      </c>
      <c r="AC80" s="1439" t="s">
        <v>864</v>
      </c>
      <c r="AD80" s="1439"/>
      <c r="AE80" s="1439"/>
      <c r="AF80" s="1436" t="s">
        <v>869</v>
      </c>
      <c r="AG80" s="1437"/>
      <c r="AH80" s="1438"/>
      <c r="AI80" s="1439" t="s">
        <v>1160</v>
      </c>
      <c r="AJ80" s="1441" t="s">
        <v>1156</v>
      </c>
      <c r="AK80" s="1439" t="s">
        <v>870</v>
      </c>
      <c r="AL80" s="1439" t="s">
        <v>864</v>
      </c>
      <c r="AM80" s="1439"/>
      <c r="AN80" s="1439"/>
      <c r="AO80" s="1452" t="s">
        <v>716</v>
      </c>
      <c r="AP80" s="1452"/>
      <c r="AQ80" s="1452"/>
      <c r="AR80" s="1452"/>
      <c r="AS80" s="1452"/>
      <c r="AT80" s="1452"/>
      <c r="AU80" s="1452"/>
      <c r="AV80" s="1452"/>
      <c r="AW80" s="1440" t="s">
        <v>890</v>
      </c>
    </row>
    <row r="81" spans="2:53" ht="45.6" customHeight="1">
      <c r="C81" s="1440"/>
      <c r="D81" s="1460"/>
      <c r="E81" s="1041" t="s">
        <v>1161</v>
      </c>
      <c r="F81" s="1041" t="str">
        <f>+E79</f>
        <v>Primer Trimestre</v>
      </c>
      <c r="G81" s="1042" t="s">
        <v>1151</v>
      </c>
      <c r="H81" s="1440"/>
      <c r="I81" s="1442"/>
      <c r="J81" s="1440"/>
      <c r="K81" s="1041" t="str">
        <f>+$D$6</f>
        <v>Primer Trimestre</v>
      </c>
      <c r="L81" s="1042" t="str">
        <f>+G81</f>
        <v>Acumulado
Corte 
31/03/2022</v>
      </c>
      <c r="M81" s="1043" t="s">
        <v>761</v>
      </c>
      <c r="N81" s="1041" t="s">
        <v>1161</v>
      </c>
      <c r="O81" s="1041" t="str">
        <f>+N79</f>
        <v>Segundo Trimestre</v>
      </c>
      <c r="P81" s="1042" t="s">
        <v>1150</v>
      </c>
      <c r="Q81" s="1440"/>
      <c r="R81" s="1442"/>
      <c r="S81" s="1440"/>
      <c r="T81" s="1041" t="str">
        <f>+O81</f>
        <v>Segundo Trimestre</v>
      </c>
      <c r="U81" s="1042" t="str">
        <f>+P81</f>
        <v>Acumulado Corte 
30/06/2022</v>
      </c>
      <c r="V81" s="1043" t="s">
        <v>761</v>
      </c>
      <c r="W81" s="1041" t="s">
        <v>1161</v>
      </c>
      <c r="X81" s="1041" t="str">
        <f>+W79</f>
        <v>Tercer Trimestre</v>
      </c>
      <c r="Y81" s="1042" t="s">
        <v>1153</v>
      </c>
      <c r="Z81" s="1440"/>
      <c r="AA81" s="1442"/>
      <c r="AB81" s="1440"/>
      <c r="AC81" s="1041" t="str">
        <f>+X81</f>
        <v>Tercer Trimestre</v>
      </c>
      <c r="AD81" s="1042" t="str">
        <f>+Y81</f>
        <v>Acumulado Corte 
30/09/2022</v>
      </c>
      <c r="AE81" s="1043" t="s">
        <v>761</v>
      </c>
      <c r="AF81" s="1041" t="s">
        <v>1161</v>
      </c>
      <c r="AG81" s="1041" t="str">
        <f>+AF79</f>
        <v>Cuarto Trimestre</v>
      </c>
      <c r="AH81" s="1042" t="s">
        <v>1155</v>
      </c>
      <c r="AI81" s="1440"/>
      <c r="AJ81" s="1442"/>
      <c r="AK81" s="1440"/>
      <c r="AL81" s="1041" t="str">
        <f>+AG81</f>
        <v>Cuarto Trimestre</v>
      </c>
      <c r="AM81" s="1042" t="str">
        <f>+AH81</f>
        <v>Acumulado Corte 
31/12/2022</v>
      </c>
      <c r="AN81" s="1043" t="s">
        <v>761</v>
      </c>
      <c r="AO81" s="1453" t="s">
        <v>871</v>
      </c>
      <c r="AP81" s="1454"/>
      <c r="AQ81" s="1455" t="s">
        <v>872</v>
      </c>
      <c r="AR81" s="1456"/>
      <c r="AS81" s="1456"/>
      <c r="AT81" s="1457"/>
      <c r="AU81" s="1458" t="s">
        <v>724</v>
      </c>
      <c r="AV81" s="1459"/>
      <c r="AW81" s="1440"/>
    </row>
    <row r="82" spans="2:53" ht="39.6" customHeight="1">
      <c r="B82" s="475">
        <f>B76+1</f>
        <v>41</v>
      </c>
      <c r="C82" s="476" t="str">
        <f>+'Rango indicadores'!D42</f>
        <v>06-RI-01</v>
      </c>
      <c r="D82" s="476" t="str">
        <f>+'Rango indicadores'!E42</f>
        <v>Informes realizados en temas específicos.</v>
      </c>
      <c r="E82" s="490">
        <f>+'Rango indicadores'!Q42</f>
        <v>7</v>
      </c>
      <c r="F82" s="490">
        <f>'1.Informe Seguimiento POA 2022'!O33</f>
        <v>0</v>
      </c>
      <c r="G82" s="490">
        <f>'1.Informe Seguimiento POA 2022'!O33</f>
        <v>0</v>
      </c>
      <c r="H82" s="490">
        <f>'1.Informe Seguimiento POA 2022'!P33</f>
        <v>0</v>
      </c>
      <c r="I82" s="490">
        <f>'1.Informe Seguimiento POA 2022'!P33</f>
        <v>0</v>
      </c>
      <c r="J82" s="490">
        <f t="shared" ref="J82:J88" si="118">I82</f>
        <v>0</v>
      </c>
      <c r="K82" s="515" t="str">
        <f t="shared" ref="K82:K88" si="119">IF(AND(F82&gt;0),H82/F82,"No programado")</f>
        <v>No programado</v>
      </c>
      <c r="L82" s="515" t="str">
        <f>IF(AND(G82&gt;0),I82/G82,"No programado")</f>
        <v>No programado</v>
      </c>
      <c r="M82" s="479">
        <f t="shared" ref="M82:M88" si="120">IF(AND(E82&gt;0,$J82&gt;0),J82/$E82,0)</f>
        <v>0</v>
      </c>
      <c r="N82" s="490">
        <f>+E82</f>
        <v>7</v>
      </c>
      <c r="O82" s="478">
        <f>+'1.Informe Seguimiento POA 2022'!Q33</f>
        <v>2</v>
      </c>
      <c r="P82" s="490">
        <f>G82+O82</f>
        <v>2</v>
      </c>
      <c r="Q82" s="478">
        <f>'1.Informe Seguimiento POA 2022'!R33</f>
        <v>0</v>
      </c>
      <c r="R82" s="478">
        <f>+'1.Informe Seguimiento POA 2022'!P33+'1.Informe Seguimiento POA 2022'!R33</f>
        <v>0</v>
      </c>
      <c r="S82" s="490">
        <f>H82+Q82</f>
        <v>0</v>
      </c>
      <c r="T82" s="515">
        <f t="shared" ref="T82:T88" si="121">IF(AND(O82&gt;0),Q82/O82,"No programado")</f>
        <v>0</v>
      </c>
      <c r="U82" s="515">
        <f>IF(AND(P82&gt;0),R82/P82,"No programado")</f>
        <v>0</v>
      </c>
      <c r="V82" s="479">
        <f t="shared" ref="V82:V88" si="122">IF(AND(N82&gt;0,$J82&gt;0),S82/$E82,0)</f>
        <v>0</v>
      </c>
      <c r="W82" s="490">
        <f>+N82</f>
        <v>7</v>
      </c>
      <c r="X82" s="478">
        <f>+'1.Informe Seguimiento POA 2022'!S33</f>
        <v>3</v>
      </c>
      <c r="Y82" s="478">
        <f>+'1.Informe Seguimiento POA 2022'!O33+'1.Informe Seguimiento POA 2022'!Q33+'1.Informe Seguimiento POA 2022'!S33</f>
        <v>5</v>
      </c>
      <c r="Z82" s="478">
        <f>+'1.Informe Seguimiento POA 2022'!T33</f>
        <v>0</v>
      </c>
      <c r="AA82" s="478">
        <f>+'1.Informe Seguimiento POA 2022'!R33+'1.Informe Seguimiento POA 2022'!T33+'1.Informe Seguimiento POA 2022'!P33</f>
        <v>0</v>
      </c>
      <c r="AB82" s="1083">
        <f t="shared" ref="AB82" si="123">H82+Q82+Z82</f>
        <v>0</v>
      </c>
      <c r="AC82" s="515">
        <f t="shared" ref="AC82:AC88" si="124">IF(AND(X82&gt;0),Z82/X82,"No programado")</f>
        <v>0</v>
      </c>
      <c r="AD82" s="515">
        <f>IF(AND(Y82&gt;0),AA82/Y82,"No programado")</f>
        <v>0</v>
      </c>
      <c r="AE82" s="479">
        <f t="shared" ref="AE82:AE88" si="125">IF(AND(W82&gt;0,$J82&gt;0),AB82/$E82,0)</f>
        <v>0</v>
      </c>
      <c r="AF82" s="490">
        <f>+W82</f>
        <v>7</v>
      </c>
      <c r="AG82" s="490">
        <f>+'1.Informe Seguimiento POA 2022'!U33</f>
        <v>2</v>
      </c>
      <c r="AH82" s="490">
        <f>+'1.Informe Seguimiento POA 2022'!O33+'1.Informe Seguimiento POA 2022'!Q33+'1.Informe Seguimiento POA 2022'!S33+'1.Informe Seguimiento POA 2022'!U33</f>
        <v>7</v>
      </c>
      <c r="AI82" s="490">
        <f>+'1.Informe Seguimiento POA 2022'!V33</f>
        <v>0</v>
      </c>
      <c r="AJ82" s="490">
        <f>+'1.Informe Seguimiento POA 2022'!P33+'1.Informe Seguimiento POA 2022'!R33+'1.Informe Seguimiento POA 2022'!T33+'1.Informe Seguimiento POA 2022'!V33</f>
        <v>0</v>
      </c>
      <c r="AK82" s="490">
        <f t="shared" ref="AK82" si="126">H82+Q82+Z82+AI82</f>
        <v>0</v>
      </c>
      <c r="AL82" s="515">
        <f t="shared" ref="AL82:AL88" si="127">IF(AND(AG82&gt;0),AI82/AG82,"No programado")</f>
        <v>0</v>
      </c>
      <c r="AM82" s="515">
        <f>IF(AND(AH82&gt;0),AJ82/AH82,"No programado")</f>
        <v>0</v>
      </c>
      <c r="AN82" s="479">
        <f t="shared" ref="AN82:AN88" si="128">IF(AND(AF82&gt;0,$J82&gt;0),AK82/$E82,0)</f>
        <v>0</v>
      </c>
      <c r="AO82" s="483" t="str">
        <f>+'Rango indicadores'!H42</f>
        <v>Mayor A:</v>
      </c>
      <c r="AP82" s="478">
        <f>+'Rango indicadores'!I42</f>
        <v>90</v>
      </c>
      <c r="AQ82" s="478" t="str">
        <f>+'Rango indicadores'!J42</f>
        <v>Desde (&gt;=):</v>
      </c>
      <c r="AR82" s="478">
        <f>+'Rango indicadores'!K42</f>
        <v>66</v>
      </c>
      <c r="AS82" s="478" t="str">
        <f>+'Rango indicadores'!L42</f>
        <v>Hasta (&lt;=):</v>
      </c>
      <c r="AT82" s="478">
        <f>+'Rango indicadores'!M42</f>
        <v>90</v>
      </c>
      <c r="AU82" s="478" t="str">
        <f>+'Rango indicadores'!N42</f>
        <v>Menor A:</v>
      </c>
      <c r="AV82" s="478">
        <f>+'Rango indicadores'!O42</f>
        <v>66</v>
      </c>
      <c r="AW82" s="582" t="s">
        <v>1174</v>
      </c>
      <c r="AY82" s="656">
        <f t="shared" ref="AY82:AY88" si="129">+F82-H82</f>
        <v>0</v>
      </c>
    </row>
    <row r="83" spans="2:53" ht="40.200000000000003" customHeight="1">
      <c r="B83" s="475">
        <f>+B82+1</f>
        <v>42</v>
      </c>
      <c r="C83" s="476" t="str">
        <f>+'Rango indicadores'!D43</f>
        <v>06-RI-02</v>
      </c>
      <c r="D83" s="476" t="str">
        <f>+'Rango indicadores'!E43</f>
        <v>Informes de seguimientos realizados en temas específicos.</v>
      </c>
      <c r="E83" s="490">
        <f>+'Rango indicadores'!Q43</f>
        <v>1</v>
      </c>
      <c r="F83" s="490">
        <f>'1.Informe Seguimiento POA 2022'!O34</f>
        <v>0</v>
      </c>
      <c r="G83" s="490">
        <f>'1.Informe Seguimiento POA 2022'!O34</f>
        <v>0</v>
      </c>
      <c r="H83" s="490">
        <f>'1.Informe Seguimiento POA 2022'!P34</f>
        <v>0</v>
      </c>
      <c r="I83" s="490">
        <f>'1.Informe Seguimiento POA 2022'!P34</f>
        <v>0</v>
      </c>
      <c r="J83" s="490">
        <f t="shared" si="118"/>
        <v>0</v>
      </c>
      <c r="K83" s="515" t="str">
        <f t="shared" si="119"/>
        <v>No programado</v>
      </c>
      <c r="L83" s="493" t="str">
        <f t="shared" ref="L83:L88" si="130">IF(AND(G83&gt;0),I83/G83,"No programado")</f>
        <v>No programado</v>
      </c>
      <c r="M83" s="479">
        <f t="shared" si="120"/>
        <v>0</v>
      </c>
      <c r="N83" s="490">
        <f t="shared" ref="N83:N88" si="131">+E83</f>
        <v>1</v>
      </c>
      <c r="O83" s="478">
        <f>+'1.Informe Seguimiento POA 2022'!Q34</f>
        <v>0</v>
      </c>
      <c r="P83" s="490">
        <f t="shared" ref="P83:P88" si="132">G83+O83</f>
        <v>0</v>
      </c>
      <c r="Q83" s="478">
        <f>'1.Informe Seguimiento POA 2022'!R34</f>
        <v>0</v>
      </c>
      <c r="R83" s="478">
        <f>+'1.Informe Seguimiento POA 2022'!P34+'1.Informe Seguimiento POA 2022'!R34</f>
        <v>0</v>
      </c>
      <c r="S83" s="490">
        <f t="shared" ref="S83:S88" si="133">H83+Q83</f>
        <v>0</v>
      </c>
      <c r="T83" s="515" t="str">
        <f t="shared" si="121"/>
        <v>No programado</v>
      </c>
      <c r="U83" s="493" t="str">
        <f t="shared" ref="U83:U88" si="134">IF(AND(P83&gt;0),R83/P83,"No programado")</f>
        <v>No programado</v>
      </c>
      <c r="V83" s="479">
        <f t="shared" si="122"/>
        <v>0</v>
      </c>
      <c r="W83" s="490">
        <f t="shared" ref="W83:W88" si="135">+N83</f>
        <v>1</v>
      </c>
      <c r="X83" s="478">
        <f>+'1.Informe Seguimiento POA 2022'!S34</f>
        <v>1</v>
      </c>
      <c r="Y83" s="478">
        <f>+'1.Informe Seguimiento POA 2022'!O34+'1.Informe Seguimiento POA 2022'!Q34+'1.Informe Seguimiento POA 2022'!S34</f>
        <v>1</v>
      </c>
      <c r="Z83" s="478">
        <f>+'1.Informe Seguimiento POA 2022'!T34</f>
        <v>0</v>
      </c>
      <c r="AA83" s="478">
        <f>+'1.Informe Seguimiento POA 2022'!R34+'1.Informe Seguimiento POA 2022'!T34+'1.Informe Seguimiento POA 2022'!P34</f>
        <v>0</v>
      </c>
      <c r="AB83" s="1083">
        <f t="shared" ref="AB83:AB88" si="136">H83+Q83+Z83</f>
        <v>0</v>
      </c>
      <c r="AC83" s="515">
        <f t="shared" si="124"/>
        <v>0</v>
      </c>
      <c r="AD83" s="493">
        <f t="shared" ref="AD83:AD88" si="137">IF(AND(Y83&gt;0),AA83/Y83,"No programado")</f>
        <v>0</v>
      </c>
      <c r="AE83" s="479">
        <f t="shared" si="125"/>
        <v>0</v>
      </c>
      <c r="AF83" s="490">
        <f t="shared" ref="AF83:AF88" si="138">+W83</f>
        <v>1</v>
      </c>
      <c r="AG83" s="490">
        <f>+'1.Informe Seguimiento POA 2022'!U34</f>
        <v>0</v>
      </c>
      <c r="AH83" s="490">
        <f>+'1.Informe Seguimiento POA 2022'!O34+'1.Informe Seguimiento POA 2022'!Q34+'1.Informe Seguimiento POA 2022'!S34+'1.Informe Seguimiento POA 2022'!U34</f>
        <v>1</v>
      </c>
      <c r="AI83" s="490">
        <f>+'1.Informe Seguimiento POA 2022'!V34</f>
        <v>0</v>
      </c>
      <c r="AJ83" s="490">
        <f>+'1.Informe Seguimiento POA 2022'!P34+'1.Informe Seguimiento POA 2022'!R34+'1.Informe Seguimiento POA 2022'!T34+'1.Informe Seguimiento POA 2022'!V34</f>
        <v>0</v>
      </c>
      <c r="AK83" s="490">
        <f t="shared" ref="AK83:AK88" si="139">H83+Q83+Z83+AI83</f>
        <v>0</v>
      </c>
      <c r="AL83" s="515" t="str">
        <f t="shared" si="127"/>
        <v>No programado</v>
      </c>
      <c r="AM83" s="493">
        <f t="shared" ref="AM83:AM88" si="140">IF(AND(AH83&gt;0),AJ83/AH83,"No programado")</f>
        <v>0</v>
      </c>
      <c r="AN83" s="479">
        <f t="shared" si="128"/>
        <v>0</v>
      </c>
      <c r="AO83" s="483" t="str">
        <f>+'Rango indicadores'!H43</f>
        <v>Mayor A:</v>
      </c>
      <c r="AP83" s="478">
        <f>+'Rango indicadores'!I43</f>
        <v>90</v>
      </c>
      <c r="AQ83" s="478" t="str">
        <f>+'Rango indicadores'!J43</f>
        <v>Desde (&gt;=):</v>
      </c>
      <c r="AR83" s="478">
        <f>+'Rango indicadores'!K43</f>
        <v>69</v>
      </c>
      <c r="AS83" s="478" t="str">
        <f>+'Rango indicadores'!L43</f>
        <v>Hasta (&lt;=):</v>
      </c>
      <c r="AT83" s="478">
        <f>+'Rango indicadores'!M43</f>
        <v>90</v>
      </c>
      <c r="AU83" s="478" t="str">
        <f>+'Rango indicadores'!N43</f>
        <v>Menor A:</v>
      </c>
      <c r="AV83" s="478">
        <f>+'Rango indicadores'!O43</f>
        <v>69</v>
      </c>
      <c r="AW83" s="582" t="s">
        <v>1189</v>
      </c>
      <c r="AX83" s="656"/>
      <c r="AY83" s="656">
        <f t="shared" si="129"/>
        <v>0</v>
      </c>
      <c r="AZ83" s="491"/>
      <c r="BA83" s="491"/>
    </row>
    <row r="84" spans="2:53" ht="124.2" customHeight="1">
      <c r="B84" s="475">
        <f>+B83+1</f>
        <v>43</v>
      </c>
      <c r="C84" s="476" t="str">
        <f>+'Rango indicadores'!D44</f>
        <v>06-RI-03</v>
      </c>
      <c r="D84" s="476" t="str">
        <f>+'Rango indicadores'!E44</f>
        <v>Acciones de Prevención y Control a la Función Pública realizadas, con informe.</v>
      </c>
      <c r="E84" s="490">
        <f>+'Rango indicadores'!Q44</f>
        <v>286</v>
      </c>
      <c r="F84" s="490">
        <f>'1.Informe Seguimiento POA 2022'!O35</f>
        <v>41</v>
      </c>
      <c r="G84" s="490">
        <f>'1.Informe Seguimiento POA 2022'!O35</f>
        <v>41</v>
      </c>
      <c r="H84" s="490">
        <f>'1.Informe Seguimiento POA 2022'!P35</f>
        <v>16</v>
      </c>
      <c r="I84" s="490">
        <f>'1.Informe Seguimiento POA 2022'!P35</f>
        <v>16</v>
      </c>
      <c r="J84" s="490">
        <f t="shared" si="118"/>
        <v>16</v>
      </c>
      <c r="K84" s="493">
        <f t="shared" si="119"/>
        <v>0.3902439024390244</v>
      </c>
      <c r="L84" s="493">
        <f t="shared" si="130"/>
        <v>0.3902439024390244</v>
      </c>
      <c r="M84" s="479">
        <f t="shared" si="120"/>
        <v>5.5944055944055944E-2</v>
      </c>
      <c r="N84" s="490">
        <f t="shared" si="131"/>
        <v>286</v>
      </c>
      <c r="O84" s="478">
        <f>+'1.Informe Seguimiento POA 2022'!Q35</f>
        <v>77</v>
      </c>
      <c r="P84" s="490">
        <f t="shared" si="132"/>
        <v>118</v>
      </c>
      <c r="Q84" s="478">
        <f>'1.Informe Seguimiento POA 2022'!R35</f>
        <v>0</v>
      </c>
      <c r="R84" s="478">
        <f>+'1.Informe Seguimiento POA 2022'!P35+'1.Informe Seguimiento POA 2022'!R35</f>
        <v>16</v>
      </c>
      <c r="S84" s="490">
        <f t="shared" si="133"/>
        <v>16</v>
      </c>
      <c r="T84" s="493">
        <f t="shared" si="121"/>
        <v>0</v>
      </c>
      <c r="U84" s="493">
        <f t="shared" si="134"/>
        <v>0.13559322033898305</v>
      </c>
      <c r="V84" s="479">
        <f t="shared" si="122"/>
        <v>5.5944055944055944E-2</v>
      </c>
      <c r="W84" s="490">
        <f t="shared" si="135"/>
        <v>286</v>
      </c>
      <c r="X84" s="478">
        <f>+'1.Informe Seguimiento POA 2022'!S35</f>
        <v>114</v>
      </c>
      <c r="Y84" s="478">
        <f>+'1.Informe Seguimiento POA 2022'!O35+'1.Informe Seguimiento POA 2022'!Q35+'1.Informe Seguimiento POA 2022'!S35</f>
        <v>232</v>
      </c>
      <c r="Z84" s="478">
        <f>+'1.Informe Seguimiento POA 2022'!T35</f>
        <v>0</v>
      </c>
      <c r="AA84" s="478">
        <f>+'1.Informe Seguimiento POA 2022'!R35+'1.Informe Seguimiento POA 2022'!T35+'1.Informe Seguimiento POA 2022'!P35</f>
        <v>16</v>
      </c>
      <c r="AB84" s="1083">
        <f t="shared" si="136"/>
        <v>16</v>
      </c>
      <c r="AC84" s="493">
        <f t="shared" si="124"/>
        <v>0</v>
      </c>
      <c r="AD84" s="493">
        <f t="shared" si="137"/>
        <v>6.8965517241379309E-2</v>
      </c>
      <c r="AE84" s="479">
        <f t="shared" si="125"/>
        <v>5.5944055944055944E-2</v>
      </c>
      <c r="AF84" s="490">
        <f t="shared" si="138"/>
        <v>286</v>
      </c>
      <c r="AG84" s="490">
        <f>+'1.Informe Seguimiento POA 2022'!U35</f>
        <v>54</v>
      </c>
      <c r="AH84" s="490">
        <f>+'1.Informe Seguimiento POA 2022'!O35+'1.Informe Seguimiento POA 2022'!Q35+'1.Informe Seguimiento POA 2022'!S35+'1.Informe Seguimiento POA 2022'!U35</f>
        <v>286</v>
      </c>
      <c r="AI84" s="490">
        <f>+'1.Informe Seguimiento POA 2022'!V35</f>
        <v>0</v>
      </c>
      <c r="AJ84" s="490">
        <f>+'1.Informe Seguimiento POA 2022'!P35+'1.Informe Seguimiento POA 2022'!R35+'1.Informe Seguimiento POA 2022'!T35+'1.Informe Seguimiento POA 2022'!V35</f>
        <v>16</v>
      </c>
      <c r="AK84" s="490">
        <f t="shared" si="139"/>
        <v>16</v>
      </c>
      <c r="AL84" s="493">
        <f t="shared" si="127"/>
        <v>0</v>
      </c>
      <c r="AM84" s="493">
        <f t="shared" si="140"/>
        <v>5.5944055944055944E-2</v>
      </c>
      <c r="AN84" s="479">
        <f t="shared" si="128"/>
        <v>5.5944055944055944E-2</v>
      </c>
      <c r="AO84" s="483" t="str">
        <f>+'Rango indicadores'!H44</f>
        <v>Mayor A:</v>
      </c>
      <c r="AP84" s="478">
        <f>+'Rango indicadores'!I44</f>
        <v>77</v>
      </c>
      <c r="AQ84" s="478" t="str">
        <f>+'Rango indicadores'!J44</f>
        <v>Desde (&gt;=):</v>
      </c>
      <c r="AR84" s="478">
        <f>+'Rango indicadores'!K44</f>
        <v>53</v>
      </c>
      <c r="AS84" s="478" t="str">
        <f>+'Rango indicadores'!L44</f>
        <v>Hasta (&lt;=):</v>
      </c>
      <c r="AT84" s="478">
        <f>+'Rango indicadores'!M44</f>
        <v>77</v>
      </c>
      <c r="AU84" s="478" t="str">
        <f>+'Rango indicadores'!N44</f>
        <v>Menor A:</v>
      </c>
      <c r="AV84" s="478">
        <f>+'Rango indicadores'!O44</f>
        <v>53</v>
      </c>
      <c r="AW84" s="574" t="s">
        <v>1191</v>
      </c>
      <c r="AX84" s="656"/>
      <c r="AY84" s="656">
        <f t="shared" si="129"/>
        <v>25</v>
      </c>
      <c r="AZ84" s="491"/>
      <c r="BA84" s="491"/>
    </row>
    <row r="85" spans="2:53" ht="135.6" customHeight="1">
      <c r="B85" s="475">
        <f>+B84+1</f>
        <v>44</v>
      </c>
      <c r="C85" s="476" t="str">
        <f>+'Rango indicadores'!D45</f>
        <v>06-RI-04</v>
      </c>
      <c r="D85" s="476" t="str">
        <f>+'Rango indicadores'!E45</f>
        <v>Seguimientos realizados sobre acciones previas, con informe</v>
      </c>
      <c r="E85" s="490">
        <f>+'Rango indicadores'!Q45</f>
        <v>67</v>
      </c>
      <c r="F85" s="490">
        <f>'1.Informe Seguimiento POA 2022'!O36</f>
        <v>1</v>
      </c>
      <c r="G85" s="490">
        <f>'1.Informe Seguimiento POA 2022'!O36</f>
        <v>1</v>
      </c>
      <c r="H85" s="490">
        <f>'1.Informe Seguimiento POA 2022'!P36</f>
        <v>2</v>
      </c>
      <c r="I85" s="490">
        <f>'1.Informe Seguimiento POA 2022'!P36</f>
        <v>2</v>
      </c>
      <c r="J85" s="490">
        <f t="shared" si="118"/>
        <v>2</v>
      </c>
      <c r="K85" s="493">
        <f t="shared" si="119"/>
        <v>2</v>
      </c>
      <c r="L85" s="493">
        <f t="shared" si="130"/>
        <v>2</v>
      </c>
      <c r="M85" s="479">
        <f t="shared" si="120"/>
        <v>2.9850746268656716E-2</v>
      </c>
      <c r="N85" s="490">
        <f t="shared" si="131"/>
        <v>67</v>
      </c>
      <c r="O85" s="478">
        <f>+'1.Informe Seguimiento POA 2022'!Q36</f>
        <v>20</v>
      </c>
      <c r="P85" s="490">
        <f t="shared" si="132"/>
        <v>21</v>
      </c>
      <c r="Q85" s="478">
        <f>'1.Informe Seguimiento POA 2022'!R36</f>
        <v>0</v>
      </c>
      <c r="R85" s="478">
        <f>+'1.Informe Seguimiento POA 2022'!P36+'1.Informe Seguimiento POA 2022'!R36</f>
        <v>2</v>
      </c>
      <c r="S85" s="490">
        <f t="shared" si="133"/>
        <v>2</v>
      </c>
      <c r="T85" s="493">
        <f t="shared" si="121"/>
        <v>0</v>
      </c>
      <c r="U85" s="493">
        <f t="shared" si="134"/>
        <v>9.5238095238095233E-2</v>
      </c>
      <c r="V85" s="479">
        <f t="shared" si="122"/>
        <v>2.9850746268656716E-2</v>
      </c>
      <c r="W85" s="490">
        <f t="shared" si="135"/>
        <v>67</v>
      </c>
      <c r="X85" s="478">
        <f>+'1.Informe Seguimiento POA 2022'!S36</f>
        <v>46</v>
      </c>
      <c r="Y85" s="478">
        <f>+'1.Informe Seguimiento POA 2022'!O36+'1.Informe Seguimiento POA 2022'!Q36+'1.Informe Seguimiento POA 2022'!S36</f>
        <v>67</v>
      </c>
      <c r="Z85" s="478">
        <f>+'1.Informe Seguimiento POA 2022'!T36</f>
        <v>0</v>
      </c>
      <c r="AA85" s="478">
        <f>+'1.Informe Seguimiento POA 2022'!R36+'1.Informe Seguimiento POA 2022'!T36+'1.Informe Seguimiento POA 2022'!P36</f>
        <v>2</v>
      </c>
      <c r="AB85" s="1083">
        <f t="shared" si="136"/>
        <v>2</v>
      </c>
      <c r="AC85" s="493">
        <f t="shared" si="124"/>
        <v>0</v>
      </c>
      <c r="AD85" s="493">
        <f t="shared" si="137"/>
        <v>2.9850746268656716E-2</v>
      </c>
      <c r="AE85" s="479">
        <f t="shared" si="125"/>
        <v>2.9850746268656716E-2</v>
      </c>
      <c r="AF85" s="490">
        <f t="shared" si="138"/>
        <v>67</v>
      </c>
      <c r="AG85" s="490">
        <f>+'1.Informe Seguimiento POA 2022'!U36</f>
        <v>0</v>
      </c>
      <c r="AH85" s="490">
        <f>+'1.Informe Seguimiento POA 2022'!O36+'1.Informe Seguimiento POA 2022'!Q36+'1.Informe Seguimiento POA 2022'!S36+'1.Informe Seguimiento POA 2022'!U36</f>
        <v>67</v>
      </c>
      <c r="AI85" s="490">
        <f>+'1.Informe Seguimiento POA 2022'!V36</f>
        <v>0</v>
      </c>
      <c r="AJ85" s="490">
        <f>+'1.Informe Seguimiento POA 2022'!P36+'1.Informe Seguimiento POA 2022'!R36+'1.Informe Seguimiento POA 2022'!T36+'1.Informe Seguimiento POA 2022'!V36</f>
        <v>2</v>
      </c>
      <c r="AK85" s="490">
        <f t="shared" si="139"/>
        <v>2</v>
      </c>
      <c r="AL85" s="493" t="str">
        <f t="shared" si="127"/>
        <v>No programado</v>
      </c>
      <c r="AM85" s="493">
        <f t="shared" si="140"/>
        <v>2.9850746268656716E-2</v>
      </c>
      <c r="AN85" s="479">
        <f t="shared" si="128"/>
        <v>2.9850746268656716E-2</v>
      </c>
      <c r="AO85" s="483" t="str">
        <f>+'Rango indicadores'!H45</f>
        <v>Mayor A:</v>
      </c>
      <c r="AP85" s="478">
        <f>+'Rango indicadores'!I45</f>
        <v>80</v>
      </c>
      <c r="AQ85" s="478" t="str">
        <f>+'Rango indicadores'!J45</f>
        <v>Desde (&gt;=):</v>
      </c>
      <c r="AR85" s="478">
        <f>+'Rango indicadores'!K45</f>
        <v>45</v>
      </c>
      <c r="AS85" s="478" t="str">
        <f>+'Rango indicadores'!L45</f>
        <v>Hasta (&lt;=):</v>
      </c>
      <c r="AT85" s="478">
        <f>+'Rango indicadores'!M45</f>
        <v>80</v>
      </c>
      <c r="AU85" s="478" t="str">
        <f>+'Rango indicadores'!N45</f>
        <v>Menor A:</v>
      </c>
      <c r="AV85" s="478">
        <f>+'Rango indicadores'!O45</f>
        <v>45</v>
      </c>
      <c r="AW85" s="1103" t="s">
        <v>1192</v>
      </c>
      <c r="AX85" s="656"/>
      <c r="AY85" s="656">
        <f t="shared" si="129"/>
        <v>-1</v>
      </c>
      <c r="AZ85" s="491"/>
      <c r="BA85" s="491"/>
    </row>
    <row r="86" spans="2:53" ht="112.8" customHeight="1">
      <c r="B86" s="475">
        <f>+B85+1</f>
        <v>45</v>
      </c>
      <c r="C86" s="476" t="str">
        <f>+'Rango indicadores'!D46</f>
        <v>06-RI-05</v>
      </c>
      <c r="D86" s="476" t="str">
        <f>+'Rango indicadores'!E46</f>
        <v>Audiencias públicas y/o mesas de trabajo realizadas.</v>
      </c>
      <c r="E86" s="490">
        <f>+'Rango indicadores'!Q46</f>
        <v>21</v>
      </c>
      <c r="F86" s="490">
        <f>'1.Informe Seguimiento POA 2022'!O37</f>
        <v>2</v>
      </c>
      <c r="G86" s="490">
        <f>'1.Informe Seguimiento POA 2022'!O37</f>
        <v>2</v>
      </c>
      <c r="H86" s="490">
        <f>'1.Informe Seguimiento POA 2022'!P37</f>
        <v>0</v>
      </c>
      <c r="I86" s="490">
        <f>'1.Informe Seguimiento POA 2022'!P37</f>
        <v>0</v>
      </c>
      <c r="J86" s="490">
        <f t="shared" si="118"/>
        <v>0</v>
      </c>
      <c r="K86" s="493">
        <f t="shared" si="119"/>
        <v>0</v>
      </c>
      <c r="L86" s="493">
        <f t="shared" si="130"/>
        <v>0</v>
      </c>
      <c r="M86" s="479">
        <f t="shared" si="120"/>
        <v>0</v>
      </c>
      <c r="N86" s="490">
        <f t="shared" si="131"/>
        <v>21</v>
      </c>
      <c r="O86" s="478">
        <f>+'1.Informe Seguimiento POA 2022'!Q37</f>
        <v>6</v>
      </c>
      <c r="P86" s="490">
        <f t="shared" si="132"/>
        <v>8</v>
      </c>
      <c r="Q86" s="478">
        <f>'1.Informe Seguimiento POA 2022'!R37</f>
        <v>0</v>
      </c>
      <c r="R86" s="478">
        <f>+'1.Informe Seguimiento POA 2022'!P37+'1.Informe Seguimiento POA 2022'!R37</f>
        <v>0</v>
      </c>
      <c r="S86" s="490">
        <f t="shared" si="133"/>
        <v>0</v>
      </c>
      <c r="T86" s="493">
        <f t="shared" si="121"/>
        <v>0</v>
      </c>
      <c r="U86" s="493">
        <f t="shared" si="134"/>
        <v>0</v>
      </c>
      <c r="V86" s="479">
        <f t="shared" si="122"/>
        <v>0</v>
      </c>
      <c r="W86" s="490">
        <f t="shared" si="135"/>
        <v>21</v>
      </c>
      <c r="X86" s="478">
        <f>+'1.Informe Seguimiento POA 2022'!S37</f>
        <v>6</v>
      </c>
      <c r="Y86" s="478">
        <f>+'1.Informe Seguimiento POA 2022'!O37+'1.Informe Seguimiento POA 2022'!Q37+'1.Informe Seguimiento POA 2022'!S37</f>
        <v>14</v>
      </c>
      <c r="Z86" s="478">
        <f>+'1.Informe Seguimiento POA 2022'!T37</f>
        <v>0</v>
      </c>
      <c r="AA86" s="478">
        <f>+'1.Informe Seguimiento POA 2022'!R37+'1.Informe Seguimiento POA 2022'!T37+'1.Informe Seguimiento POA 2022'!P37</f>
        <v>0</v>
      </c>
      <c r="AB86" s="1083">
        <f t="shared" si="136"/>
        <v>0</v>
      </c>
      <c r="AC86" s="493">
        <f t="shared" si="124"/>
        <v>0</v>
      </c>
      <c r="AD86" s="493">
        <f t="shared" si="137"/>
        <v>0</v>
      </c>
      <c r="AE86" s="479">
        <f t="shared" si="125"/>
        <v>0</v>
      </c>
      <c r="AF86" s="490">
        <f t="shared" si="138"/>
        <v>21</v>
      </c>
      <c r="AG86" s="490">
        <f>+'1.Informe Seguimiento POA 2022'!U37</f>
        <v>7</v>
      </c>
      <c r="AH86" s="490">
        <f>+'1.Informe Seguimiento POA 2022'!O37+'1.Informe Seguimiento POA 2022'!Q37+'1.Informe Seguimiento POA 2022'!S37+'1.Informe Seguimiento POA 2022'!U37</f>
        <v>21</v>
      </c>
      <c r="AI86" s="490">
        <f>+'1.Informe Seguimiento POA 2022'!V37</f>
        <v>0</v>
      </c>
      <c r="AJ86" s="490">
        <f>+'1.Informe Seguimiento POA 2022'!P37+'1.Informe Seguimiento POA 2022'!R37+'1.Informe Seguimiento POA 2022'!T37+'1.Informe Seguimiento POA 2022'!V37</f>
        <v>0</v>
      </c>
      <c r="AK86" s="490">
        <f t="shared" si="139"/>
        <v>0</v>
      </c>
      <c r="AL86" s="493">
        <f t="shared" si="127"/>
        <v>0</v>
      </c>
      <c r="AM86" s="493">
        <f t="shared" si="140"/>
        <v>0</v>
      </c>
      <c r="AN86" s="479">
        <f t="shared" si="128"/>
        <v>0</v>
      </c>
      <c r="AO86" s="483" t="str">
        <f>+'Rango indicadores'!H46</f>
        <v>Mayor A:</v>
      </c>
      <c r="AP86" s="478">
        <f>+'Rango indicadores'!I46</f>
        <v>85</v>
      </c>
      <c r="AQ86" s="478" t="str">
        <f>+'Rango indicadores'!J46</f>
        <v>Desde (&gt;=):</v>
      </c>
      <c r="AR86" s="478">
        <f>+'Rango indicadores'!K46</f>
        <v>57</v>
      </c>
      <c r="AS86" s="478" t="str">
        <f>+'Rango indicadores'!L46</f>
        <v>Hasta (&lt;=):</v>
      </c>
      <c r="AT86" s="478">
        <f>+'Rango indicadores'!M46</f>
        <v>85</v>
      </c>
      <c r="AU86" s="478" t="str">
        <f>+'Rango indicadores'!N46</f>
        <v>Menor A:</v>
      </c>
      <c r="AV86" s="478">
        <f>+'Rango indicadores'!O46</f>
        <v>57</v>
      </c>
      <c r="AW86" s="1105" t="s">
        <v>1195</v>
      </c>
      <c r="AX86" s="656"/>
      <c r="AY86" s="656">
        <f t="shared" si="129"/>
        <v>2</v>
      </c>
      <c r="AZ86" s="491"/>
    </row>
    <row r="87" spans="2:53" ht="132">
      <c r="B87" s="475">
        <f t="shared" ref="B87:B88" si="141">+B86+1</f>
        <v>46</v>
      </c>
      <c r="C87" s="476" t="str">
        <f>+'Rango indicadores'!D47</f>
        <v>06-RI-06</v>
      </c>
      <c r="D87" s="476" t="str">
        <f>+'Rango indicadores'!E47</f>
        <v>Acompañamientos a los ciudadanos realizados.</v>
      </c>
      <c r="E87" s="490">
        <f>+'Rango indicadores'!Q47</f>
        <v>60</v>
      </c>
      <c r="F87" s="490">
        <f>'1.Informe Seguimiento POA 2022'!O38</f>
        <v>12</v>
      </c>
      <c r="G87" s="490">
        <f>'1.Informe Seguimiento POA 2022'!O38</f>
        <v>12</v>
      </c>
      <c r="H87" s="490">
        <f>'1.Informe Seguimiento POA 2022'!P38</f>
        <v>18</v>
      </c>
      <c r="I87" s="490">
        <f>'1.Informe Seguimiento POA 2022'!P38</f>
        <v>18</v>
      </c>
      <c r="J87" s="490">
        <f t="shared" si="118"/>
        <v>18</v>
      </c>
      <c r="K87" s="493">
        <f t="shared" si="119"/>
        <v>1.5</v>
      </c>
      <c r="L87" s="493">
        <f t="shared" si="130"/>
        <v>1.5</v>
      </c>
      <c r="M87" s="479">
        <f t="shared" si="120"/>
        <v>0.3</v>
      </c>
      <c r="N87" s="490">
        <f t="shared" si="131"/>
        <v>60</v>
      </c>
      <c r="O87" s="478">
        <f>+'1.Informe Seguimiento POA 2022'!Q38</f>
        <v>18</v>
      </c>
      <c r="P87" s="490">
        <f t="shared" si="132"/>
        <v>30</v>
      </c>
      <c r="Q87" s="478">
        <f>'1.Informe Seguimiento POA 2022'!R38</f>
        <v>0</v>
      </c>
      <c r="R87" s="478">
        <f>+'1.Informe Seguimiento POA 2022'!P38+'1.Informe Seguimiento POA 2022'!R38</f>
        <v>18</v>
      </c>
      <c r="S87" s="490">
        <f t="shared" si="133"/>
        <v>18</v>
      </c>
      <c r="T87" s="493">
        <f t="shared" si="121"/>
        <v>0</v>
      </c>
      <c r="U87" s="493">
        <f t="shared" si="134"/>
        <v>0.6</v>
      </c>
      <c r="V87" s="479">
        <f t="shared" si="122"/>
        <v>0.3</v>
      </c>
      <c r="W87" s="490">
        <f t="shared" si="135"/>
        <v>60</v>
      </c>
      <c r="X87" s="478">
        <f>+'1.Informe Seguimiento POA 2022'!S38</f>
        <v>18</v>
      </c>
      <c r="Y87" s="478">
        <f>+'1.Informe Seguimiento POA 2022'!O38+'1.Informe Seguimiento POA 2022'!Q38+'1.Informe Seguimiento POA 2022'!S38</f>
        <v>48</v>
      </c>
      <c r="Z87" s="478">
        <f>+'1.Informe Seguimiento POA 2022'!T38</f>
        <v>0</v>
      </c>
      <c r="AA87" s="478">
        <f>+'1.Informe Seguimiento POA 2022'!R38+'1.Informe Seguimiento POA 2022'!T38+'1.Informe Seguimiento POA 2022'!P38</f>
        <v>18</v>
      </c>
      <c r="AB87" s="1083">
        <f t="shared" si="136"/>
        <v>18</v>
      </c>
      <c r="AC87" s="493">
        <f t="shared" si="124"/>
        <v>0</v>
      </c>
      <c r="AD87" s="493">
        <f t="shared" si="137"/>
        <v>0.375</v>
      </c>
      <c r="AE87" s="479">
        <f t="shared" si="125"/>
        <v>0.3</v>
      </c>
      <c r="AF87" s="490">
        <f t="shared" si="138"/>
        <v>60</v>
      </c>
      <c r="AG87" s="490">
        <f>+'1.Informe Seguimiento POA 2022'!U38</f>
        <v>12</v>
      </c>
      <c r="AH87" s="490">
        <f>+'1.Informe Seguimiento POA 2022'!O38+'1.Informe Seguimiento POA 2022'!Q38+'1.Informe Seguimiento POA 2022'!S38+'1.Informe Seguimiento POA 2022'!U38</f>
        <v>60</v>
      </c>
      <c r="AI87" s="490">
        <f>+'1.Informe Seguimiento POA 2022'!V38</f>
        <v>0</v>
      </c>
      <c r="AJ87" s="490">
        <f>+'1.Informe Seguimiento POA 2022'!P38+'1.Informe Seguimiento POA 2022'!R38+'1.Informe Seguimiento POA 2022'!T38+'1.Informe Seguimiento POA 2022'!V38</f>
        <v>18</v>
      </c>
      <c r="AK87" s="490">
        <f t="shared" si="139"/>
        <v>18</v>
      </c>
      <c r="AL87" s="493">
        <f t="shared" si="127"/>
        <v>0</v>
      </c>
      <c r="AM87" s="493">
        <f t="shared" si="140"/>
        <v>0.3</v>
      </c>
      <c r="AN87" s="479">
        <f t="shared" si="128"/>
        <v>0.3</v>
      </c>
      <c r="AO87" s="483" t="str">
        <f>+'Rango indicadores'!H47</f>
        <v>Mayor A:</v>
      </c>
      <c r="AP87" s="478">
        <f>+'Rango indicadores'!I47</f>
        <v>90</v>
      </c>
      <c r="AQ87" s="478" t="str">
        <f>+'Rango indicadores'!J47</f>
        <v>Desde (&gt;=):</v>
      </c>
      <c r="AR87" s="478">
        <f>+'Rango indicadores'!K47</f>
        <v>69</v>
      </c>
      <c r="AS87" s="478" t="str">
        <f>+'Rango indicadores'!L47</f>
        <v>Hasta (&lt;=):</v>
      </c>
      <c r="AT87" s="478">
        <f>+'Rango indicadores'!M47</f>
        <v>90</v>
      </c>
      <c r="AU87" s="478" t="str">
        <f>+'Rango indicadores'!N47</f>
        <v>Menor A:</v>
      </c>
      <c r="AV87" s="478">
        <f>+'Rango indicadores'!O47</f>
        <v>69</v>
      </c>
      <c r="AW87" s="574" t="s">
        <v>1193</v>
      </c>
      <c r="AX87" s="909"/>
      <c r="AY87" s="656">
        <f t="shared" si="129"/>
        <v>-6</v>
      </c>
      <c r="AZ87" s="910"/>
    </row>
    <row r="88" spans="2:53" ht="129.6" customHeight="1">
      <c r="B88" s="475">
        <f t="shared" si="141"/>
        <v>47</v>
      </c>
      <c r="C88" s="476" t="str">
        <f>+'Rango indicadores'!D48</f>
        <v>06-RI-07</v>
      </c>
      <c r="D88" s="476" t="str">
        <f>+'Rango indicadores'!E48</f>
        <v>Espacios de dialogo realizados.</v>
      </c>
      <c r="E88" s="490">
        <f>+'Rango indicadores'!Q48</f>
        <v>30</v>
      </c>
      <c r="F88" s="490">
        <f>'1.Informe Seguimiento POA 2022'!O39</f>
        <v>6</v>
      </c>
      <c r="G88" s="490">
        <f>'1.Informe Seguimiento POA 2022'!O39</f>
        <v>6</v>
      </c>
      <c r="H88" s="490">
        <f>'1.Informe Seguimiento POA 2022'!P39</f>
        <v>13</v>
      </c>
      <c r="I88" s="490">
        <f>'1.Informe Seguimiento POA 2022'!P39</f>
        <v>13</v>
      </c>
      <c r="J88" s="490">
        <f t="shared" si="118"/>
        <v>13</v>
      </c>
      <c r="K88" s="493">
        <f t="shared" si="119"/>
        <v>2.1666666666666665</v>
      </c>
      <c r="L88" s="493">
        <f t="shared" si="130"/>
        <v>2.1666666666666665</v>
      </c>
      <c r="M88" s="479">
        <f t="shared" si="120"/>
        <v>0.43333333333333335</v>
      </c>
      <c r="N88" s="490">
        <f t="shared" si="131"/>
        <v>30</v>
      </c>
      <c r="O88" s="478">
        <f>+'1.Informe Seguimiento POA 2022'!Q39</f>
        <v>9</v>
      </c>
      <c r="P88" s="490">
        <f t="shared" si="132"/>
        <v>15</v>
      </c>
      <c r="Q88" s="478">
        <f>'1.Informe Seguimiento POA 2022'!R39</f>
        <v>0</v>
      </c>
      <c r="R88" s="478">
        <f>+'1.Informe Seguimiento POA 2022'!P39+'1.Informe Seguimiento POA 2022'!R39</f>
        <v>13</v>
      </c>
      <c r="S88" s="490">
        <f t="shared" si="133"/>
        <v>13</v>
      </c>
      <c r="T88" s="493">
        <f t="shared" si="121"/>
        <v>0</v>
      </c>
      <c r="U88" s="493">
        <f t="shared" si="134"/>
        <v>0.8666666666666667</v>
      </c>
      <c r="V88" s="479">
        <f t="shared" si="122"/>
        <v>0.43333333333333335</v>
      </c>
      <c r="W88" s="490">
        <f t="shared" si="135"/>
        <v>30</v>
      </c>
      <c r="X88" s="478">
        <f>+'1.Informe Seguimiento POA 2022'!S39</f>
        <v>9</v>
      </c>
      <c r="Y88" s="478">
        <f>+'1.Informe Seguimiento POA 2022'!O39+'1.Informe Seguimiento POA 2022'!Q39+'1.Informe Seguimiento POA 2022'!S39</f>
        <v>24</v>
      </c>
      <c r="Z88" s="478">
        <f>+'1.Informe Seguimiento POA 2022'!T39</f>
        <v>0</v>
      </c>
      <c r="AA88" s="478">
        <f>+'1.Informe Seguimiento POA 2022'!R39+'1.Informe Seguimiento POA 2022'!T39+'1.Informe Seguimiento POA 2022'!P39</f>
        <v>13</v>
      </c>
      <c r="AB88" s="1083">
        <f t="shared" si="136"/>
        <v>13</v>
      </c>
      <c r="AC88" s="493">
        <f t="shared" si="124"/>
        <v>0</v>
      </c>
      <c r="AD88" s="493">
        <f t="shared" si="137"/>
        <v>0.54166666666666663</v>
      </c>
      <c r="AE88" s="479">
        <f t="shared" si="125"/>
        <v>0.43333333333333335</v>
      </c>
      <c r="AF88" s="490">
        <f t="shared" si="138"/>
        <v>30</v>
      </c>
      <c r="AG88" s="490">
        <f>+'1.Informe Seguimiento POA 2022'!U39</f>
        <v>6</v>
      </c>
      <c r="AH88" s="490">
        <f>+'1.Informe Seguimiento POA 2022'!O39+'1.Informe Seguimiento POA 2022'!Q39+'1.Informe Seguimiento POA 2022'!S39+'1.Informe Seguimiento POA 2022'!U39</f>
        <v>30</v>
      </c>
      <c r="AI88" s="490">
        <f>+'1.Informe Seguimiento POA 2022'!V39</f>
        <v>0</v>
      </c>
      <c r="AJ88" s="490">
        <f>+'1.Informe Seguimiento POA 2022'!P39+'1.Informe Seguimiento POA 2022'!R39+'1.Informe Seguimiento POA 2022'!T39+'1.Informe Seguimiento POA 2022'!V39</f>
        <v>13</v>
      </c>
      <c r="AK88" s="490">
        <f t="shared" si="139"/>
        <v>13</v>
      </c>
      <c r="AL88" s="493">
        <f t="shared" si="127"/>
        <v>0</v>
      </c>
      <c r="AM88" s="493">
        <f t="shared" si="140"/>
        <v>0.43333333333333335</v>
      </c>
      <c r="AN88" s="479">
        <f t="shared" si="128"/>
        <v>0.43333333333333335</v>
      </c>
      <c r="AO88" s="483" t="str">
        <f>+'Rango indicadores'!H48</f>
        <v>Mayor A:</v>
      </c>
      <c r="AP88" s="478">
        <f>+'Rango indicadores'!I48</f>
        <v>90</v>
      </c>
      <c r="AQ88" s="478" t="str">
        <f>+'Rango indicadores'!J48</f>
        <v>Desde (&gt;=):</v>
      </c>
      <c r="AR88" s="478">
        <f>+'Rango indicadores'!K48</f>
        <v>69</v>
      </c>
      <c r="AS88" s="478" t="str">
        <f>+'Rango indicadores'!L48</f>
        <v>Hasta (&lt;=):</v>
      </c>
      <c r="AT88" s="478">
        <f>+'Rango indicadores'!M48</f>
        <v>90</v>
      </c>
      <c r="AU88" s="478" t="str">
        <f>+'Rango indicadores'!N48</f>
        <v>Menor A:</v>
      </c>
      <c r="AV88" s="478">
        <f>+'Rango indicadores'!O48</f>
        <v>69</v>
      </c>
      <c r="AW88" s="574" t="s">
        <v>1194</v>
      </c>
      <c r="AX88" s="656"/>
      <c r="AY88" s="656">
        <f t="shared" si="129"/>
        <v>-7</v>
      </c>
      <c r="AZ88" s="491"/>
      <c r="BA88" s="491"/>
    </row>
    <row r="89" spans="2:53" ht="15.6">
      <c r="C89" s="1474" t="s">
        <v>873</v>
      </c>
      <c r="D89" s="1475"/>
      <c r="E89" s="1475"/>
      <c r="F89" s="1475"/>
      <c r="G89" s="1475"/>
      <c r="H89" s="1475"/>
      <c r="I89" s="1475"/>
      <c r="J89" s="1475"/>
      <c r="K89" s="481">
        <f>IFERROR(AVERAGE(K82:K88),0)</f>
        <v>1.2113821138211383</v>
      </c>
      <c r="L89" s="481">
        <f>IFERROR(AVERAGE(L82:L88),0)</f>
        <v>1.2113821138211383</v>
      </c>
      <c r="M89" s="481">
        <f>IFERROR(AVERAGE(M82:M88),0)</f>
        <v>0.11701830507800658</v>
      </c>
      <c r="N89" s="1087"/>
      <c r="O89" s="1087"/>
      <c r="P89" s="1087"/>
      <c r="Q89" s="1087"/>
      <c r="R89" s="1087"/>
      <c r="S89" s="1087"/>
      <c r="T89" s="481">
        <f>IFERROR(AVERAGE(T82:T88),0)</f>
        <v>0</v>
      </c>
      <c r="U89" s="481">
        <f>IFERROR(AVERAGE(U82:U88),0)</f>
        <v>0.28291633037395747</v>
      </c>
      <c r="V89" s="481">
        <f>IFERROR(AVERAGE(V82:V88),0)</f>
        <v>0.11701830507800658</v>
      </c>
      <c r="W89" s="1087"/>
      <c r="X89" s="1087"/>
      <c r="Y89" s="1087"/>
      <c r="Z89" s="1087"/>
      <c r="AA89" s="1087"/>
      <c r="AB89" s="1087"/>
      <c r="AC89" s="481">
        <f>IFERROR(AVERAGE(AC82:AC88),0)</f>
        <v>0</v>
      </c>
      <c r="AD89" s="481">
        <f>IFERROR(AVERAGE(AD82:AD88),0)</f>
        <v>0.14506899002524326</v>
      </c>
      <c r="AE89" s="481">
        <f>IFERROR(AVERAGE(AE82:AE88),0)</f>
        <v>0.11701830507800658</v>
      </c>
      <c r="AF89" s="1087"/>
      <c r="AG89" s="1087"/>
      <c r="AH89" s="1087"/>
      <c r="AI89" s="1087"/>
      <c r="AJ89" s="562"/>
      <c r="AK89" s="562"/>
      <c r="AL89" s="481">
        <f>IFERROR(AVERAGE(AL82:AL88),0)</f>
        <v>0</v>
      </c>
      <c r="AM89" s="481">
        <f>IFERROR(AVERAGE(AM82:AM88),0)</f>
        <v>0.11701830507800658</v>
      </c>
      <c r="AN89" s="481">
        <f>IFERROR(AVERAGE(AN82:AN88),0)</f>
        <v>0.11701830507800658</v>
      </c>
      <c r="AO89" s="488"/>
      <c r="AP89" s="488"/>
      <c r="AQ89" s="488"/>
      <c r="AR89" s="488"/>
      <c r="AS89" s="488"/>
      <c r="AT89" s="488"/>
      <c r="AU89" s="488"/>
      <c r="AV89" s="488"/>
      <c r="AW89" s="583"/>
    </row>
    <row r="90" spans="2:53" s="471" customFormat="1" ht="29.4" customHeight="1" thickBot="1">
      <c r="D90" s="473"/>
      <c r="AW90" s="473"/>
    </row>
    <row r="91" spans="2:53" s="471" customFormat="1" ht="16.2" thickBot="1">
      <c r="C91" s="474" t="s">
        <v>880</v>
      </c>
      <c r="D91" s="504"/>
      <c r="E91" s="1446" t="s">
        <v>1144</v>
      </c>
      <c r="F91" s="1447"/>
      <c r="G91" s="1447"/>
      <c r="H91" s="1447"/>
      <c r="I91" s="1447"/>
      <c r="J91" s="1447"/>
      <c r="K91" s="1447"/>
      <c r="L91" s="1447"/>
      <c r="M91" s="1448"/>
      <c r="N91" s="1449" t="s">
        <v>1145</v>
      </c>
      <c r="O91" s="1450"/>
      <c r="P91" s="1450"/>
      <c r="Q91" s="1450"/>
      <c r="R91" s="1450"/>
      <c r="S91" s="1450"/>
      <c r="T91" s="1450"/>
      <c r="U91" s="1450"/>
      <c r="V91" s="1451"/>
      <c r="W91" s="1443" t="s">
        <v>1146</v>
      </c>
      <c r="X91" s="1444"/>
      <c r="Y91" s="1444"/>
      <c r="Z91" s="1444"/>
      <c r="AA91" s="1444"/>
      <c r="AB91" s="1444"/>
      <c r="AC91" s="1444"/>
      <c r="AD91" s="1444"/>
      <c r="AE91" s="1445"/>
      <c r="AF91" s="1449" t="s">
        <v>1056</v>
      </c>
      <c r="AG91" s="1450"/>
      <c r="AH91" s="1450"/>
      <c r="AI91" s="1450"/>
      <c r="AJ91" s="1450"/>
      <c r="AK91" s="1450"/>
      <c r="AL91" s="1450"/>
      <c r="AM91" s="1450"/>
      <c r="AN91" s="1451"/>
      <c r="AW91" s="473"/>
    </row>
    <row r="92" spans="2:53" ht="30" customHeight="1">
      <c r="C92" s="1440" t="str">
        <f>+$C$10</f>
        <v>Identifificación del Indicador</v>
      </c>
      <c r="D92" s="1460" t="s">
        <v>868</v>
      </c>
      <c r="E92" s="1436" t="s">
        <v>869</v>
      </c>
      <c r="F92" s="1437"/>
      <c r="G92" s="1438"/>
      <c r="H92" s="1439" t="s">
        <v>1148</v>
      </c>
      <c r="I92" s="1441" t="s">
        <v>1152</v>
      </c>
      <c r="J92" s="1439" t="s">
        <v>870</v>
      </c>
      <c r="K92" s="1439" t="s">
        <v>864</v>
      </c>
      <c r="L92" s="1439"/>
      <c r="M92" s="1439"/>
      <c r="N92" s="1436" t="s">
        <v>869</v>
      </c>
      <c r="O92" s="1437"/>
      <c r="P92" s="1438"/>
      <c r="Q92" s="1439" t="s">
        <v>1158</v>
      </c>
      <c r="R92" s="1441" t="s">
        <v>1149</v>
      </c>
      <c r="S92" s="1439" t="s">
        <v>870</v>
      </c>
      <c r="T92" s="1439" t="s">
        <v>864</v>
      </c>
      <c r="U92" s="1439"/>
      <c r="V92" s="1439"/>
      <c r="W92" s="1436" t="s">
        <v>869</v>
      </c>
      <c r="X92" s="1437"/>
      <c r="Y92" s="1438"/>
      <c r="Z92" s="1439" t="s">
        <v>1159</v>
      </c>
      <c r="AA92" s="1441" t="s">
        <v>1154</v>
      </c>
      <c r="AB92" s="1439" t="s">
        <v>870</v>
      </c>
      <c r="AC92" s="1439" t="s">
        <v>864</v>
      </c>
      <c r="AD92" s="1439"/>
      <c r="AE92" s="1439"/>
      <c r="AF92" s="1436" t="s">
        <v>869</v>
      </c>
      <c r="AG92" s="1437"/>
      <c r="AH92" s="1438"/>
      <c r="AI92" s="1439" t="s">
        <v>1160</v>
      </c>
      <c r="AJ92" s="1441" t="s">
        <v>1156</v>
      </c>
      <c r="AK92" s="1439" t="s">
        <v>870</v>
      </c>
      <c r="AL92" s="1439" t="s">
        <v>864</v>
      </c>
      <c r="AM92" s="1439"/>
      <c r="AN92" s="1439"/>
      <c r="AO92" s="1452" t="s">
        <v>716</v>
      </c>
      <c r="AP92" s="1452"/>
      <c r="AQ92" s="1452"/>
      <c r="AR92" s="1452"/>
      <c r="AS92" s="1452"/>
      <c r="AT92" s="1452"/>
      <c r="AU92" s="1452"/>
      <c r="AV92" s="1452"/>
      <c r="AW92" s="1440" t="s">
        <v>890</v>
      </c>
    </row>
    <row r="93" spans="2:53" ht="51.75" customHeight="1">
      <c r="C93" s="1440"/>
      <c r="D93" s="1460"/>
      <c r="E93" s="1041" t="s">
        <v>1161</v>
      </c>
      <c r="F93" s="1041" t="str">
        <f>+E91</f>
        <v>Primer Trimestre</v>
      </c>
      <c r="G93" s="1042" t="s">
        <v>1151</v>
      </c>
      <c r="H93" s="1440"/>
      <c r="I93" s="1442"/>
      <c r="J93" s="1440"/>
      <c r="K93" s="1041" t="str">
        <f>+$D$6</f>
        <v>Primer Trimestre</v>
      </c>
      <c r="L93" s="1042" t="str">
        <f>+G93</f>
        <v>Acumulado
Corte 
31/03/2022</v>
      </c>
      <c r="M93" s="1043" t="s">
        <v>761</v>
      </c>
      <c r="N93" s="1041" t="s">
        <v>1161</v>
      </c>
      <c r="O93" s="1041" t="str">
        <f>+N91</f>
        <v>Segundo Trimestre</v>
      </c>
      <c r="P93" s="1042" t="s">
        <v>1150</v>
      </c>
      <c r="Q93" s="1440"/>
      <c r="R93" s="1442"/>
      <c r="S93" s="1440"/>
      <c r="T93" s="1041" t="str">
        <f>+O93</f>
        <v>Segundo Trimestre</v>
      </c>
      <c r="U93" s="1042" t="str">
        <f>+P93</f>
        <v>Acumulado Corte 
30/06/2022</v>
      </c>
      <c r="V93" s="1043" t="s">
        <v>761</v>
      </c>
      <c r="W93" s="1041" t="s">
        <v>1161</v>
      </c>
      <c r="X93" s="1041" t="str">
        <f>+W91</f>
        <v>Tercer Trimestre</v>
      </c>
      <c r="Y93" s="1042" t="s">
        <v>1153</v>
      </c>
      <c r="Z93" s="1440"/>
      <c r="AA93" s="1442"/>
      <c r="AB93" s="1440"/>
      <c r="AC93" s="1041" t="str">
        <f>+X93</f>
        <v>Tercer Trimestre</v>
      </c>
      <c r="AD93" s="1042" t="str">
        <f>+Y93</f>
        <v>Acumulado Corte 
30/09/2022</v>
      </c>
      <c r="AE93" s="1043" t="s">
        <v>761</v>
      </c>
      <c r="AF93" s="1041" t="s">
        <v>1161</v>
      </c>
      <c r="AG93" s="1041" t="str">
        <f>+AF91</f>
        <v>Cuarto Trimestre</v>
      </c>
      <c r="AH93" s="1042" t="s">
        <v>1155</v>
      </c>
      <c r="AI93" s="1440"/>
      <c r="AJ93" s="1442"/>
      <c r="AK93" s="1440"/>
      <c r="AL93" s="1041" t="str">
        <f>+AG93</f>
        <v>Cuarto Trimestre</v>
      </c>
      <c r="AM93" s="1042" t="str">
        <f>+AH93</f>
        <v>Acumulado Corte 
31/12/2022</v>
      </c>
      <c r="AN93" s="1043" t="s">
        <v>761</v>
      </c>
      <c r="AO93" s="1453" t="s">
        <v>871</v>
      </c>
      <c r="AP93" s="1454"/>
      <c r="AQ93" s="1455" t="s">
        <v>872</v>
      </c>
      <c r="AR93" s="1456"/>
      <c r="AS93" s="1456"/>
      <c r="AT93" s="1457"/>
      <c r="AU93" s="1458" t="s">
        <v>724</v>
      </c>
      <c r="AV93" s="1459"/>
      <c r="AW93" s="1440"/>
    </row>
    <row r="94" spans="2:53" ht="105.6">
      <c r="B94" s="475">
        <f>+B88+1</f>
        <v>48</v>
      </c>
      <c r="C94" s="476" t="str">
        <f>+'Rango indicadores'!D49</f>
        <v>07-RI-01</v>
      </c>
      <c r="D94" s="476" t="str">
        <f>+'Rango indicadores'!E49</f>
        <v>Procesos priorizados identificados y decididos de fondo</v>
      </c>
      <c r="E94" s="490">
        <f>+'Rango indicadores'!Q49</f>
        <v>1800</v>
      </c>
      <c r="F94" s="490">
        <f>'1.Informe Seguimiento POA 2022'!O40</f>
        <v>300</v>
      </c>
      <c r="G94" s="490">
        <f>'1.Informe Seguimiento POA 2022'!O40</f>
        <v>300</v>
      </c>
      <c r="H94" s="490">
        <f>'1.Informe Seguimiento POA 2022'!P40</f>
        <v>318</v>
      </c>
      <c r="I94" s="490">
        <f>'1.Informe Seguimiento POA 2022'!P40</f>
        <v>318</v>
      </c>
      <c r="J94" s="490">
        <f t="shared" ref="J94:J101" si="142">I94</f>
        <v>318</v>
      </c>
      <c r="K94" s="493">
        <f t="shared" ref="K94" si="143">IF(AND(F94&gt;0),H94/F94,"No programado")</f>
        <v>1.06</v>
      </c>
      <c r="L94" s="493">
        <f t="shared" ref="L94" si="144">IF(AND(G94&gt;0),I94/G94,"No programado")</f>
        <v>1.06</v>
      </c>
      <c r="M94" s="479">
        <f t="shared" ref="M94" si="145">IF(AND(E94&gt;0,$J94&gt;0),J94/$E94,0)</f>
        <v>0.17666666666666667</v>
      </c>
      <c r="N94" s="490">
        <f t="shared" ref="N94:N95" si="146">+E94</f>
        <v>1800</v>
      </c>
      <c r="O94" s="478">
        <f>+'1.Informe Seguimiento POA 2022'!Q40</f>
        <v>490</v>
      </c>
      <c r="P94" s="490">
        <f t="shared" ref="P94" si="147">G94+O94</f>
        <v>790</v>
      </c>
      <c r="Q94" s="478">
        <f>'1.Informe Seguimiento POA 2022'!R40</f>
        <v>0</v>
      </c>
      <c r="R94" s="478">
        <f>+'1.Informe Seguimiento POA 2022'!P40+'1.Informe Seguimiento POA 2022'!R40</f>
        <v>318</v>
      </c>
      <c r="S94" s="490">
        <f t="shared" ref="S94" si="148">H94+Q94</f>
        <v>318</v>
      </c>
      <c r="T94" s="493">
        <f t="shared" ref="T94:T101" si="149">IF(AND(O94&gt;0),Q94/O94,"No programado")</f>
        <v>0</v>
      </c>
      <c r="U94" s="493">
        <f t="shared" ref="U94:U101" si="150">IF(AND(P94&gt;0),R94/P94,"No programado")</f>
        <v>0.40253164556962023</v>
      </c>
      <c r="V94" s="479">
        <f t="shared" ref="V94:V101" si="151">IF(AND(N94&gt;0,$J94&gt;0),S94/$E94,0)</f>
        <v>0.17666666666666667</v>
      </c>
      <c r="W94" s="490">
        <f t="shared" ref="W94" si="152">+N94</f>
        <v>1800</v>
      </c>
      <c r="X94" s="478">
        <f>+'1.Informe Seguimiento POA 2022'!S40</f>
        <v>630</v>
      </c>
      <c r="Y94" s="478">
        <f>+'1.Informe Seguimiento POA 2022'!O40+'1.Informe Seguimiento POA 2022'!Q40+'1.Informe Seguimiento POA 2022'!S40</f>
        <v>1420</v>
      </c>
      <c r="Z94" s="478">
        <f>+'1.Informe Seguimiento POA 2022'!T40</f>
        <v>0</v>
      </c>
      <c r="AA94" s="478">
        <f>+'1.Informe Seguimiento POA 2022'!R40+'1.Informe Seguimiento POA 2022'!T40+'1.Informe Seguimiento POA 2022'!P40</f>
        <v>318</v>
      </c>
      <c r="AB94" s="1083">
        <f t="shared" ref="AB94" si="153">H94+Q94+Z94</f>
        <v>318</v>
      </c>
      <c r="AC94" s="493">
        <f t="shared" ref="AC94:AC101" si="154">IF(AND(X94&gt;0),Z94/X94,"No programado")</f>
        <v>0</v>
      </c>
      <c r="AD94" s="493">
        <f t="shared" ref="AD94:AD101" si="155">IF(AND(Y94&gt;0),AA94/Y94,"No programado")</f>
        <v>0.22394366197183099</v>
      </c>
      <c r="AE94" s="479">
        <f t="shared" ref="AE94:AE101" si="156">IF(AND(W94&gt;0,$J94&gt;0),AB94/$E94,0)</f>
        <v>0.17666666666666667</v>
      </c>
      <c r="AF94" s="490">
        <f>+W94</f>
        <v>1800</v>
      </c>
      <c r="AG94" s="490">
        <f>+'1.Informe Seguimiento POA 2022'!U40</f>
        <v>380</v>
      </c>
      <c r="AH94" s="490">
        <f>+'1.Informe Seguimiento POA 2022'!O40+'1.Informe Seguimiento POA 2022'!Q40+'1.Informe Seguimiento POA 2022'!S40+'1.Informe Seguimiento POA 2022'!U40</f>
        <v>1800</v>
      </c>
      <c r="AI94" s="490">
        <f>+'1.Informe Seguimiento POA 2022'!V40</f>
        <v>0</v>
      </c>
      <c r="AJ94" s="490">
        <f>+'1.Informe Seguimiento POA 2022'!P40+'1.Informe Seguimiento POA 2022'!R40+'1.Informe Seguimiento POA 2022'!T40+'1.Informe Seguimiento POA 2022'!V40</f>
        <v>318</v>
      </c>
      <c r="AK94" s="490">
        <f t="shared" ref="AK94" si="157">H94+Q94+Z94+AI94</f>
        <v>318</v>
      </c>
      <c r="AL94" s="493">
        <f t="shared" ref="AL94:AL101" si="158">IF(AND(AG94&gt;0),AI94/AG94,"No programado")</f>
        <v>0</v>
      </c>
      <c r="AM94" s="493">
        <f t="shared" ref="AM94:AM101" si="159">IF(AND(AH94&gt;0),AJ94/AH94,"No programado")</f>
        <v>0.17666666666666667</v>
      </c>
      <c r="AN94" s="479">
        <f t="shared" ref="AN94:AN101" si="160">IF(AND(AF94&gt;0,$J94&gt;0),AK94/$E94,0)</f>
        <v>0.17666666666666667</v>
      </c>
      <c r="AO94" s="483" t="str">
        <f>+'Rango indicadores'!H49</f>
        <v>Mayor A:</v>
      </c>
      <c r="AP94" s="478">
        <f>+'Rango indicadores'!I49</f>
        <v>90</v>
      </c>
      <c r="AQ94" s="478" t="str">
        <f>+'Rango indicadores'!J49</f>
        <v>Desde (&gt;=):</v>
      </c>
      <c r="AR94" s="478">
        <f>+'Rango indicadores'!K49</f>
        <v>60</v>
      </c>
      <c r="AS94" s="478" t="str">
        <f>+'Rango indicadores'!L49</f>
        <v>Hasta (&lt;=):</v>
      </c>
      <c r="AT94" s="478">
        <f>+'Rango indicadores'!M49</f>
        <v>90</v>
      </c>
      <c r="AU94" s="478" t="str">
        <f>+'Rango indicadores'!N49</f>
        <v>Menor A:</v>
      </c>
      <c r="AV94" s="478">
        <f>+'Rango indicadores'!O49</f>
        <v>60</v>
      </c>
      <c r="AW94" s="1103" t="s">
        <v>1200</v>
      </c>
      <c r="AX94" s="656"/>
      <c r="AY94" s="656">
        <f t="shared" ref="AY94:AY101" si="161">+F94-H94</f>
        <v>-18</v>
      </c>
      <c r="AZ94" s="491"/>
    </row>
    <row r="95" spans="2:53" ht="113.4" customHeight="1">
      <c r="B95" s="475">
        <f t="shared" ref="B95:B101" si="162">+B94+1</f>
        <v>49</v>
      </c>
      <c r="C95" s="476" t="str">
        <f>+'Rango indicadores'!D50</f>
        <v>07-RI-02</v>
      </c>
      <c r="D95" s="476" t="str">
        <f>+'Rango indicadores'!E50</f>
        <v>Noticias disciplinarias  evaluadas y con impulso procesal</v>
      </c>
      <c r="E95" s="514">
        <f>+'Rango indicadores'!Q50</f>
        <v>1</v>
      </c>
      <c r="F95" s="508">
        <f>'1.Informe Seguimiento POA 2022'!O41</f>
        <v>1</v>
      </c>
      <c r="G95" s="508">
        <f>'1.Informe Seguimiento POA 2022'!O41</f>
        <v>1</v>
      </c>
      <c r="H95" s="945">
        <f>'1.Informe Seguimiento POA 2022'!P41</f>
        <v>0.79066666666666663</v>
      </c>
      <c r="I95" s="945">
        <f>'1.Informe Seguimiento POA 2022'!P41</f>
        <v>0.79066666666666663</v>
      </c>
      <c r="J95" s="945">
        <f t="shared" si="142"/>
        <v>0.79066666666666663</v>
      </c>
      <c r="K95" s="493">
        <f t="shared" ref="K95:K101" si="163">IF(AND(F95&gt;0),H95/F95,"No programado")</f>
        <v>0.79066666666666663</v>
      </c>
      <c r="L95" s="493">
        <f t="shared" ref="L95:L101" si="164">IF(AND(G95&gt;0),I95/G95,"No programado")</f>
        <v>0.79066666666666663</v>
      </c>
      <c r="M95" s="479">
        <f>IF(AND(E95&gt;0,$J95&gt;0),J95/$E95,0)*0.25</f>
        <v>0.19766666666666666</v>
      </c>
      <c r="N95" s="514">
        <f t="shared" si="146"/>
        <v>1</v>
      </c>
      <c r="O95" s="945">
        <f>+'1.Informe Seguimiento POA 2022'!Q41</f>
        <v>1</v>
      </c>
      <c r="P95" s="1084">
        <f>IFERROR(AVERAGE(F95,O95),0)</f>
        <v>1</v>
      </c>
      <c r="Q95" s="945">
        <f>'1.Informe Seguimiento POA 2022'!R41</f>
        <v>0</v>
      </c>
      <c r="R95" s="480">
        <f>IFERROR(AVERAGE('1.Informe Seguimiento POA 2022'!P41,'1.Informe Seguimiento POA 2022'!R41),0)</f>
        <v>0.39533333333333331</v>
      </c>
      <c r="S95" s="480">
        <f>IFERROR(IF(OR($N95="",$N95=0),0,ROUNDDOWN(AVERAGE($H95,Q95),3)),0)</f>
        <v>0.39500000000000002</v>
      </c>
      <c r="T95" s="493">
        <f t="shared" si="149"/>
        <v>0</v>
      </c>
      <c r="U95" s="493">
        <f t="shared" si="150"/>
        <v>0.39533333333333331</v>
      </c>
      <c r="V95" s="479">
        <f t="shared" si="151"/>
        <v>0.39500000000000002</v>
      </c>
      <c r="W95" s="514">
        <f>N95</f>
        <v>1</v>
      </c>
      <c r="X95" s="508">
        <f>+'1.Informe Seguimiento POA 2022'!S41</f>
        <v>1</v>
      </c>
      <c r="Y95" s="480">
        <f>IFERROR(AVERAGE('1.Informe Seguimiento POA 2022'!O41,'1.Informe Seguimiento POA 2022'!Q41,,'1.Informe Seguimiento POA 2022'!S41),0)</f>
        <v>0.75</v>
      </c>
      <c r="Z95" s="480">
        <f>+'1.Informe Seguimiento POA 2022'!T41</f>
        <v>0</v>
      </c>
      <c r="AA95" s="480">
        <f>IFERROR(AVERAGE('1.Informe Seguimiento POA 2022'!R41,'1.Informe Seguimiento POA 2022'!P41,'1.Informe Seguimiento POA 2022'!T41),0)</f>
        <v>0.26355555555555554</v>
      </c>
      <c r="AB95" s="480">
        <f>IFERROR(IF(OR($W95="",$W95=0),0,ROUNDDOWN(AVERAGE($H95,Q95,Z95),3)),0)</f>
        <v>0.26300000000000001</v>
      </c>
      <c r="AC95" s="493">
        <f t="shared" si="154"/>
        <v>0</v>
      </c>
      <c r="AD95" s="493">
        <f t="shared" si="155"/>
        <v>0.35140740740740739</v>
      </c>
      <c r="AE95" s="479">
        <f t="shared" si="156"/>
        <v>0.26300000000000001</v>
      </c>
      <c r="AF95" s="514">
        <f t="shared" ref="AF95:AF101" si="165">+W95</f>
        <v>1</v>
      </c>
      <c r="AG95" s="575">
        <f>'1.Informe Seguimiento POA 2022'!U41</f>
        <v>1</v>
      </c>
      <c r="AH95" s="575">
        <f>IFERROR(AVERAGE('1.Informe Seguimiento POA 2022'!O41,'1.Informe Seguimiento POA 2022'!Q41,'1.Informe Seguimiento POA 2022'!S41,'1.Informe Seguimiento POA 2022'!U41),0)</f>
        <v>1</v>
      </c>
      <c r="AI95" s="575">
        <f>+'1.Informe Seguimiento POA 2022'!V41</f>
        <v>0</v>
      </c>
      <c r="AJ95" s="575">
        <f>IFERROR(AVERAGE('1.Informe Seguimiento POA 2022'!P41,'1.Informe Seguimiento POA 2022'!R41,'1.Informe Seguimiento POA 2022'!T41,'1.Informe Seguimiento POA 2022'!V41),0)</f>
        <v>0.19766666666666666</v>
      </c>
      <c r="AK95" s="575">
        <f>IFERROR(IF(OR($AF97="",$AF97=0),0,ROUNDDOWN(AVERAGE($H95,Q95,Z95,AI95),3)),0)</f>
        <v>0.19700000000000001</v>
      </c>
      <c r="AL95" s="493">
        <f t="shared" si="158"/>
        <v>0</v>
      </c>
      <c r="AM95" s="493">
        <f t="shared" si="159"/>
        <v>0.19766666666666666</v>
      </c>
      <c r="AN95" s="479">
        <f t="shared" si="160"/>
        <v>0.19700000000000001</v>
      </c>
      <c r="AO95" s="483" t="str">
        <f>+'Rango indicadores'!H50</f>
        <v>Mayor A:</v>
      </c>
      <c r="AP95" s="478">
        <f>+'Rango indicadores'!I50</f>
        <v>90</v>
      </c>
      <c r="AQ95" s="478" t="str">
        <f>+'Rango indicadores'!J50</f>
        <v>Desde (&gt;=):</v>
      </c>
      <c r="AR95" s="478">
        <f>+'Rango indicadores'!K50</f>
        <v>60</v>
      </c>
      <c r="AS95" s="478" t="str">
        <f>+'Rango indicadores'!L50</f>
        <v>Hasta (&lt;=):</v>
      </c>
      <c r="AT95" s="478">
        <f>+'Rango indicadores'!M50</f>
        <v>90</v>
      </c>
      <c r="AU95" s="478" t="str">
        <f>+'Rango indicadores'!N50</f>
        <v>Menor A:</v>
      </c>
      <c r="AV95" s="478">
        <f>+'Rango indicadores'!O50</f>
        <v>60</v>
      </c>
      <c r="AW95" s="1103" t="s">
        <v>1201</v>
      </c>
      <c r="AX95" s="656"/>
      <c r="AY95" s="911">
        <f t="shared" si="161"/>
        <v>0.20933333333333337</v>
      </c>
      <c r="AZ95" s="579"/>
    </row>
    <row r="96" spans="2:53" ht="32.4" customHeight="1">
      <c r="B96" s="475">
        <f t="shared" si="162"/>
        <v>50</v>
      </c>
      <c r="C96" s="476" t="str">
        <f>+'Rango indicadores'!D51</f>
        <v>07-RI-03</v>
      </c>
      <c r="D96" s="476" t="str">
        <f>+'Rango indicadores'!E51</f>
        <v>Visitas de seguimiento a Oficinas de Control Interno Disciplinario realizadas</v>
      </c>
      <c r="E96" s="490">
        <f>+'Rango indicadores'!Q51</f>
        <v>51</v>
      </c>
      <c r="F96" s="490">
        <f>'1.Informe Seguimiento POA 2022'!O42</f>
        <v>0</v>
      </c>
      <c r="G96" s="490">
        <f>'1.Informe Seguimiento POA 2022'!O42</f>
        <v>0</v>
      </c>
      <c r="H96" s="490">
        <f>'1.Informe Seguimiento POA 2022'!P42</f>
        <v>0</v>
      </c>
      <c r="I96" s="490">
        <f>'1.Informe Seguimiento POA 2022'!P42</f>
        <v>0</v>
      </c>
      <c r="J96" s="490">
        <f t="shared" si="142"/>
        <v>0</v>
      </c>
      <c r="K96" s="493" t="str">
        <f t="shared" si="163"/>
        <v>No programado</v>
      </c>
      <c r="L96" s="493" t="str">
        <f t="shared" si="164"/>
        <v>No programado</v>
      </c>
      <c r="M96" s="479">
        <f t="shared" ref="M96:M101" si="166">IF(AND(E96&gt;0,$J96&gt;0),J96/$E96,0)</f>
        <v>0</v>
      </c>
      <c r="N96" s="490">
        <f t="shared" ref="N96:N97" si="167">+E96</f>
        <v>51</v>
      </c>
      <c r="O96" s="478">
        <f>+'1.Informe Seguimiento POA 2022'!Q42</f>
        <v>30</v>
      </c>
      <c r="P96" s="490">
        <f t="shared" ref="P96" si="168">G96+O96</f>
        <v>30</v>
      </c>
      <c r="Q96" s="478">
        <f>'1.Informe Seguimiento POA 2022'!R42</f>
        <v>0</v>
      </c>
      <c r="R96" s="478">
        <f>+'1.Informe Seguimiento POA 2022'!P42+'1.Informe Seguimiento POA 2022'!R42</f>
        <v>0</v>
      </c>
      <c r="S96" s="490">
        <f t="shared" ref="S96" si="169">H96+Q96</f>
        <v>0</v>
      </c>
      <c r="T96" s="493">
        <f t="shared" si="149"/>
        <v>0</v>
      </c>
      <c r="U96" s="493">
        <f t="shared" si="150"/>
        <v>0</v>
      </c>
      <c r="V96" s="479">
        <f t="shared" si="151"/>
        <v>0</v>
      </c>
      <c r="W96" s="490">
        <f t="shared" ref="W96:W101" si="170">+N96</f>
        <v>51</v>
      </c>
      <c r="X96" s="478">
        <f>+'1.Informe Seguimiento POA 2022'!S42</f>
        <v>21</v>
      </c>
      <c r="Y96" s="478">
        <f>+'1.Informe Seguimiento POA 2022'!O42+'1.Informe Seguimiento POA 2022'!Q42+'1.Informe Seguimiento POA 2022'!S42</f>
        <v>51</v>
      </c>
      <c r="Z96" s="478">
        <f>+'1.Informe Seguimiento POA 2022'!T42</f>
        <v>0</v>
      </c>
      <c r="AA96" s="478">
        <f>+'1.Informe Seguimiento POA 2022'!R42+'1.Informe Seguimiento POA 2022'!T42+'1.Informe Seguimiento POA 2022'!P42</f>
        <v>0</v>
      </c>
      <c r="AB96" s="1083">
        <f t="shared" ref="AB96:AB101" si="171">H96+Q96+Z96</f>
        <v>0</v>
      </c>
      <c r="AC96" s="493">
        <f t="shared" si="154"/>
        <v>0</v>
      </c>
      <c r="AD96" s="493">
        <f t="shared" si="155"/>
        <v>0</v>
      </c>
      <c r="AE96" s="479">
        <f t="shared" si="156"/>
        <v>0</v>
      </c>
      <c r="AF96" s="490">
        <f t="shared" si="165"/>
        <v>51</v>
      </c>
      <c r="AG96" s="490">
        <f>+'1.Informe Seguimiento POA 2022'!U42</f>
        <v>0</v>
      </c>
      <c r="AH96" s="490">
        <f>+'1.Informe Seguimiento POA 2022'!O42+'1.Informe Seguimiento POA 2022'!Q42+'1.Informe Seguimiento POA 2022'!S42+'1.Informe Seguimiento POA 2022'!U42</f>
        <v>51</v>
      </c>
      <c r="AI96" s="490">
        <f>+'1.Informe Seguimiento POA 2022'!V42</f>
        <v>0</v>
      </c>
      <c r="AJ96" s="490">
        <f>+'1.Informe Seguimiento POA 2022'!P42+'1.Informe Seguimiento POA 2022'!R42+'1.Informe Seguimiento POA 2022'!T42+'1.Informe Seguimiento POA 2022'!V42</f>
        <v>0</v>
      </c>
      <c r="AK96" s="490">
        <f t="shared" ref="AK96" si="172">H96+Q96+Z96+AI96</f>
        <v>0</v>
      </c>
      <c r="AL96" s="493" t="str">
        <f t="shared" si="158"/>
        <v>No programado</v>
      </c>
      <c r="AM96" s="493">
        <f t="shared" si="159"/>
        <v>0</v>
      </c>
      <c r="AN96" s="479">
        <f t="shared" si="160"/>
        <v>0</v>
      </c>
      <c r="AO96" s="483" t="str">
        <f>+'Rango indicadores'!H51</f>
        <v>Mayor A:</v>
      </c>
      <c r="AP96" s="478">
        <f>+'Rango indicadores'!I51</f>
        <v>90</v>
      </c>
      <c r="AQ96" s="478" t="str">
        <f>+'Rango indicadores'!J51</f>
        <v>Desde (&gt;=):</v>
      </c>
      <c r="AR96" s="478">
        <f>+'Rango indicadores'!K51</f>
        <v>65</v>
      </c>
      <c r="AS96" s="478" t="str">
        <f>+'Rango indicadores'!L51</f>
        <v>Hasta (&lt;=):</v>
      </c>
      <c r="AT96" s="478">
        <f>+'Rango indicadores'!M51</f>
        <v>90</v>
      </c>
      <c r="AU96" s="478" t="str">
        <f>+'Rango indicadores'!N51</f>
        <v>Menor A:</v>
      </c>
      <c r="AV96" s="478">
        <f>+'Rango indicadores'!O51</f>
        <v>65</v>
      </c>
      <c r="AW96" s="582" t="s">
        <v>1198</v>
      </c>
      <c r="AX96" s="656"/>
      <c r="AY96" s="656">
        <f t="shared" si="161"/>
        <v>0</v>
      </c>
      <c r="AZ96" s="491"/>
    </row>
    <row r="97" spans="2:53" ht="79.2">
      <c r="B97" s="475">
        <f t="shared" si="162"/>
        <v>51</v>
      </c>
      <c r="C97" s="476" t="str">
        <f>+'Rango indicadores'!D52</f>
        <v>07-RI-04</v>
      </c>
      <c r="D97" s="476" t="str">
        <f>+'Rango indicadores'!E52</f>
        <v>Procesos de interés e impacto asumidos por competencia</v>
      </c>
      <c r="E97" s="514">
        <f>+'Rango indicadores'!Q52</f>
        <v>1</v>
      </c>
      <c r="F97" s="508">
        <f>'1.Informe Seguimiento POA 2022'!O43</f>
        <v>1</v>
      </c>
      <c r="G97" s="508">
        <f>'1.Informe Seguimiento POA 2022'!O43</f>
        <v>1</v>
      </c>
      <c r="H97" s="945">
        <f>'1.Informe Seguimiento POA 2022'!P43</f>
        <v>1</v>
      </c>
      <c r="I97" s="945">
        <f>'1.Informe Seguimiento POA 2022'!P43</f>
        <v>1</v>
      </c>
      <c r="J97" s="945">
        <f t="shared" si="142"/>
        <v>1</v>
      </c>
      <c r="K97" s="493">
        <f t="shared" si="163"/>
        <v>1</v>
      </c>
      <c r="L97" s="493">
        <f t="shared" si="164"/>
        <v>1</v>
      </c>
      <c r="M97" s="479">
        <f>IF(AND(E97&gt;0,$J97&gt;0),J97/$E97,0)*0.25</f>
        <v>0.25</v>
      </c>
      <c r="N97" s="514">
        <f t="shared" si="167"/>
        <v>1</v>
      </c>
      <c r="O97" s="945">
        <f>+'1.Informe Seguimiento POA 2022'!Q43</f>
        <v>1</v>
      </c>
      <c r="P97" s="1084">
        <f>IFERROR(AVERAGE(F97,O97),0)</f>
        <v>1</v>
      </c>
      <c r="Q97" s="945">
        <f>'1.Informe Seguimiento POA 2022'!R43</f>
        <v>0</v>
      </c>
      <c r="R97" s="480">
        <f>IFERROR(AVERAGE('1.Informe Seguimiento POA 2022'!P43,'1.Informe Seguimiento POA 2022'!R43),0)</f>
        <v>0.5</v>
      </c>
      <c r="S97" s="480">
        <f>IFERROR(IF(OR($N97="",$N97=0),0,ROUNDDOWN(AVERAGE($H97,Q97),3)),0)</f>
        <v>0.5</v>
      </c>
      <c r="T97" s="493">
        <f t="shared" si="149"/>
        <v>0</v>
      </c>
      <c r="U97" s="493">
        <f t="shared" si="150"/>
        <v>0.5</v>
      </c>
      <c r="V97" s="479">
        <f t="shared" si="151"/>
        <v>0.5</v>
      </c>
      <c r="W97" s="514">
        <f>N97</f>
        <v>1</v>
      </c>
      <c r="X97" s="508">
        <f>+'1.Informe Seguimiento POA 2022'!S43</f>
        <v>1</v>
      </c>
      <c r="Y97" s="480">
        <f>IFERROR(AVERAGE('1.Informe Seguimiento POA 2022'!O43,'1.Informe Seguimiento POA 2022'!Q43,,'1.Informe Seguimiento POA 2022'!S43),0)</f>
        <v>0.75</v>
      </c>
      <c r="Z97" s="480">
        <f>+'1.Informe Seguimiento POA 2022'!T43</f>
        <v>0</v>
      </c>
      <c r="AA97" s="480">
        <f>IFERROR(AVERAGE('1.Informe Seguimiento POA 2022'!R43,'1.Informe Seguimiento POA 2022'!P43,'1.Informe Seguimiento POA 2022'!T43),0)</f>
        <v>0.33333333333333331</v>
      </c>
      <c r="AB97" s="480">
        <f>IFERROR(IF(OR($W97="",$W97=0),0,ROUNDDOWN(AVERAGE($H97,Q97,Z97),3)),0)</f>
        <v>0.33300000000000002</v>
      </c>
      <c r="AC97" s="493">
        <f t="shared" si="154"/>
        <v>0</v>
      </c>
      <c r="AD97" s="493">
        <f t="shared" si="155"/>
        <v>0.44444444444444442</v>
      </c>
      <c r="AE97" s="479">
        <f t="shared" si="156"/>
        <v>0.33300000000000002</v>
      </c>
      <c r="AF97" s="514">
        <f t="shared" si="165"/>
        <v>1</v>
      </c>
      <c r="AG97" s="575">
        <f>'1.Informe Seguimiento POA 2022'!U43</f>
        <v>1</v>
      </c>
      <c r="AH97" s="575">
        <f>IFERROR(AVERAGE('1.Informe Seguimiento POA 2022'!O43,'1.Informe Seguimiento POA 2022'!Q43,'1.Informe Seguimiento POA 2022'!S43,'1.Informe Seguimiento POA 2022'!U43),0)</f>
        <v>1</v>
      </c>
      <c r="AI97" s="575">
        <f>+'1.Informe Seguimiento POA 2022'!V43</f>
        <v>0</v>
      </c>
      <c r="AJ97" s="575">
        <f>IFERROR(AVERAGE('1.Informe Seguimiento POA 2022'!P43,'1.Informe Seguimiento POA 2022'!R43,'1.Informe Seguimiento POA 2022'!T43,'1.Informe Seguimiento POA 2022'!V43),0)</f>
        <v>0.25</v>
      </c>
      <c r="AK97" s="575">
        <f>IFERROR(IF(OR($AF99="",$AF99=0),0,ROUNDDOWN(AVERAGE($H97,Q97,Z97,AI97),3)),0)</f>
        <v>0.25</v>
      </c>
      <c r="AL97" s="493">
        <f t="shared" si="158"/>
        <v>0</v>
      </c>
      <c r="AM97" s="493">
        <f t="shared" si="159"/>
        <v>0.25</v>
      </c>
      <c r="AN97" s="479">
        <f t="shared" si="160"/>
        <v>0.25</v>
      </c>
      <c r="AO97" s="483" t="str">
        <f>+'Rango indicadores'!H52</f>
        <v>Mayor A:</v>
      </c>
      <c r="AP97" s="478">
        <f>+'Rango indicadores'!I52</f>
        <v>90</v>
      </c>
      <c r="AQ97" s="478" t="str">
        <f>+'Rango indicadores'!J52</f>
        <v>Desde (&gt;=):</v>
      </c>
      <c r="AR97" s="478">
        <f>+'Rango indicadores'!K52</f>
        <v>65</v>
      </c>
      <c r="AS97" s="478" t="str">
        <f>+'Rango indicadores'!L52</f>
        <v>Hasta (&lt;=):</v>
      </c>
      <c r="AT97" s="478">
        <f>+'Rango indicadores'!M52</f>
        <v>90</v>
      </c>
      <c r="AU97" s="478" t="str">
        <f>+'Rango indicadores'!N52</f>
        <v>Menor A:</v>
      </c>
      <c r="AV97" s="478">
        <f>+'Rango indicadores'!O52</f>
        <v>65</v>
      </c>
      <c r="AW97" s="574" t="s">
        <v>1196</v>
      </c>
      <c r="AX97" s="656"/>
      <c r="AY97" s="656">
        <f t="shared" si="161"/>
        <v>0</v>
      </c>
      <c r="AZ97" s="491"/>
    </row>
    <row r="98" spans="2:53" ht="32.4" customHeight="1">
      <c r="B98" s="475">
        <f t="shared" si="162"/>
        <v>52</v>
      </c>
      <c r="C98" s="476" t="str">
        <f>+'Rango indicadores'!D53</f>
        <v>07-RI-05</v>
      </c>
      <c r="D98" s="476" t="str">
        <f>+'Rango indicadores'!E53</f>
        <v>Escenarios de intercambio de conocimiento generados</v>
      </c>
      <c r="E98" s="490">
        <f>+'Rango indicadores'!Q53</f>
        <v>2</v>
      </c>
      <c r="F98" s="490">
        <f>'1.Informe Seguimiento POA 2022'!O44</f>
        <v>0</v>
      </c>
      <c r="G98" s="490">
        <f>'1.Informe Seguimiento POA 2022'!O44</f>
        <v>0</v>
      </c>
      <c r="H98" s="490">
        <f>'1.Informe Seguimiento POA 2022'!P44</f>
        <v>0</v>
      </c>
      <c r="I98" s="490">
        <f>'1.Informe Seguimiento POA 2022'!P44</f>
        <v>0</v>
      </c>
      <c r="J98" s="490">
        <f t="shared" si="142"/>
        <v>0</v>
      </c>
      <c r="K98" s="493" t="str">
        <f t="shared" si="163"/>
        <v>No programado</v>
      </c>
      <c r="L98" s="493" t="str">
        <f t="shared" si="164"/>
        <v>No programado</v>
      </c>
      <c r="M98" s="479">
        <f t="shared" si="166"/>
        <v>0</v>
      </c>
      <c r="N98" s="490">
        <f t="shared" ref="N98:N101" si="173">+E98</f>
        <v>2</v>
      </c>
      <c r="O98" s="478">
        <f>+'1.Informe Seguimiento POA 2022'!Q44</f>
        <v>0</v>
      </c>
      <c r="P98" s="490">
        <f t="shared" ref="P98:P101" si="174">G98+O98</f>
        <v>0</v>
      </c>
      <c r="Q98" s="478">
        <f>'1.Informe Seguimiento POA 2022'!R44</f>
        <v>0</v>
      </c>
      <c r="R98" s="478">
        <f>+'1.Informe Seguimiento POA 2022'!P44+'1.Informe Seguimiento POA 2022'!R44</f>
        <v>0</v>
      </c>
      <c r="S98" s="490">
        <f t="shared" ref="S98:S101" si="175">H98+Q98</f>
        <v>0</v>
      </c>
      <c r="T98" s="493" t="str">
        <f t="shared" si="149"/>
        <v>No programado</v>
      </c>
      <c r="U98" s="493" t="str">
        <f t="shared" si="150"/>
        <v>No programado</v>
      </c>
      <c r="V98" s="479">
        <f t="shared" si="151"/>
        <v>0</v>
      </c>
      <c r="W98" s="490">
        <f t="shared" si="170"/>
        <v>2</v>
      </c>
      <c r="X98" s="478">
        <f>+'1.Informe Seguimiento POA 2022'!S44</f>
        <v>1</v>
      </c>
      <c r="Y98" s="478">
        <f>+'1.Informe Seguimiento POA 2022'!O44+'1.Informe Seguimiento POA 2022'!Q44+'1.Informe Seguimiento POA 2022'!S44</f>
        <v>1</v>
      </c>
      <c r="Z98" s="478">
        <f>+'1.Informe Seguimiento POA 2022'!T44</f>
        <v>0</v>
      </c>
      <c r="AA98" s="478">
        <f>+'1.Informe Seguimiento POA 2022'!R44+'1.Informe Seguimiento POA 2022'!T44+'1.Informe Seguimiento POA 2022'!P44</f>
        <v>0</v>
      </c>
      <c r="AB98" s="1083">
        <f t="shared" si="171"/>
        <v>0</v>
      </c>
      <c r="AC98" s="493">
        <f t="shared" si="154"/>
        <v>0</v>
      </c>
      <c r="AD98" s="493">
        <f t="shared" si="155"/>
        <v>0</v>
      </c>
      <c r="AE98" s="479">
        <f t="shared" si="156"/>
        <v>0</v>
      </c>
      <c r="AF98" s="490">
        <f t="shared" si="165"/>
        <v>2</v>
      </c>
      <c r="AG98" s="490">
        <f>+'1.Informe Seguimiento POA 2022'!U44</f>
        <v>1</v>
      </c>
      <c r="AH98" s="490">
        <f>+'1.Informe Seguimiento POA 2022'!O44+'1.Informe Seguimiento POA 2022'!Q44+'1.Informe Seguimiento POA 2022'!S44+'1.Informe Seguimiento POA 2022'!U44</f>
        <v>2</v>
      </c>
      <c r="AI98" s="490">
        <f>+'1.Informe Seguimiento POA 2022'!V44</f>
        <v>0</v>
      </c>
      <c r="AJ98" s="490">
        <f>+'1.Informe Seguimiento POA 2022'!P44+'1.Informe Seguimiento POA 2022'!R44+'1.Informe Seguimiento POA 2022'!T44+'1.Informe Seguimiento POA 2022'!V44</f>
        <v>0</v>
      </c>
      <c r="AK98" s="490">
        <f t="shared" ref="AK98" si="176">H98+Q98+Z98+AI98</f>
        <v>0</v>
      </c>
      <c r="AL98" s="493">
        <f t="shared" si="158"/>
        <v>0</v>
      </c>
      <c r="AM98" s="493">
        <f t="shared" si="159"/>
        <v>0</v>
      </c>
      <c r="AN98" s="479">
        <f t="shared" si="160"/>
        <v>0</v>
      </c>
      <c r="AO98" s="483" t="str">
        <f>+'Rango indicadores'!H53</f>
        <v>Mayor A:</v>
      </c>
      <c r="AP98" s="478">
        <f>+'Rango indicadores'!I53</f>
        <v>90</v>
      </c>
      <c r="AQ98" s="478" t="str">
        <f>+'Rango indicadores'!J53</f>
        <v>Desde (&gt;=):</v>
      </c>
      <c r="AR98" s="478">
        <f>+'Rango indicadores'!K53</f>
        <v>65</v>
      </c>
      <c r="AS98" s="478" t="str">
        <f>+'Rango indicadores'!L53</f>
        <v>Hasta (&lt;=):</v>
      </c>
      <c r="AT98" s="478">
        <f>+'Rango indicadores'!M53</f>
        <v>90</v>
      </c>
      <c r="AU98" s="478" t="str">
        <f>+'Rango indicadores'!N53</f>
        <v>Menor A:</v>
      </c>
      <c r="AV98" s="478">
        <f>+'Rango indicadores'!O53</f>
        <v>65</v>
      </c>
      <c r="AW98" s="582" t="s">
        <v>1199</v>
      </c>
      <c r="AX98" s="656"/>
      <c r="AY98" s="656">
        <f t="shared" si="161"/>
        <v>0</v>
      </c>
      <c r="AZ98" s="491"/>
    </row>
    <row r="99" spans="2:53" ht="79.2">
      <c r="B99" s="475">
        <f t="shared" si="162"/>
        <v>53</v>
      </c>
      <c r="C99" s="476" t="str">
        <f>+'Rango indicadores'!D54</f>
        <v>07-RI-06</v>
      </c>
      <c r="D99" s="476" t="str">
        <f>+'Rango indicadores'!E54</f>
        <v xml:space="preserve">Sistema de Comunicación con las Oficinas de Control Interno Disciplinario implementado </v>
      </c>
      <c r="E99" s="490">
        <f>+'Rango indicadores'!Q54</f>
        <v>0.5</v>
      </c>
      <c r="F99" s="490">
        <f>'1.Informe Seguimiento POA 2022'!O45</f>
        <v>0.15000000000000002</v>
      </c>
      <c r="G99" s="490">
        <f>'1.Informe Seguimiento POA 2022'!O45</f>
        <v>0.15000000000000002</v>
      </c>
      <c r="H99" s="490">
        <f>'1.Informe Seguimiento POA 2022'!P45</f>
        <v>0.15000000000000002</v>
      </c>
      <c r="I99" s="490">
        <f>'1.Informe Seguimiento POA 2022'!P45</f>
        <v>0.15000000000000002</v>
      </c>
      <c r="J99" s="490">
        <f t="shared" si="142"/>
        <v>0.15000000000000002</v>
      </c>
      <c r="K99" s="493">
        <f t="shared" si="163"/>
        <v>1</v>
      </c>
      <c r="L99" s="493">
        <f t="shared" si="164"/>
        <v>1</v>
      </c>
      <c r="M99" s="479">
        <f t="shared" si="166"/>
        <v>0.30000000000000004</v>
      </c>
      <c r="N99" s="490">
        <f t="shared" si="173"/>
        <v>0.5</v>
      </c>
      <c r="O99" s="478">
        <f>+'1.Informe Seguimiento POA 2022'!Q45</f>
        <v>0.15000000000000002</v>
      </c>
      <c r="P99" s="490">
        <f t="shared" si="174"/>
        <v>0.30000000000000004</v>
      </c>
      <c r="Q99" s="478">
        <f>'1.Informe Seguimiento POA 2022'!R45</f>
        <v>0</v>
      </c>
      <c r="R99" s="478">
        <f>+'1.Informe Seguimiento POA 2022'!P45+'1.Informe Seguimiento POA 2022'!R45</f>
        <v>0.15000000000000002</v>
      </c>
      <c r="S99" s="490">
        <f t="shared" si="175"/>
        <v>0.15000000000000002</v>
      </c>
      <c r="T99" s="493">
        <f t="shared" si="149"/>
        <v>0</v>
      </c>
      <c r="U99" s="493">
        <f t="shared" si="150"/>
        <v>0.5</v>
      </c>
      <c r="V99" s="479">
        <f t="shared" si="151"/>
        <v>0.30000000000000004</v>
      </c>
      <c r="W99" s="490">
        <f t="shared" si="170"/>
        <v>0.5</v>
      </c>
      <c r="X99" s="478">
        <f>+'1.Informe Seguimiento POA 2022'!S45</f>
        <v>0.15000000000000002</v>
      </c>
      <c r="Y99" s="478">
        <f>+'1.Informe Seguimiento POA 2022'!O45+'1.Informe Seguimiento POA 2022'!Q45+'1.Informe Seguimiento POA 2022'!S45</f>
        <v>0.45000000000000007</v>
      </c>
      <c r="Z99" s="478">
        <f>+'1.Informe Seguimiento POA 2022'!T45</f>
        <v>0</v>
      </c>
      <c r="AA99" s="478">
        <f>+'1.Informe Seguimiento POA 2022'!R45+'1.Informe Seguimiento POA 2022'!T45+'1.Informe Seguimiento POA 2022'!P45</f>
        <v>0.15000000000000002</v>
      </c>
      <c r="AB99" s="1083">
        <f t="shared" si="171"/>
        <v>0.15000000000000002</v>
      </c>
      <c r="AC99" s="493">
        <f t="shared" si="154"/>
        <v>0</v>
      </c>
      <c r="AD99" s="493">
        <f t="shared" si="155"/>
        <v>0.33333333333333331</v>
      </c>
      <c r="AE99" s="479">
        <f t="shared" si="156"/>
        <v>0.30000000000000004</v>
      </c>
      <c r="AF99" s="490">
        <f t="shared" si="165"/>
        <v>0.5</v>
      </c>
      <c r="AG99" s="490">
        <f>+'1.Informe Seguimiento POA 2022'!U45</f>
        <v>0.05</v>
      </c>
      <c r="AH99" s="490">
        <f>+'1.Informe Seguimiento POA 2022'!O45+'1.Informe Seguimiento POA 2022'!Q45+'1.Informe Seguimiento POA 2022'!S45+'1.Informe Seguimiento POA 2022'!U45</f>
        <v>0.50000000000000011</v>
      </c>
      <c r="AI99" s="490">
        <f>+'1.Informe Seguimiento POA 2022'!V45</f>
        <v>0</v>
      </c>
      <c r="AJ99" s="490">
        <f>+'1.Informe Seguimiento POA 2022'!P45+'1.Informe Seguimiento POA 2022'!R45+'1.Informe Seguimiento POA 2022'!T45+'1.Informe Seguimiento POA 2022'!V45</f>
        <v>0.15000000000000002</v>
      </c>
      <c r="AK99" s="490">
        <f t="shared" ref="AK99:AK101" si="177">H99+Q99+Z99+AI99</f>
        <v>0.15000000000000002</v>
      </c>
      <c r="AL99" s="493">
        <f t="shared" si="158"/>
        <v>0</v>
      </c>
      <c r="AM99" s="493">
        <f t="shared" si="159"/>
        <v>0.3</v>
      </c>
      <c r="AN99" s="479">
        <f t="shared" si="160"/>
        <v>0.30000000000000004</v>
      </c>
      <c r="AO99" s="483" t="str">
        <f>+'Rango indicadores'!H54</f>
        <v>Mayor A:</v>
      </c>
      <c r="AP99" s="478">
        <f>+'Rango indicadores'!I54</f>
        <v>90</v>
      </c>
      <c r="AQ99" s="478" t="str">
        <f>+'Rango indicadores'!J54</f>
        <v>Desde (&gt;=):</v>
      </c>
      <c r="AR99" s="478">
        <f>+'Rango indicadores'!K54</f>
        <v>65</v>
      </c>
      <c r="AS99" s="478" t="str">
        <f>+'Rango indicadores'!L54</f>
        <v>Hasta (&lt;=):</v>
      </c>
      <c r="AT99" s="478">
        <f>+'Rango indicadores'!M54</f>
        <v>90</v>
      </c>
      <c r="AU99" s="478" t="str">
        <f>+'Rango indicadores'!N54</f>
        <v>Menor A:</v>
      </c>
      <c r="AV99" s="478">
        <f>+'Rango indicadores'!O54</f>
        <v>65</v>
      </c>
      <c r="AW99" s="574" t="s">
        <v>1197</v>
      </c>
      <c r="AX99" s="656"/>
      <c r="AY99" s="656">
        <f t="shared" si="161"/>
        <v>0</v>
      </c>
      <c r="AZ99" s="491"/>
      <c r="BA99" s="491"/>
    </row>
    <row r="100" spans="2:53" ht="97.2" customHeight="1">
      <c r="B100" s="475">
        <f t="shared" si="162"/>
        <v>54</v>
      </c>
      <c r="C100" s="476" t="str">
        <f>+'Rango indicadores'!D55</f>
        <v>07-RI-07</v>
      </c>
      <c r="D100" s="476" t="str">
        <f>+'Rango indicadores'!E55</f>
        <v xml:space="preserve">Sistema de información misional implementado </v>
      </c>
      <c r="E100" s="490">
        <f>+'Rango indicadores'!Q55</f>
        <v>0.4</v>
      </c>
      <c r="F100" s="490">
        <f>'1.Informe Seguimiento POA 2022'!O46</f>
        <v>0.05</v>
      </c>
      <c r="G100" s="490">
        <f>'1.Informe Seguimiento POA 2022'!O46</f>
        <v>0.05</v>
      </c>
      <c r="H100" s="490">
        <f>'1.Informe Seguimiento POA 2022'!P46</f>
        <v>0</v>
      </c>
      <c r="I100" s="490">
        <f>'1.Informe Seguimiento POA 2022'!P46</f>
        <v>0</v>
      </c>
      <c r="J100" s="490">
        <f t="shared" si="142"/>
        <v>0</v>
      </c>
      <c r="K100" s="493">
        <f t="shared" si="163"/>
        <v>0</v>
      </c>
      <c r="L100" s="493">
        <f t="shared" si="164"/>
        <v>0</v>
      </c>
      <c r="M100" s="479">
        <f t="shared" si="166"/>
        <v>0</v>
      </c>
      <c r="N100" s="490">
        <f t="shared" si="173"/>
        <v>0.4</v>
      </c>
      <c r="O100" s="478">
        <f>+'1.Informe Seguimiento POA 2022'!Q46</f>
        <v>0.11</v>
      </c>
      <c r="P100" s="490">
        <f t="shared" si="174"/>
        <v>0.16</v>
      </c>
      <c r="Q100" s="478">
        <f>'1.Informe Seguimiento POA 2022'!R46</f>
        <v>0</v>
      </c>
      <c r="R100" s="478">
        <f>+'1.Informe Seguimiento POA 2022'!P46+'1.Informe Seguimiento POA 2022'!R46</f>
        <v>0</v>
      </c>
      <c r="S100" s="490">
        <f t="shared" si="175"/>
        <v>0</v>
      </c>
      <c r="T100" s="493">
        <f t="shared" si="149"/>
        <v>0</v>
      </c>
      <c r="U100" s="493">
        <f t="shared" si="150"/>
        <v>0</v>
      </c>
      <c r="V100" s="479">
        <f t="shared" si="151"/>
        <v>0</v>
      </c>
      <c r="W100" s="490">
        <f t="shared" si="170"/>
        <v>0.4</v>
      </c>
      <c r="X100" s="478">
        <f>+'1.Informe Seguimiento POA 2022'!S46</f>
        <v>0.15000000000000002</v>
      </c>
      <c r="Y100" s="478">
        <f>+'1.Informe Seguimiento POA 2022'!O46+'1.Informe Seguimiento POA 2022'!Q46+'1.Informe Seguimiento POA 2022'!S46</f>
        <v>0.31000000000000005</v>
      </c>
      <c r="Z100" s="478">
        <f>+'1.Informe Seguimiento POA 2022'!T46</f>
        <v>0</v>
      </c>
      <c r="AA100" s="478">
        <f>+'1.Informe Seguimiento POA 2022'!R46+'1.Informe Seguimiento POA 2022'!T46+'1.Informe Seguimiento POA 2022'!P46</f>
        <v>0</v>
      </c>
      <c r="AB100" s="1083">
        <f t="shared" si="171"/>
        <v>0</v>
      </c>
      <c r="AC100" s="493">
        <f t="shared" si="154"/>
        <v>0</v>
      </c>
      <c r="AD100" s="493">
        <f t="shared" si="155"/>
        <v>0</v>
      </c>
      <c r="AE100" s="479">
        <f t="shared" si="156"/>
        <v>0</v>
      </c>
      <c r="AF100" s="490">
        <f t="shared" si="165"/>
        <v>0.4</v>
      </c>
      <c r="AG100" s="490">
        <f>+'1.Informe Seguimiento POA 2022'!U46</f>
        <v>0.09</v>
      </c>
      <c r="AH100" s="490">
        <f>+'1.Informe Seguimiento POA 2022'!O46+'1.Informe Seguimiento POA 2022'!Q46+'1.Informe Seguimiento POA 2022'!S46+'1.Informe Seguimiento POA 2022'!U46</f>
        <v>0.4</v>
      </c>
      <c r="AI100" s="490">
        <f>+'1.Informe Seguimiento POA 2022'!V46</f>
        <v>0</v>
      </c>
      <c r="AJ100" s="490">
        <f>+'1.Informe Seguimiento POA 2022'!P46+'1.Informe Seguimiento POA 2022'!R46+'1.Informe Seguimiento POA 2022'!T46+'1.Informe Seguimiento POA 2022'!V46</f>
        <v>0</v>
      </c>
      <c r="AK100" s="490">
        <f t="shared" si="177"/>
        <v>0</v>
      </c>
      <c r="AL100" s="493">
        <f t="shared" si="158"/>
        <v>0</v>
      </c>
      <c r="AM100" s="493">
        <f t="shared" si="159"/>
        <v>0</v>
      </c>
      <c r="AN100" s="479">
        <f t="shared" si="160"/>
        <v>0</v>
      </c>
      <c r="AO100" s="483" t="str">
        <f>+'Rango indicadores'!H55</f>
        <v>Mayor A:</v>
      </c>
      <c r="AP100" s="478">
        <f>+'Rango indicadores'!I55</f>
        <v>90</v>
      </c>
      <c r="AQ100" s="478" t="str">
        <f>+'Rango indicadores'!J55</f>
        <v>Desde (&gt;=):</v>
      </c>
      <c r="AR100" s="478">
        <f>+'Rango indicadores'!K55</f>
        <v>65</v>
      </c>
      <c r="AS100" s="478" t="str">
        <f>+'Rango indicadores'!L55</f>
        <v>Hasta (&lt;=):</v>
      </c>
      <c r="AT100" s="478">
        <f>+'Rango indicadores'!M55</f>
        <v>90</v>
      </c>
      <c r="AU100" s="478" t="str">
        <f>+'Rango indicadores'!N55</f>
        <v>Menor A:</v>
      </c>
      <c r="AV100" s="478">
        <f>+'Rango indicadores'!O55</f>
        <v>65</v>
      </c>
      <c r="AW100" s="582" t="s">
        <v>1195</v>
      </c>
      <c r="AX100" s="656"/>
      <c r="AY100" s="656">
        <f t="shared" si="161"/>
        <v>0.05</v>
      </c>
      <c r="AZ100" s="491"/>
      <c r="BA100" s="491"/>
    </row>
    <row r="101" spans="2:53" ht="79.2">
      <c r="B101" s="475">
        <f t="shared" si="162"/>
        <v>55</v>
      </c>
      <c r="C101" s="476" t="str">
        <f>+'Rango indicadores'!D56</f>
        <v>07-RI-08</v>
      </c>
      <c r="D101" s="476" t="str">
        <f>+'Rango indicadores'!E56</f>
        <v>Relatoría diseñada e implementada</v>
      </c>
      <c r="E101" s="490">
        <f>+'Rango indicadores'!Q56</f>
        <v>0.3</v>
      </c>
      <c r="F101" s="490">
        <f>'1.Informe Seguimiento POA 2022'!O47</f>
        <v>0.06</v>
      </c>
      <c r="G101" s="490">
        <f>'1.Informe Seguimiento POA 2022'!O47</f>
        <v>0.06</v>
      </c>
      <c r="H101" s="490">
        <f>'1.Informe Seguimiento POA 2022'!P47</f>
        <v>0.06</v>
      </c>
      <c r="I101" s="490">
        <f>'1.Informe Seguimiento POA 2022'!P47</f>
        <v>0.06</v>
      </c>
      <c r="J101" s="490">
        <f t="shared" si="142"/>
        <v>0.06</v>
      </c>
      <c r="K101" s="493">
        <f t="shared" si="163"/>
        <v>1</v>
      </c>
      <c r="L101" s="493">
        <f t="shared" si="164"/>
        <v>1</v>
      </c>
      <c r="M101" s="479">
        <f t="shared" si="166"/>
        <v>0.2</v>
      </c>
      <c r="N101" s="490">
        <f t="shared" si="173"/>
        <v>0.3</v>
      </c>
      <c r="O101" s="478">
        <f>+'1.Informe Seguimiento POA 2022'!Q47</f>
        <v>0.09</v>
      </c>
      <c r="P101" s="490">
        <f t="shared" si="174"/>
        <v>0.15</v>
      </c>
      <c r="Q101" s="478">
        <f>'1.Informe Seguimiento POA 2022'!R47</f>
        <v>0</v>
      </c>
      <c r="R101" s="478">
        <f>+'1.Informe Seguimiento POA 2022'!P47+'1.Informe Seguimiento POA 2022'!R47</f>
        <v>0.06</v>
      </c>
      <c r="S101" s="490">
        <f t="shared" si="175"/>
        <v>0.06</v>
      </c>
      <c r="T101" s="493">
        <f t="shared" si="149"/>
        <v>0</v>
      </c>
      <c r="U101" s="493">
        <f t="shared" si="150"/>
        <v>0.4</v>
      </c>
      <c r="V101" s="479">
        <f t="shared" si="151"/>
        <v>0.2</v>
      </c>
      <c r="W101" s="490">
        <f t="shared" si="170"/>
        <v>0.3</v>
      </c>
      <c r="X101" s="478">
        <f>+'1.Informe Seguimiento POA 2022'!S47</f>
        <v>0.09</v>
      </c>
      <c r="Y101" s="478">
        <f>+'1.Informe Seguimiento POA 2022'!O47+'1.Informe Seguimiento POA 2022'!Q47+'1.Informe Seguimiento POA 2022'!S47</f>
        <v>0.24</v>
      </c>
      <c r="Z101" s="478">
        <f>+'1.Informe Seguimiento POA 2022'!T47</f>
        <v>0</v>
      </c>
      <c r="AA101" s="478">
        <f>+'1.Informe Seguimiento POA 2022'!R47+'1.Informe Seguimiento POA 2022'!T47+'1.Informe Seguimiento POA 2022'!P47</f>
        <v>0.06</v>
      </c>
      <c r="AB101" s="1083">
        <f t="shared" si="171"/>
        <v>0.06</v>
      </c>
      <c r="AC101" s="493">
        <f t="shared" si="154"/>
        <v>0</v>
      </c>
      <c r="AD101" s="493">
        <f t="shared" si="155"/>
        <v>0.25</v>
      </c>
      <c r="AE101" s="479">
        <f t="shared" si="156"/>
        <v>0.2</v>
      </c>
      <c r="AF101" s="490">
        <f t="shared" si="165"/>
        <v>0.3</v>
      </c>
      <c r="AG101" s="490">
        <f>+'1.Informe Seguimiento POA 2022'!U47</f>
        <v>0.06</v>
      </c>
      <c r="AH101" s="490">
        <f>+'1.Informe Seguimiento POA 2022'!O47+'1.Informe Seguimiento POA 2022'!Q47+'1.Informe Seguimiento POA 2022'!S47+'1.Informe Seguimiento POA 2022'!U47</f>
        <v>0.3</v>
      </c>
      <c r="AI101" s="490">
        <f>+'1.Informe Seguimiento POA 2022'!V47</f>
        <v>0</v>
      </c>
      <c r="AJ101" s="490">
        <f>+'1.Informe Seguimiento POA 2022'!P47+'1.Informe Seguimiento POA 2022'!R47+'1.Informe Seguimiento POA 2022'!T47+'1.Informe Seguimiento POA 2022'!V47</f>
        <v>0.06</v>
      </c>
      <c r="AK101" s="490">
        <f t="shared" si="177"/>
        <v>0.06</v>
      </c>
      <c r="AL101" s="493">
        <f t="shared" si="158"/>
        <v>0</v>
      </c>
      <c r="AM101" s="493">
        <f t="shared" si="159"/>
        <v>0.2</v>
      </c>
      <c r="AN101" s="479">
        <f t="shared" si="160"/>
        <v>0.2</v>
      </c>
      <c r="AO101" s="483" t="str">
        <f>+'Rango indicadores'!H56</f>
        <v>Mayor A:</v>
      </c>
      <c r="AP101" s="478">
        <f>+'Rango indicadores'!I56</f>
        <v>90</v>
      </c>
      <c r="AQ101" s="478" t="str">
        <f>+'Rango indicadores'!J56</f>
        <v>Desde (&gt;=):</v>
      </c>
      <c r="AR101" s="478">
        <f>+'Rango indicadores'!K56</f>
        <v>65</v>
      </c>
      <c r="AS101" s="478" t="str">
        <f>+'Rango indicadores'!L56</f>
        <v>Hasta (&lt;=):</v>
      </c>
      <c r="AT101" s="478">
        <f>+'Rango indicadores'!M56</f>
        <v>90</v>
      </c>
      <c r="AU101" s="478" t="str">
        <f>+'Rango indicadores'!N56</f>
        <v>Menor A:</v>
      </c>
      <c r="AV101" s="478">
        <f>+'Rango indicadores'!O56</f>
        <v>65</v>
      </c>
      <c r="AW101" s="574" t="s">
        <v>1202</v>
      </c>
      <c r="AX101" s="656"/>
      <c r="AY101" s="656">
        <f t="shared" si="161"/>
        <v>0</v>
      </c>
      <c r="AZ101" s="491"/>
      <c r="BA101" s="491"/>
    </row>
    <row r="102" spans="2:53" ht="15.6">
      <c r="C102" s="1474" t="s">
        <v>873</v>
      </c>
      <c r="D102" s="1475"/>
      <c r="E102" s="1475"/>
      <c r="F102" s="1475"/>
      <c r="G102" s="1475"/>
      <c r="H102" s="1475"/>
      <c r="I102" s="1475"/>
      <c r="J102" s="1475"/>
      <c r="K102" s="481">
        <f>IFERROR(AVERAGE(K94:K101),0)</f>
        <v>0.80844444444444452</v>
      </c>
      <c r="L102" s="481">
        <f t="shared" ref="L102:M102" si="178">IFERROR(AVERAGE(L94:L101),0)</f>
        <v>0.80844444444444452</v>
      </c>
      <c r="M102" s="481">
        <f t="shared" si="178"/>
        <v>0.14054166666666668</v>
      </c>
      <c r="N102" s="1085"/>
      <c r="O102" s="1085"/>
      <c r="P102" s="1085"/>
      <c r="Q102" s="1085"/>
      <c r="R102" s="1085"/>
      <c r="S102" s="1085"/>
      <c r="T102" s="481">
        <f>IFERROR(AVERAGE(T94:T101),0)</f>
        <v>0</v>
      </c>
      <c r="U102" s="481">
        <f t="shared" ref="U102:V102" si="179">IFERROR(AVERAGE(U94:U101),0)</f>
        <v>0.31398071127185051</v>
      </c>
      <c r="V102" s="481">
        <f t="shared" si="179"/>
        <v>0.19645833333333335</v>
      </c>
      <c r="W102" s="1085"/>
      <c r="X102" s="1085"/>
      <c r="Y102" s="1085"/>
      <c r="Z102" s="1085"/>
      <c r="AA102" s="1085"/>
      <c r="AB102" s="1085"/>
      <c r="AC102" s="481">
        <f>IFERROR(AVERAGE(AC94:AC101),0)</f>
        <v>0</v>
      </c>
      <c r="AD102" s="481">
        <f t="shared" ref="AD102:AE102" si="180">IFERROR(AVERAGE(AD94:AD101),0)</f>
        <v>0.20039110589462703</v>
      </c>
      <c r="AE102" s="481">
        <f t="shared" si="180"/>
        <v>0.15908333333333333</v>
      </c>
      <c r="AF102" s="1085"/>
      <c r="AG102" s="1085"/>
      <c r="AH102" s="1085"/>
      <c r="AI102" s="1085"/>
      <c r="AJ102" s="1085"/>
      <c r="AK102" s="1086"/>
      <c r="AL102" s="481">
        <f>IFERROR(AVERAGE(AL94:AL101),0)</f>
        <v>0</v>
      </c>
      <c r="AM102" s="481">
        <f t="shared" ref="AM102:AN102" si="181">IFERROR(AVERAGE(AM94:AM101),0)</f>
        <v>0.14054166666666665</v>
      </c>
      <c r="AN102" s="481">
        <f t="shared" si="181"/>
        <v>0.14045833333333335</v>
      </c>
      <c r="AO102" s="488"/>
      <c r="AP102" s="488"/>
      <c r="AQ102" s="488"/>
      <c r="AR102" s="488"/>
      <c r="AS102" s="488"/>
      <c r="AT102" s="488"/>
      <c r="AU102" s="488"/>
      <c r="AV102" s="488"/>
      <c r="AW102" s="584"/>
    </row>
    <row r="103" spans="2:53" s="471" customFormat="1" ht="25.2" customHeight="1" thickBot="1">
      <c r="D103" s="473"/>
      <c r="AN103" s="513"/>
      <c r="AO103" s="513"/>
      <c r="AP103" s="513"/>
      <c r="AQ103" s="513"/>
      <c r="AR103" s="513"/>
      <c r="AS103" s="513"/>
      <c r="AT103" s="513"/>
      <c r="AU103" s="513"/>
      <c r="AV103" s="513"/>
      <c r="AW103" s="584"/>
    </row>
    <row r="104" spans="2:53" s="471" customFormat="1" ht="16.2" thickBot="1">
      <c r="C104" s="474" t="s">
        <v>881</v>
      </c>
      <c r="D104" s="504"/>
      <c r="E104" s="1446" t="s">
        <v>1144</v>
      </c>
      <c r="F104" s="1447"/>
      <c r="G104" s="1447"/>
      <c r="H104" s="1447"/>
      <c r="I104" s="1447"/>
      <c r="J104" s="1447"/>
      <c r="K104" s="1447"/>
      <c r="L104" s="1447"/>
      <c r="M104" s="1448"/>
      <c r="N104" s="1449" t="s">
        <v>1145</v>
      </c>
      <c r="O104" s="1450"/>
      <c r="P104" s="1450"/>
      <c r="Q104" s="1450"/>
      <c r="R104" s="1450"/>
      <c r="S104" s="1450"/>
      <c r="T104" s="1450"/>
      <c r="U104" s="1450"/>
      <c r="V104" s="1451"/>
      <c r="W104" s="1443" t="s">
        <v>1146</v>
      </c>
      <c r="X104" s="1444"/>
      <c r="Y104" s="1444"/>
      <c r="Z104" s="1444"/>
      <c r="AA104" s="1444"/>
      <c r="AB104" s="1444"/>
      <c r="AC104" s="1444"/>
      <c r="AD104" s="1444"/>
      <c r="AE104" s="1445"/>
      <c r="AF104" s="1449" t="s">
        <v>1056</v>
      </c>
      <c r="AG104" s="1450"/>
      <c r="AH104" s="1450"/>
      <c r="AI104" s="1450"/>
      <c r="AJ104" s="1450"/>
      <c r="AK104" s="1450"/>
      <c r="AL104" s="1450"/>
      <c r="AM104" s="1450"/>
      <c r="AN104" s="1451"/>
      <c r="AW104" s="584"/>
    </row>
    <row r="105" spans="2:53" ht="33" customHeight="1">
      <c r="C105" s="1440" t="str">
        <f>+$C$10</f>
        <v>Identifificación del Indicador</v>
      </c>
      <c r="D105" s="1460" t="s">
        <v>868</v>
      </c>
      <c r="E105" s="1436" t="s">
        <v>869</v>
      </c>
      <c r="F105" s="1437"/>
      <c r="G105" s="1438"/>
      <c r="H105" s="1439" t="s">
        <v>1148</v>
      </c>
      <c r="I105" s="1441" t="s">
        <v>1152</v>
      </c>
      <c r="J105" s="1439" t="s">
        <v>870</v>
      </c>
      <c r="K105" s="1439" t="s">
        <v>864</v>
      </c>
      <c r="L105" s="1439"/>
      <c r="M105" s="1439"/>
      <c r="N105" s="1436" t="s">
        <v>869</v>
      </c>
      <c r="O105" s="1437"/>
      <c r="P105" s="1438"/>
      <c r="Q105" s="1439" t="s">
        <v>1158</v>
      </c>
      <c r="R105" s="1441" t="s">
        <v>1149</v>
      </c>
      <c r="S105" s="1439" t="s">
        <v>870</v>
      </c>
      <c r="T105" s="1439" t="s">
        <v>864</v>
      </c>
      <c r="U105" s="1439"/>
      <c r="V105" s="1439"/>
      <c r="W105" s="1436" t="s">
        <v>869</v>
      </c>
      <c r="X105" s="1437"/>
      <c r="Y105" s="1438"/>
      <c r="Z105" s="1439" t="s">
        <v>1159</v>
      </c>
      <c r="AA105" s="1441" t="s">
        <v>1154</v>
      </c>
      <c r="AB105" s="1439" t="s">
        <v>870</v>
      </c>
      <c r="AC105" s="1439" t="s">
        <v>864</v>
      </c>
      <c r="AD105" s="1439"/>
      <c r="AE105" s="1439"/>
      <c r="AF105" s="1436" t="s">
        <v>869</v>
      </c>
      <c r="AG105" s="1437"/>
      <c r="AH105" s="1438"/>
      <c r="AI105" s="1439" t="s">
        <v>1160</v>
      </c>
      <c r="AJ105" s="1441" t="s">
        <v>1156</v>
      </c>
      <c r="AK105" s="1439" t="s">
        <v>870</v>
      </c>
      <c r="AL105" s="1439" t="s">
        <v>864</v>
      </c>
      <c r="AM105" s="1439"/>
      <c r="AN105" s="1439"/>
      <c r="AO105" s="1452" t="s">
        <v>716</v>
      </c>
      <c r="AP105" s="1452"/>
      <c r="AQ105" s="1452"/>
      <c r="AR105" s="1452"/>
      <c r="AS105" s="1452"/>
      <c r="AT105" s="1452"/>
      <c r="AU105" s="1452"/>
      <c r="AV105" s="1452"/>
      <c r="AW105" s="1440" t="s">
        <v>890</v>
      </c>
    </row>
    <row r="106" spans="2:53" ht="56.25" customHeight="1">
      <c r="C106" s="1440"/>
      <c r="D106" s="1460"/>
      <c r="E106" s="1041" t="s">
        <v>1161</v>
      </c>
      <c r="F106" s="1041" t="str">
        <f>+E104</f>
        <v>Primer Trimestre</v>
      </c>
      <c r="G106" s="1042" t="s">
        <v>1151</v>
      </c>
      <c r="H106" s="1440"/>
      <c r="I106" s="1442"/>
      <c r="J106" s="1440"/>
      <c r="K106" s="1041" t="str">
        <f>+$D$6</f>
        <v>Primer Trimestre</v>
      </c>
      <c r="L106" s="1042" t="str">
        <f>+G106</f>
        <v>Acumulado
Corte 
31/03/2022</v>
      </c>
      <c r="M106" s="1043" t="s">
        <v>761</v>
      </c>
      <c r="N106" s="1041" t="s">
        <v>1161</v>
      </c>
      <c r="O106" s="1041" t="str">
        <f>+N104</f>
        <v>Segundo Trimestre</v>
      </c>
      <c r="P106" s="1042" t="s">
        <v>1150</v>
      </c>
      <c r="Q106" s="1440"/>
      <c r="R106" s="1442"/>
      <c r="S106" s="1440"/>
      <c r="T106" s="1041" t="str">
        <f>+O106</f>
        <v>Segundo Trimestre</v>
      </c>
      <c r="U106" s="1042" t="str">
        <f>+P106</f>
        <v>Acumulado Corte 
30/06/2022</v>
      </c>
      <c r="V106" s="1043" t="s">
        <v>761</v>
      </c>
      <c r="W106" s="1041" t="s">
        <v>1161</v>
      </c>
      <c r="X106" s="1041" t="str">
        <f>+W104</f>
        <v>Tercer Trimestre</v>
      </c>
      <c r="Y106" s="1042" t="s">
        <v>1153</v>
      </c>
      <c r="Z106" s="1440"/>
      <c r="AA106" s="1442"/>
      <c r="AB106" s="1440"/>
      <c r="AC106" s="1041" t="str">
        <f>+X106</f>
        <v>Tercer Trimestre</v>
      </c>
      <c r="AD106" s="1042" t="str">
        <f>+Y106</f>
        <v>Acumulado Corte 
30/09/2022</v>
      </c>
      <c r="AE106" s="1043" t="s">
        <v>761</v>
      </c>
      <c r="AF106" s="1041" t="s">
        <v>1161</v>
      </c>
      <c r="AG106" s="1041" t="str">
        <f>+AF104</f>
        <v>Cuarto Trimestre</v>
      </c>
      <c r="AH106" s="1042" t="s">
        <v>1155</v>
      </c>
      <c r="AI106" s="1440"/>
      <c r="AJ106" s="1442"/>
      <c r="AK106" s="1440"/>
      <c r="AL106" s="1041" t="str">
        <f>+AG106</f>
        <v>Cuarto Trimestre</v>
      </c>
      <c r="AM106" s="1042" t="str">
        <f>+AH106</f>
        <v>Acumulado Corte 
31/12/2022</v>
      </c>
      <c r="AN106" s="1043" t="s">
        <v>761</v>
      </c>
      <c r="AO106" s="1453" t="s">
        <v>871</v>
      </c>
      <c r="AP106" s="1454"/>
      <c r="AQ106" s="1455" t="s">
        <v>872</v>
      </c>
      <c r="AR106" s="1456"/>
      <c r="AS106" s="1456"/>
      <c r="AT106" s="1457"/>
      <c r="AU106" s="1458" t="s">
        <v>724</v>
      </c>
      <c r="AV106" s="1459"/>
      <c r="AW106" s="1440"/>
    </row>
    <row r="107" spans="2:53" ht="107.4" customHeight="1">
      <c r="B107" s="475">
        <f>+B101+1</f>
        <v>56</v>
      </c>
      <c r="C107" s="476" t="str">
        <f>+'Rango indicadores'!D57</f>
        <v>08-RI-01</v>
      </c>
      <c r="D107" s="476" t="str">
        <f>+'Rango indicadores'!E57</f>
        <v>Porcentaje de novedades y situaciones administrativas gestionadas</v>
      </c>
      <c r="E107" s="480">
        <f>+'Rango indicadores'!Q57</f>
        <v>1</v>
      </c>
      <c r="F107" s="508">
        <f>'1.Informe Seguimiento POA 2022'!O61</f>
        <v>1</v>
      </c>
      <c r="G107" s="508">
        <f>'1.Informe Seguimiento POA 2022'!O61</f>
        <v>1</v>
      </c>
      <c r="H107" s="945">
        <f>'1.Informe Seguimiento POA 2022'!P61</f>
        <v>1</v>
      </c>
      <c r="I107" s="945">
        <f>'1.Informe Seguimiento POA 2022'!P61</f>
        <v>1</v>
      </c>
      <c r="J107" s="945">
        <f t="shared" ref="J107:J114" si="182">I107</f>
        <v>1</v>
      </c>
      <c r="K107" s="493">
        <f t="shared" ref="K107" si="183">IF(AND(F107&gt;0),H107/F107,"No programado")</f>
        <v>1</v>
      </c>
      <c r="L107" s="493">
        <f t="shared" ref="L107" si="184">IF(AND(G107&gt;0),I107/G107,"No programado")</f>
        <v>1</v>
      </c>
      <c r="M107" s="479">
        <f>IF(AND(E107&gt;0,$J107&gt;0),J107/$E107,0)*0.25</f>
        <v>0.25</v>
      </c>
      <c r="N107" s="480">
        <f>+E107</f>
        <v>1</v>
      </c>
      <c r="O107" s="945">
        <f>+'1.Informe Seguimiento POA 2022'!Q61</f>
        <v>1</v>
      </c>
      <c r="P107" s="1084">
        <f>IFERROR(AVERAGE(F107,O107),0)</f>
        <v>1</v>
      </c>
      <c r="Q107" s="945">
        <f>'1.Informe Seguimiento POA 2022'!R61</f>
        <v>0</v>
      </c>
      <c r="R107" s="480">
        <f>IFERROR(AVERAGE('1.Informe Seguimiento POA 2022'!P61,'1.Informe Seguimiento POA 2022'!R61),0)</f>
        <v>0.5</v>
      </c>
      <c r="S107" s="480">
        <f>IFERROR(IF(OR($N107="",$N107=0),0,ROUNDDOWN(AVERAGE($H107,Q107),3)),0)</f>
        <v>0.5</v>
      </c>
      <c r="T107" s="493">
        <f t="shared" ref="T107:T114" si="185">IF(AND(O107&gt;0),Q107/O107,"No programado")</f>
        <v>0</v>
      </c>
      <c r="U107" s="493">
        <f t="shared" ref="U107:U114" si="186">IF(AND(P107&gt;0),R107/P107,"No programado")</f>
        <v>0.5</v>
      </c>
      <c r="V107" s="479">
        <f t="shared" ref="V107:V114" si="187">IF(AND(N107&gt;0,$J107&gt;0),S107/$E107,0)</f>
        <v>0.5</v>
      </c>
      <c r="W107" s="480">
        <f>+N107</f>
        <v>1</v>
      </c>
      <c r="X107" s="508">
        <f>+'1.Informe Seguimiento POA 2022'!S61</f>
        <v>1</v>
      </c>
      <c r="Y107" s="480">
        <f>IFERROR(AVERAGE('1.Informe Seguimiento POA 2022'!O61,'1.Informe Seguimiento POA 2022'!Q61,'1.Informe Seguimiento POA 2022'!S61),0)</f>
        <v>1</v>
      </c>
      <c r="Z107" s="480">
        <f>+'1.Informe Seguimiento POA 2022'!T61</f>
        <v>0</v>
      </c>
      <c r="AA107" s="480">
        <f>IFERROR(AVERAGE('1.Informe Seguimiento POA 2022'!R61,'1.Informe Seguimiento POA 2022'!P61,'1.Informe Seguimiento POA 2022'!T61),0)</f>
        <v>0.33333333333333331</v>
      </c>
      <c r="AB107" s="480">
        <f>IFERROR(IF(OR($W107="",$W107=0),0,ROUNDDOWN(AVERAGE($H107,Q107,Z107),3)),0)</f>
        <v>0.33300000000000002</v>
      </c>
      <c r="AC107" s="493">
        <f t="shared" ref="AC107:AC114" si="188">IF(AND(X107&gt;0),Z107/X107,"No programado")</f>
        <v>0</v>
      </c>
      <c r="AD107" s="493">
        <f t="shared" ref="AD107:AD114" si="189">IF(AND(Y107&gt;0),AA107/Y107,"No programado")</f>
        <v>0.33333333333333331</v>
      </c>
      <c r="AE107" s="479">
        <f t="shared" ref="AE107:AE114" si="190">IF(AND(W107&gt;0,$J107&gt;0),AB107/$E107,0)</f>
        <v>0.33300000000000002</v>
      </c>
      <c r="AF107" s="480">
        <f>+W107</f>
        <v>1</v>
      </c>
      <c r="AG107" s="480">
        <f>+'1.Informe Seguimiento POA 2022'!U61</f>
        <v>1</v>
      </c>
      <c r="AH107" s="480">
        <f>IFERROR(AVERAGE('1.Informe Seguimiento POA 2022'!O61,'1.Informe Seguimiento POA 2022'!Q61,'1.Informe Seguimiento POA 2022'!S61,'1.Informe Seguimiento POA 2022'!U61),0)</f>
        <v>1</v>
      </c>
      <c r="AI107" s="480">
        <f>+'1.Informe Seguimiento POA 2022'!V61</f>
        <v>0</v>
      </c>
      <c r="AJ107" s="480">
        <f>IFERROR(AVERAGE('1.Informe Seguimiento POA 2022'!P61,'1.Informe Seguimiento POA 2022'!R61,'1.Informe Seguimiento POA 2022'!T61,'1.Informe Seguimiento POA 2022'!V61),0)</f>
        <v>0.25</v>
      </c>
      <c r="AK107" s="480">
        <f>IFERROR(IF(OR($W107="",$W107=0),0,ROUNDDOWN(AVERAGE($H107,Q107,Z107,AI107),3)),0)</f>
        <v>0.25</v>
      </c>
      <c r="AL107" s="493">
        <f t="shared" ref="AL107:AL114" si="191">IF(AND(AG107&gt;0),AI107/AG107,"No programado")</f>
        <v>0</v>
      </c>
      <c r="AM107" s="493">
        <f t="shared" ref="AM107:AM114" si="192">IF(AND(AH107&gt;0),AJ107/AH107,"No programado")</f>
        <v>0.25</v>
      </c>
      <c r="AN107" s="479">
        <f t="shared" ref="AN107:AN114" si="193">IF(AND(AF107&gt;0,$J107&gt;0),AK107/$E107,0)</f>
        <v>0.25</v>
      </c>
      <c r="AO107" s="483" t="str">
        <f>+'Rango indicadores'!H57</f>
        <v>Mayor o igual A:</v>
      </c>
      <c r="AP107" s="478">
        <f>+'Rango indicadores'!I57</f>
        <v>90</v>
      </c>
      <c r="AQ107" s="478" t="str">
        <f>+'Rango indicadores'!J57</f>
        <v>Desde (&gt;):</v>
      </c>
      <c r="AR107" s="478">
        <f>+'Rango indicadores'!K57</f>
        <v>69</v>
      </c>
      <c r="AS107" s="478" t="str">
        <f>+'Rango indicadores'!L57</f>
        <v>Hasta (&lt;):</v>
      </c>
      <c r="AT107" s="478">
        <f>+'Rango indicadores'!M57</f>
        <v>90</v>
      </c>
      <c r="AU107" s="478" t="str">
        <f>+'Rango indicadores'!N57</f>
        <v>Menor o Igual A:</v>
      </c>
      <c r="AV107" s="478">
        <f>+'Rango indicadores'!O57</f>
        <v>69</v>
      </c>
      <c r="AW107" s="582" t="s">
        <v>1177</v>
      </c>
      <c r="AX107" s="579"/>
      <c r="AY107" s="911">
        <f t="shared" ref="AY107:AY114" si="194">+F107-H107</f>
        <v>0</v>
      </c>
      <c r="AZ107" s="579"/>
    </row>
    <row r="108" spans="2:53" ht="109.8" customHeight="1">
      <c r="B108" s="475">
        <f t="shared" ref="B108:B114" si="195">+B107+1</f>
        <v>57</v>
      </c>
      <c r="C108" s="476" t="str">
        <f>+'Rango indicadores'!D58</f>
        <v>08-RI-02</v>
      </c>
      <c r="D108" s="476" t="str">
        <f>+'Rango indicadores'!E58</f>
        <v xml:space="preserve">Novedades incluidas en la nómina  oportunamente  </v>
      </c>
      <c r="E108" s="480">
        <f>+'Rango indicadores'!Q58</f>
        <v>0.98</v>
      </c>
      <c r="F108" s="508">
        <f>'1.Informe Seguimiento POA 2022'!O62</f>
        <v>0.98</v>
      </c>
      <c r="G108" s="508">
        <f>'1.Informe Seguimiento POA 2022'!O62</f>
        <v>0.98</v>
      </c>
      <c r="H108" s="945">
        <f>'1.Informe Seguimiento POA 2022'!P62</f>
        <v>0.98766666666666669</v>
      </c>
      <c r="I108" s="945">
        <f>'1.Informe Seguimiento POA 2022'!P62</f>
        <v>0.98766666666666669</v>
      </c>
      <c r="J108" s="945">
        <f t="shared" si="182"/>
        <v>0.98766666666666669</v>
      </c>
      <c r="K108" s="493">
        <f t="shared" ref="K108:K114" si="196">IF(AND(F108&gt;0),H108/F108,"No programado")</f>
        <v>1.0078231292517008</v>
      </c>
      <c r="L108" s="493">
        <f t="shared" ref="L108:L114" si="197">IF(AND(G108&gt;0),I108/G108,"No programado")</f>
        <v>1.0078231292517008</v>
      </c>
      <c r="M108" s="479">
        <f>IF(AND(E108&gt;0,$J108&gt;0),J108/$E108,0)*0.25</f>
        <v>0.2519557823129252</v>
      </c>
      <c r="N108" s="480">
        <f t="shared" ref="N108:N114" si="198">+E108</f>
        <v>0.98</v>
      </c>
      <c r="O108" s="945">
        <f>+'1.Informe Seguimiento POA 2022'!Q62</f>
        <v>0.98</v>
      </c>
      <c r="P108" s="1084">
        <f t="shared" ref="P108:P109" si="199">IFERROR(AVERAGE(F108,O108),0)</f>
        <v>0.98</v>
      </c>
      <c r="Q108" s="945">
        <f>'1.Informe Seguimiento POA 2022'!R62</f>
        <v>0</v>
      </c>
      <c r="R108" s="480">
        <f>IFERROR(AVERAGE('1.Informe Seguimiento POA 2022'!P62,'1.Informe Seguimiento POA 2022'!R62),0)</f>
        <v>0.49383333333333335</v>
      </c>
      <c r="S108" s="480">
        <f t="shared" ref="S108:S109" si="200">IFERROR(IF(OR($N108="",$N108=0),0,ROUNDDOWN(AVERAGE($H108,Q108),3)),0)</f>
        <v>0.49299999999999999</v>
      </c>
      <c r="T108" s="493">
        <f t="shared" si="185"/>
        <v>0</v>
      </c>
      <c r="U108" s="493">
        <f t="shared" si="186"/>
        <v>0.50391156462585041</v>
      </c>
      <c r="V108" s="479">
        <f t="shared" si="187"/>
        <v>0.50306122448979596</v>
      </c>
      <c r="W108" s="480">
        <f t="shared" ref="W108:W113" si="201">+N108</f>
        <v>0.98</v>
      </c>
      <c r="X108" s="508">
        <f>+'1.Informe Seguimiento POA 2022'!S62</f>
        <v>0.98</v>
      </c>
      <c r="Y108" s="480">
        <f>IFERROR(AVERAGE('1.Informe Seguimiento POA 2022'!O62,'1.Informe Seguimiento POA 2022'!Q62,'1.Informe Seguimiento POA 2022'!S62),0)</f>
        <v>0.98</v>
      </c>
      <c r="Z108" s="480">
        <f>+'1.Informe Seguimiento POA 2022'!T62</f>
        <v>0</v>
      </c>
      <c r="AA108" s="480">
        <f>IFERROR(AVERAGE('1.Informe Seguimiento POA 2022'!R62,'1.Informe Seguimiento POA 2022'!P62,'1.Informe Seguimiento POA 2022'!T62),0)</f>
        <v>0.32922222222222225</v>
      </c>
      <c r="AB108" s="480">
        <f t="shared" ref="AB108:AB109" si="202">IFERROR(IF(OR($W108="",$W108=0),0,ROUNDDOWN(AVERAGE($H108,Q108,Z108),3)),0)</f>
        <v>0.32900000000000001</v>
      </c>
      <c r="AC108" s="493">
        <f t="shared" si="188"/>
        <v>0</v>
      </c>
      <c r="AD108" s="493">
        <f t="shared" si="189"/>
        <v>0.33594104308390027</v>
      </c>
      <c r="AE108" s="479">
        <f t="shared" si="190"/>
        <v>0.33571428571428574</v>
      </c>
      <c r="AF108" s="480">
        <f t="shared" ref="AF108:AF109" si="203">+W108</f>
        <v>0.98</v>
      </c>
      <c r="AG108" s="480">
        <f>+'1.Informe Seguimiento POA 2022'!U62</f>
        <v>0.98</v>
      </c>
      <c r="AH108" s="480">
        <f>IFERROR(AVERAGE('1.Informe Seguimiento POA 2022'!O62,'1.Informe Seguimiento POA 2022'!Q62,'1.Informe Seguimiento POA 2022'!S62,'1.Informe Seguimiento POA 2022'!U62),0)</f>
        <v>0.98</v>
      </c>
      <c r="AI108" s="480">
        <f>+'1.Informe Seguimiento POA 2022'!V62</f>
        <v>0</v>
      </c>
      <c r="AJ108" s="480">
        <f>IFERROR(AVERAGE('1.Informe Seguimiento POA 2022'!P62,'1.Informe Seguimiento POA 2022'!R62,'1.Informe Seguimiento POA 2022'!T62,'1.Informe Seguimiento POA 2022'!V62),0)</f>
        <v>0.24691666666666667</v>
      </c>
      <c r="AK108" s="480">
        <f t="shared" ref="AK108:AK109" si="204">IFERROR(IF(OR($W108="",$W108=0),0,ROUNDDOWN(AVERAGE($H108,Q108,Z108,AI108),3)),0)</f>
        <v>0.246</v>
      </c>
      <c r="AL108" s="493">
        <f t="shared" si="191"/>
        <v>0</v>
      </c>
      <c r="AM108" s="493">
        <f t="shared" si="192"/>
        <v>0.2519557823129252</v>
      </c>
      <c r="AN108" s="479">
        <f t="shared" si="193"/>
        <v>0.25102040816326532</v>
      </c>
      <c r="AO108" s="483" t="str">
        <f>+'Rango indicadores'!H58</f>
        <v>Mayor o igual A:</v>
      </c>
      <c r="AP108" s="478">
        <f>+'Rango indicadores'!I58</f>
        <v>97</v>
      </c>
      <c r="AQ108" s="478" t="str">
        <f>+'Rango indicadores'!J58</f>
        <v>Desde (&gt;):</v>
      </c>
      <c r="AR108" s="478">
        <f>+'Rango indicadores'!K58</f>
        <v>84</v>
      </c>
      <c r="AS108" s="478" t="str">
        <f>+'Rango indicadores'!L58</f>
        <v>Hasta (&lt;):</v>
      </c>
      <c r="AT108" s="478">
        <f>+'Rango indicadores'!M58</f>
        <v>97</v>
      </c>
      <c r="AU108" s="478" t="str">
        <f>+'Rango indicadores'!N58</f>
        <v>Menor o Igual A:</v>
      </c>
      <c r="AV108" s="478">
        <f>+'Rango indicadores'!O58</f>
        <v>84</v>
      </c>
      <c r="AW108" s="582" t="s">
        <v>1224</v>
      </c>
      <c r="AX108" s="579"/>
      <c r="AY108" s="911">
        <f t="shared" si="194"/>
        <v>-7.6666666666667105E-3</v>
      </c>
      <c r="AZ108" s="579"/>
      <c r="BA108" s="495"/>
    </row>
    <row r="109" spans="2:53" ht="118.8" customHeight="1">
      <c r="B109" s="475">
        <f t="shared" si="195"/>
        <v>58</v>
      </c>
      <c r="C109" s="476" t="str">
        <f>+'Rango indicadores'!D59</f>
        <v>08-RI-03</v>
      </c>
      <c r="D109" s="476" t="str">
        <f>+'Rango indicadores'!E59</f>
        <v>Porcentaje de Usuarios internos satisfechos con las solicitudes de los servicios atendidas de la SGTH (Certificaciones laborales, bonos pensionales y autorizaciones de retiro de cesantías)</v>
      </c>
      <c r="E109" s="480">
        <f>+'Rango indicadores'!Q59</f>
        <v>0.96</v>
      </c>
      <c r="F109" s="508">
        <f>'1.Informe Seguimiento POA 2022'!O63</f>
        <v>0.96</v>
      </c>
      <c r="G109" s="508">
        <f>'1.Informe Seguimiento POA 2022'!O63</f>
        <v>0.96</v>
      </c>
      <c r="H109" s="945">
        <f>'1.Informe Seguimiento POA 2022'!P63</f>
        <v>0.92900000000000005</v>
      </c>
      <c r="I109" s="945">
        <f>'1.Informe Seguimiento POA 2022'!P63</f>
        <v>0.92900000000000005</v>
      </c>
      <c r="J109" s="945">
        <f t="shared" si="182"/>
        <v>0.92900000000000005</v>
      </c>
      <c r="K109" s="493">
        <f t="shared" si="196"/>
        <v>0.96770833333333339</v>
      </c>
      <c r="L109" s="493">
        <f t="shared" si="197"/>
        <v>0.96770833333333339</v>
      </c>
      <c r="M109" s="479">
        <f>IF(AND(E109&gt;0,$J109&gt;0),J109/$E109,0)*0.25</f>
        <v>0.24192708333333335</v>
      </c>
      <c r="N109" s="480">
        <f t="shared" si="198"/>
        <v>0.96</v>
      </c>
      <c r="O109" s="945">
        <f>+'1.Informe Seguimiento POA 2022'!Q63</f>
        <v>0.96</v>
      </c>
      <c r="P109" s="1084">
        <f t="shared" si="199"/>
        <v>0.96</v>
      </c>
      <c r="Q109" s="945">
        <f>'1.Informe Seguimiento POA 2022'!R63</f>
        <v>0</v>
      </c>
      <c r="R109" s="480">
        <f>IFERROR(AVERAGE('1.Informe Seguimiento POA 2022'!P63,'1.Informe Seguimiento POA 2022'!R63),0)</f>
        <v>0.46450000000000002</v>
      </c>
      <c r="S109" s="480">
        <f t="shared" si="200"/>
        <v>0.46400000000000002</v>
      </c>
      <c r="T109" s="493">
        <f t="shared" si="185"/>
        <v>0</v>
      </c>
      <c r="U109" s="493">
        <f t="shared" si="186"/>
        <v>0.4838541666666667</v>
      </c>
      <c r="V109" s="479">
        <f t="shared" si="187"/>
        <v>0.48333333333333339</v>
      </c>
      <c r="W109" s="480">
        <f t="shared" si="201"/>
        <v>0.96</v>
      </c>
      <c r="X109" s="508">
        <f>+'1.Informe Seguimiento POA 2022'!S63</f>
        <v>0.96</v>
      </c>
      <c r="Y109" s="480">
        <f>IFERROR(AVERAGE('1.Informe Seguimiento POA 2022'!O63,'1.Informe Seguimiento POA 2022'!Q63,'1.Informe Seguimiento POA 2022'!S63),0)</f>
        <v>0.96</v>
      </c>
      <c r="Z109" s="480">
        <f>+'1.Informe Seguimiento POA 2022'!T63</f>
        <v>0</v>
      </c>
      <c r="AA109" s="480">
        <f>IFERROR(AVERAGE('1.Informe Seguimiento POA 2022'!R63,'1.Informe Seguimiento POA 2022'!P63,'1.Informe Seguimiento POA 2022'!T63),0)</f>
        <v>0.3096666666666667</v>
      </c>
      <c r="AB109" s="480">
        <f t="shared" si="202"/>
        <v>0.309</v>
      </c>
      <c r="AC109" s="493">
        <f t="shared" si="188"/>
        <v>0</v>
      </c>
      <c r="AD109" s="493">
        <f t="shared" si="189"/>
        <v>0.32256944444444452</v>
      </c>
      <c r="AE109" s="479">
        <f t="shared" si="190"/>
        <v>0.32187500000000002</v>
      </c>
      <c r="AF109" s="480">
        <f t="shared" si="203"/>
        <v>0.96</v>
      </c>
      <c r="AG109" s="480">
        <f>+'1.Informe Seguimiento POA 2022'!U63</f>
        <v>0.96</v>
      </c>
      <c r="AH109" s="480">
        <f>IFERROR(AVERAGE('1.Informe Seguimiento POA 2022'!O63,'1.Informe Seguimiento POA 2022'!Q63,'1.Informe Seguimiento POA 2022'!S63,'1.Informe Seguimiento POA 2022'!U63),0)</f>
        <v>0.96</v>
      </c>
      <c r="AI109" s="480">
        <f>+'1.Informe Seguimiento POA 2022'!V63</f>
        <v>0</v>
      </c>
      <c r="AJ109" s="480">
        <f>IFERROR(AVERAGE('1.Informe Seguimiento POA 2022'!P63,'1.Informe Seguimiento POA 2022'!R63,'1.Informe Seguimiento POA 2022'!T63,'1.Informe Seguimiento POA 2022'!V63),0)</f>
        <v>0.23225000000000001</v>
      </c>
      <c r="AK109" s="480">
        <f t="shared" si="204"/>
        <v>0.23200000000000001</v>
      </c>
      <c r="AL109" s="493">
        <f t="shared" si="191"/>
        <v>0</v>
      </c>
      <c r="AM109" s="493">
        <f t="shared" si="192"/>
        <v>0.24192708333333335</v>
      </c>
      <c r="AN109" s="479">
        <f t="shared" si="193"/>
        <v>0.2416666666666667</v>
      </c>
      <c r="AO109" s="483" t="str">
        <f>+'Rango indicadores'!H59</f>
        <v>Mayor o igual A:</v>
      </c>
      <c r="AP109" s="478">
        <f>+'Rango indicadores'!I59</f>
        <v>90</v>
      </c>
      <c r="AQ109" s="478" t="str">
        <f>+'Rango indicadores'!J59</f>
        <v>Desde (&gt;):</v>
      </c>
      <c r="AR109" s="478">
        <f>+'Rango indicadores'!K59</f>
        <v>79</v>
      </c>
      <c r="AS109" s="478" t="str">
        <f>+'Rango indicadores'!L59</f>
        <v>Hasta (&lt;):</v>
      </c>
      <c r="AT109" s="478">
        <f>+'Rango indicadores'!M59</f>
        <v>90</v>
      </c>
      <c r="AU109" s="478" t="str">
        <f>+'Rango indicadores'!N59</f>
        <v>Menor o Igual A:</v>
      </c>
      <c r="AV109" s="478">
        <f>+'Rango indicadores'!O59</f>
        <v>79</v>
      </c>
      <c r="AW109" s="582" t="s">
        <v>1203</v>
      </c>
      <c r="AX109" s="579"/>
      <c r="AY109" s="911">
        <f t="shared" si="194"/>
        <v>3.0999999999999917E-2</v>
      </c>
      <c r="AZ109" s="579"/>
      <c r="BA109" s="496"/>
    </row>
    <row r="110" spans="2:53" ht="79.2">
      <c r="B110" s="475">
        <f t="shared" si="195"/>
        <v>59</v>
      </c>
      <c r="C110" s="476" t="str">
        <f>+'Rango indicadores'!D60</f>
        <v>08-RI-04</v>
      </c>
      <c r="D110" s="476" t="str">
        <f>+'Rango indicadores'!E60</f>
        <v>Plan Institucional de Capacitación formulado y ejecutado</v>
      </c>
      <c r="E110" s="480">
        <f>+'Rango indicadores'!Q60</f>
        <v>1</v>
      </c>
      <c r="F110" s="508">
        <f>'1.Informe Seguimiento POA 2022'!O64</f>
        <v>0.3</v>
      </c>
      <c r="G110" s="508">
        <f>'1.Informe Seguimiento POA 2022'!O64</f>
        <v>0.3</v>
      </c>
      <c r="H110" s="945">
        <f>'1.Informe Seguimiento POA 2022'!P64</f>
        <v>0.3</v>
      </c>
      <c r="I110" s="945">
        <f>'1.Informe Seguimiento POA 2022'!P64</f>
        <v>0.3</v>
      </c>
      <c r="J110" s="945">
        <f t="shared" si="182"/>
        <v>0.3</v>
      </c>
      <c r="K110" s="493">
        <f t="shared" si="196"/>
        <v>1</v>
      </c>
      <c r="L110" s="493">
        <f t="shared" si="197"/>
        <v>1</v>
      </c>
      <c r="M110" s="479">
        <f t="shared" ref="M110:M114" si="205">IF(AND(E110&gt;0,$J110&gt;0),J110/$E110,0)</f>
        <v>0.3</v>
      </c>
      <c r="N110" s="480">
        <f t="shared" si="198"/>
        <v>1</v>
      </c>
      <c r="O110" s="508">
        <f>+'1.Informe Seguimiento POA 2022'!Q64</f>
        <v>0.15000000000000002</v>
      </c>
      <c r="P110" s="508">
        <f>+'1.Informe Seguimiento POA 2022'!O64+'1.Informe Seguimiento POA 2022'!Q64</f>
        <v>0.45</v>
      </c>
      <c r="Q110" s="508">
        <f>+'1.Informe Seguimiento POA 2022'!R64</f>
        <v>0</v>
      </c>
      <c r="R110" s="508">
        <f>+'1.Informe Seguimiento POA 2022'!P64+'1.Informe Seguimiento POA 2022'!R64</f>
        <v>0.3</v>
      </c>
      <c r="S110" s="508">
        <f t="shared" ref="S110" si="206">H110+Q110</f>
        <v>0.3</v>
      </c>
      <c r="T110" s="493">
        <f t="shared" si="185"/>
        <v>0</v>
      </c>
      <c r="U110" s="493">
        <f t="shared" si="186"/>
        <v>0.66666666666666663</v>
      </c>
      <c r="V110" s="479">
        <f t="shared" si="187"/>
        <v>0.3</v>
      </c>
      <c r="W110" s="480">
        <f t="shared" si="201"/>
        <v>1</v>
      </c>
      <c r="X110" s="508">
        <f>+'1.Informe Seguimiento POA 2022'!S64</f>
        <v>0.2</v>
      </c>
      <c r="Y110" s="508">
        <f>+'1.Informe Seguimiento POA 2022'!O64+'1.Informe Seguimiento POA 2022'!Q64+'1.Informe Seguimiento POA 2022'!S64</f>
        <v>0.65</v>
      </c>
      <c r="Z110" s="508">
        <f>+'1.Informe Seguimiento POA 2022'!T64</f>
        <v>0</v>
      </c>
      <c r="AA110" s="508">
        <f>+'1.Informe Seguimiento POA 2022'!R64+'1.Informe Seguimiento POA 2022'!T64+'1.Informe Seguimiento POA 2022'!P64</f>
        <v>0.3</v>
      </c>
      <c r="AB110" s="508">
        <f t="shared" ref="AB110" si="207">H110+Q110+Z110</f>
        <v>0.3</v>
      </c>
      <c r="AC110" s="493">
        <f t="shared" si="188"/>
        <v>0</v>
      </c>
      <c r="AD110" s="493">
        <f t="shared" si="189"/>
        <v>0.46153846153846151</v>
      </c>
      <c r="AE110" s="479">
        <f t="shared" si="190"/>
        <v>0.3</v>
      </c>
      <c r="AF110" s="480">
        <f t="shared" ref="AF110:AF113" si="208">+W110</f>
        <v>1</v>
      </c>
      <c r="AG110" s="480">
        <f>+'1.Informe Seguimiento POA 2022'!U64</f>
        <v>0.35000000000000003</v>
      </c>
      <c r="AH110" s="480">
        <f>+'1.Informe Seguimiento POA 2022'!O64+'1.Informe Seguimiento POA 2022'!Q64+'1.Informe Seguimiento POA 2022'!S64+'1.Informe Seguimiento POA 2022'!U64</f>
        <v>1</v>
      </c>
      <c r="AI110" s="912">
        <f>+'1.Informe Seguimiento POA 2022'!V64</f>
        <v>0</v>
      </c>
      <c r="AJ110" s="480">
        <f>+'1.Informe Seguimiento POA 2022'!P64+'1.Informe Seguimiento POA 2022'!R64+'1.Informe Seguimiento POA 2022'!T64+'1.Informe Seguimiento POA 2022'!V64</f>
        <v>0.3</v>
      </c>
      <c r="AK110" s="514">
        <f t="shared" ref="AK110:AK114" si="209">H110+Q110+Z110+AI110</f>
        <v>0.3</v>
      </c>
      <c r="AL110" s="493">
        <f t="shared" si="191"/>
        <v>0</v>
      </c>
      <c r="AM110" s="493">
        <f t="shared" si="192"/>
        <v>0.3</v>
      </c>
      <c r="AN110" s="479">
        <f t="shared" si="193"/>
        <v>0.3</v>
      </c>
      <c r="AO110" s="483" t="str">
        <f>+'Rango indicadores'!H60</f>
        <v>Mayor o igual A:</v>
      </c>
      <c r="AP110" s="478">
        <f>+'Rango indicadores'!I60</f>
        <v>90</v>
      </c>
      <c r="AQ110" s="478" t="str">
        <f>+'Rango indicadores'!J60</f>
        <v>Desde (&gt;):</v>
      </c>
      <c r="AR110" s="478">
        <f>+'Rango indicadores'!K60</f>
        <v>69</v>
      </c>
      <c r="AS110" s="478" t="str">
        <f>+'Rango indicadores'!L60</f>
        <v>Hasta (&lt;):</v>
      </c>
      <c r="AT110" s="478">
        <f>+'Rango indicadores'!M60</f>
        <v>90</v>
      </c>
      <c r="AU110" s="478" t="str">
        <f>+'Rango indicadores'!N60</f>
        <v>Menor o Igual A:</v>
      </c>
      <c r="AV110" s="478">
        <f>+'Rango indicadores'!O60</f>
        <v>69</v>
      </c>
      <c r="AW110" s="574" t="s">
        <v>1197</v>
      </c>
      <c r="AX110" s="656"/>
      <c r="AY110" s="911">
        <f t="shared" si="194"/>
        <v>0</v>
      </c>
      <c r="AZ110" s="579"/>
    </row>
    <row r="111" spans="2:53" ht="79.2">
      <c r="B111" s="475">
        <f t="shared" si="195"/>
        <v>60</v>
      </c>
      <c r="C111" s="476" t="str">
        <f>+'Rango indicadores'!D61</f>
        <v>08-RI-05</v>
      </c>
      <c r="D111" s="476" t="str">
        <f>+'Rango indicadores'!E61</f>
        <v>Plan Institucional de Bienestar formulado y ejecutado</v>
      </c>
      <c r="E111" s="480">
        <f>+'Rango indicadores'!Q61</f>
        <v>1</v>
      </c>
      <c r="F111" s="508">
        <f>'1.Informe Seguimiento POA 2022'!O65</f>
        <v>0.25830000000000003</v>
      </c>
      <c r="G111" s="508">
        <f>'1.Informe Seguimiento POA 2022'!O65</f>
        <v>0.25830000000000003</v>
      </c>
      <c r="H111" s="945">
        <f>'1.Informe Seguimiento POA 2022'!P65</f>
        <v>0.25830000000000003</v>
      </c>
      <c r="I111" s="945">
        <f>'1.Informe Seguimiento POA 2022'!P65</f>
        <v>0.25830000000000003</v>
      </c>
      <c r="J111" s="945">
        <f t="shared" si="182"/>
        <v>0.25830000000000003</v>
      </c>
      <c r="K111" s="493">
        <f t="shared" si="196"/>
        <v>1</v>
      </c>
      <c r="L111" s="493">
        <f t="shared" si="197"/>
        <v>1</v>
      </c>
      <c r="M111" s="479">
        <f t="shared" si="205"/>
        <v>0.25830000000000003</v>
      </c>
      <c r="N111" s="480">
        <f t="shared" si="198"/>
        <v>1</v>
      </c>
      <c r="O111" s="508">
        <f>+'1.Informe Seguimiento POA 2022'!Q65</f>
        <v>0.17499999999999999</v>
      </c>
      <c r="P111" s="508">
        <f>+'1.Informe Seguimiento POA 2022'!O65+'1.Informe Seguimiento POA 2022'!Q65</f>
        <v>0.43330000000000002</v>
      </c>
      <c r="Q111" s="508">
        <f>+'1.Informe Seguimiento POA 2022'!R65</f>
        <v>0</v>
      </c>
      <c r="R111" s="508">
        <f>+'1.Informe Seguimiento POA 2022'!P65+'1.Informe Seguimiento POA 2022'!R65</f>
        <v>0.25830000000000003</v>
      </c>
      <c r="S111" s="508">
        <f t="shared" ref="S111:S114" si="210">H111+Q111</f>
        <v>0.25830000000000003</v>
      </c>
      <c r="T111" s="493">
        <f t="shared" si="185"/>
        <v>0</v>
      </c>
      <c r="U111" s="493">
        <f t="shared" si="186"/>
        <v>0.59612277867528274</v>
      </c>
      <c r="V111" s="479">
        <f t="shared" si="187"/>
        <v>0.25830000000000003</v>
      </c>
      <c r="W111" s="480">
        <f t="shared" si="201"/>
        <v>1</v>
      </c>
      <c r="X111" s="508">
        <f>+'1.Informe Seguimiento POA 2022'!S65</f>
        <v>0.22369999999999995</v>
      </c>
      <c r="Y111" s="508">
        <f>+'1.Informe Seguimiento POA 2022'!O65+'1.Informe Seguimiento POA 2022'!Q65+'1.Informe Seguimiento POA 2022'!S65</f>
        <v>0.65700000000000003</v>
      </c>
      <c r="Z111" s="508">
        <f>+'1.Informe Seguimiento POA 2022'!T65</f>
        <v>0</v>
      </c>
      <c r="AA111" s="508">
        <f>+'1.Informe Seguimiento POA 2022'!R65+'1.Informe Seguimiento POA 2022'!T65+'1.Informe Seguimiento POA 2022'!P65</f>
        <v>0.25830000000000003</v>
      </c>
      <c r="AB111" s="508">
        <f t="shared" ref="AB111:AB114" si="211">H111+Q111+Z111</f>
        <v>0.25830000000000003</v>
      </c>
      <c r="AC111" s="493">
        <f t="shared" si="188"/>
        <v>0</v>
      </c>
      <c r="AD111" s="493">
        <f t="shared" si="189"/>
        <v>0.3931506849315069</v>
      </c>
      <c r="AE111" s="479">
        <f t="shared" si="190"/>
        <v>0.25830000000000003</v>
      </c>
      <c r="AF111" s="480">
        <f t="shared" si="208"/>
        <v>1</v>
      </c>
      <c r="AG111" s="480">
        <f>+'1.Informe Seguimiento POA 2022'!U65</f>
        <v>0.34299999999999997</v>
      </c>
      <c r="AH111" s="480">
        <f>+'1.Informe Seguimiento POA 2022'!O65+'1.Informe Seguimiento POA 2022'!Q65+'1.Informe Seguimiento POA 2022'!S65+'1.Informe Seguimiento POA 2022'!U65</f>
        <v>1</v>
      </c>
      <c r="AI111" s="912">
        <f>+'1.Informe Seguimiento POA 2022'!V65</f>
        <v>0</v>
      </c>
      <c r="AJ111" s="480">
        <f>+'1.Informe Seguimiento POA 2022'!P65+'1.Informe Seguimiento POA 2022'!R65+'1.Informe Seguimiento POA 2022'!T65+'1.Informe Seguimiento POA 2022'!V65</f>
        <v>0.25830000000000003</v>
      </c>
      <c r="AK111" s="514">
        <f t="shared" si="209"/>
        <v>0.25830000000000003</v>
      </c>
      <c r="AL111" s="493">
        <f t="shared" si="191"/>
        <v>0</v>
      </c>
      <c r="AM111" s="493">
        <f t="shared" si="192"/>
        <v>0.25830000000000003</v>
      </c>
      <c r="AN111" s="479">
        <f t="shared" si="193"/>
        <v>0.25830000000000003</v>
      </c>
      <c r="AO111" s="483" t="str">
        <f>+'Rango indicadores'!H61</f>
        <v>Mayor o igual A:</v>
      </c>
      <c r="AP111" s="478">
        <f>+'Rango indicadores'!I61</f>
        <v>90</v>
      </c>
      <c r="AQ111" s="478" t="str">
        <f>+'Rango indicadores'!J61</f>
        <v>Desde (&gt;):</v>
      </c>
      <c r="AR111" s="478">
        <f>+'Rango indicadores'!K61</f>
        <v>69</v>
      </c>
      <c r="AS111" s="478" t="str">
        <f>+'Rango indicadores'!L61</f>
        <v>Hasta (&lt;):</v>
      </c>
      <c r="AT111" s="478">
        <f>+'Rango indicadores'!M61</f>
        <v>90</v>
      </c>
      <c r="AU111" s="478" t="str">
        <f>+'Rango indicadores'!N61</f>
        <v>Menor o Igual A:</v>
      </c>
      <c r="AV111" s="478">
        <f>+'Rango indicadores'!O61</f>
        <v>69</v>
      </c>
      <c r="AW111" s="574" t="s">
        <v>1204</v>
      </c>
      <c r="AX111" s="579"/>
      <c r="AY111" s="911">
        <f t="shared" si="194"/>
        <v>0</v>
      </c>
      <c r="AZ111" s="579"/>
      <c r="BA111" s="495"/>
    </row>
    <row r="112" spans="2:53" ht="79.2">
      <c r="B112" s="475">
        <f t="shared" si="195"/>
        <v>61</v>
      </c>
      <c r="C112" s="476" t="str">
        <f>+'Rango indicadores'!D62</f>
        <v>08-RI-06</v>
      </c>
      <c r="D112" s="476" t="str">
        <f>+'Rango indicadores'!E62</f>
        <v>Plan Institucional de Incentivos formulado y ejecutado</v>
      </c>
      <c r="E112" s="480">
        <f>+'Rango indicadores'!Q62</f>
        <v>1</v>
      </c>
      <c r="F112" s="508">
        <f>'1.Informe Seguimiento POA 2022'!O66</f>
        <v>0.25</v>
      </c>
      <c r="G112" s="508">
        <f>'1.Informe Seguimiento POA 2022'!O66</f>
        <v>0.25</v>
      </c>
      <c r="H112" s="945">
        <f>'1.Informe Seguimiento POA 2022'!P66</f>
        <v>0.25</v>
      </c>
      <c r="I112" s="945">
        <f>'1.Informe Seguimiento POA 2022'!P66</f>
        <v>0.25</v>
      </c>
      <c r="J112" s="945">
        <f t="shared" si="182"/>
        <v>0.25</v>
      </c>
      <c r="K112" s="493">
        <f t="shared" si="196"/>
        <v>1</v>
      </c>
      <c r="L112" s="493">
        <f t="shared" si="197"/>
        <v>1</v>
      </c>
      <c r="M112" s="479">
        <f t="shared" si="205"/>
        <v>0.25</v>
      </c>
      <c r="N112" s="480">
        <f t="shared" si="198"/>
        <v>1</v>
      </c>
      <c r="O112" s="508">
        <f>+'1.Informe Seguimiento POA 2022'!Q66</f>
        <v>0.1</v>
      </c>
      <c r="P112" s="508">
        <f>+'1.Informe Seguimiento POA 2022'!O66+'1.Informe Seguimiento POA 2022'!Q66</f>
        <v>0.35</v>
      </c>
      <c r="Q112" s="508">
        <f>+'1.Informe Seguimiento POA 2022'!R66</f>
        <v>0</v>
      </c>
      <c r="R112" s="508">
        <f>+'1.Informe Seguimiento POA 2022'!P66+'1.Informe Seguimiento POA 2022'!R66</f>
        <v>0.25</v>
      </c>
      <c r="S112" s="508">
        <f t="shared" si="210"/>
        <v>0.25</v>
      </c>
      <c r="T112" s="493">
        <f t="shared" si="185"/>
        <v>0</v>
      </c>
      <c r="U112" s="493">
        <f t="shared" si="186"/>
        <v>0.7142857142857143</v>
      </c>
      <c r="V112" s="479">
        <f t="shared" si="187"/>
        <v>0.25</v>
      </c>
      <c r="W112" s="480">
        <f t="shared" si="201"/>
        <v>1</v>
      </c>
      <c r="X112" s="508">
        <f>+'1.Informe Seguimiento POA 2022'!S66</f>
        <v>0.1</v>
      </c>
      <c r="Y112" s="508">
        <f>+'1.Informe Seguimiento POA 2022'!O66+'1.Informe Seguimiento POA 2022'!Q66+'1.Informe Seguimiento POA 2022'!S66</f>
        <v>0.44999999999999996</v>
      </c>
      <c r="Z112" s="508">
        <f>+'1.Informe Seguimiento POA 2022'!T66</f>
        <v>0</v>
      </c>
      <c r="AA112" s="508">
        <f>+'1.Informe Seguimiento POA 2022'!R66+'1.Informe Seguimiento POA 2022'!T66+'1.Informe Seguimiento POA 2022'!P66</f>
        <v>0.25</v>
      </c>
      <c r="AB112" s="508">
        <f t="shared" si="211"/>
        <v>0.25</v>
      </c>
      <c r="AC112" s="493">
        <f t="shared" si="188"/>
        <v>0</v>
      </c>
      <c r="AD112" s="493">
        <f t="shared" si="189"/>
        <v>0.55555555555555558</v>
      </c>
      <c r="AE112" s="479">
        <f t="shared" si="190"/>
        <v>0.25</v>
      </c>
      <c r="AF112" s="480">
        <f t="shared" si="208"/>
        <v>1</v>
      </c>
      <c r="AG112" s="480">
        <f>+'1.Informe Seguimiento POA 2022'!U66</f>
        <v>0.54999999999999993</v>
      </c>
      <c r="AH112" s="480">
        <f>+'1.Informe Seguimiento POA 2022'!O66+'1.Informe Seguimiento POA 2022'!Q66+'1.Informe Seguimiento POA 2022'!S66+'1.Informe Seguimiento POA 2022'!U66</f>
        <v>0.99999999999999989</v>
      </c>
      <c r="AI112" s="912">
        <f>+'1.Informe Seguimiento POA 2022'!V66</f>
        <v>0</v>
      </c>
      <c r="AJ112" s="480">
        <f>+'1.Informe Seguimiento POA 2022'!P66+'1.Informe Seguimiento POA 2022'!R66+'1.Informe Seguimiento POA 2022'!T66+'1.Informe Seguimiento POA 2022'!V66</f>
        <v>0.25</v>
      </c>
      <c r="AK112" s="514">
        <f t="shared" si="209"/>
        <v>0.25</v>
      </c>
      <c r="AL112" s="493">
        <f t="shared" si="191"/>
        <v>0</v>
      </c>
      <c r="AM112" s="493">
        <f t="shared" si="192"/>
        <v>0.25</v>
      </c>
      <c r="AN112" s="479">
        <f t="shared" si="193"/>
        <v>0.25</v>
      </c>
      <c r="AO112" s="483" t="str">
        <f>+'Rango indicadores'!H62</f>
        <v>Mayor o igual A:</v>
      </c>
      <c r="AP112" s="478">
        <f>+'Rango indicadores'!I62</f>
        <v>90</v>
      </c>
      <c r="AQ112" s="478" t="str">
        <f>+'Rango indicadores'!J62</f>
        <v>Desde (&gt;):</v>
      </c>
      <c r="AR112" s="478">
        <f>+'Rango indicadores'!K62</f>
        <v>69</v>
      </c>
      <c r="AS112" s="478" t="str">
        <f>+'Rango indicadores'!L62</f>
        <v>Hasta (&lt;):</v>
      </c>
      <c r="AT112" s="478">
        <f>+'Rango indicadores'!M62</f>
        <v>90</v>
      </c>
      <c r="AU112" s="478" t="str">
        <f>+'Rango indicadores'!N62</f>
        <v>Menor o Igual A:</v>
      </c>
      <c r="AV112" s="478">
        <f>+'Rango indicadores'!O62</f>
        <v>69</v>
      </c>
      <c r="AW112" s="574" t="s">
        <v>1196</v>
      </c>
      <c r="AX112" s="687"/>
      <c r="AY112" s="911">
        <f t="shared" si="194"/>
        <v>0</v>
      </c>
      <c r="AZ112" s="579"/>
      <c r="BA112" s="496"/>
    </row>
    <row r="113" spans="2:53" ht="77.400000000000006" customHeight="1">
      <c r="B113" s="475">
        <f t="shared" si="195"/>
        <v>62</v>
      </c>
      <c r="C113" s="476" t="str">
        <f>+'Rango indicadores'!D63</f>
        <v>08-RI-07</v>
      </c>
      <c r="D113" s="476" t="str">
        <f>+'Rango indicadores'!E63</f>
        <v>Plan Anual de Trabajo del Sistema de Gestión de Seguridad y Salud en el Trabajo SG-SST diseñado y ejecutado</v>
      </c>
      <c r="E113" s="480">
        <f>+'Rango indicadores'!Q63</f>
        <v>1</v>
      </c>
      <c r="F113" s="508">
        <f>'1.Informe Seguimiento POA 2022'!O67</f>
        <v>0.40160000000000001</v>
      </c>
      <c r="G113" s="508">
        <f>'1.Informe Seguimiento POA 2022'!O67</f>
        <v>0.40160000000000001</v>
      </c>
      <c r="H113" s="945">
        <f>'1.Informe Seguimiento POA 2022'!P67</f>
        <v>0.40160000000000001</v>
      </c>
      <c r="I113" s="945">
        <f>'1.Informe Seguimiento POA 2022'!P67</f>
        <v>0.40160000000000001</v>
      </c>
      <c r="J113" s="945">
        <f t="shared" si="182"/>
        <v>0.40160000000000001</v>
      </c>
      <c r="K113" s="493">
        <f t="shared" si="196"/>
        <v>1</v>
      </c>
      <c r="L113" s="493">
        <f t="shared" si="197"/>
        <v>1</v>
      </c>
      <c r="M113" s="479">
        <f t="shared" si="205"/>
        <v>0.40160000000000001</v>
      </c>
      <c r="N113" s="480">
        <f t="shared" si="198"/>
        <v>1</v>
      </c>
      <c r="O113" s="508">
        <f>+'1.Informe Seguimiento POA 2022'!Q67</f>
        <v>0.19600000000000001</v>
      </c>
      <c r="P113" s="508">
        <f>+'1.Informe Seguimiento POA 2022'!O67+'1.Informe Seguimiento POA 2022'!Q67</f>
        <v>0.59760000000000002</v>
      </c>
      <c r="Q113" s="508">
        <f>+'1.Informe Seguimiento POA 2022'!R67</f>
        <v>0</v>
      </c>
      <c r="R113" s="508">
        <f>+'1.Informe Seguimiento POA 2022'!P67+'1.Informe Seguimiento POA 2022'!R67</f>
        <v>0.40160000000000001</v>
      </c>
      <c r="S113" s="508">
        <f t="shared" si="210"/>
        <v>0.40160000000000001</v>
      </c>
      <c r="T113" s="493">
        <f t="shared" si="185"/>
        <v>0</v>
      </c>
      <c r="U113" s="493">
        <f t="shared" si="186"/>
        <v>0.67202141900937085</v>
      </c>
      <c r="V113" s="479">
        <f t="shared" si="187"/>
        <v>0.40160000000000001</v>
      </c>
      <c r="W113" s="480">
        <f t="shared" si="201"/>
        <v>1</v>
      </c>
      <c r="X113" s="508">
        <f>+'1.Informe Seguimiento POA 2022'!S67</f>
        <v>0.1232</v>
      </c>
      <c r="Y113" s="508">
        <f>+'1.Informe Seguimiento POA 2022'!O67+'1.Informe Seguimiento POA 2022'!Q67+'1.Informe Seguimiento POA 2022'!S67</f>
        <v>0.7208</v>
      </c>
      <c r="Z113" s="508">
        <f>+'1.Informe Seguimiento POA 2022'!T67</f>
        <v>0</v>
      </c>
      <c r="AA113" s="508">
        <f>+'1.Informe Seguimiento POA 2022'!R67+'1.Informe Seguimiento POA 2022'!T67+'1.Informe Seguimiento POA 2022'!P67</f>
        <v>0.40160000000000001</v>
      </c>
      <c r="AB113" s="508">
        <f t="shared" si="211"/>
        <v>0.40160000000000001</v>
      </c>
      <c r="AC113" s="493">
        <f t="shared" si="188"/>
        <v>0</v>
      </c>
      <c r="AD113" s="493">
        <f t="shared" si="189"/>
        <v>0.55715871254162042</v>
      </c>
      <c r="AE113" s="479">
        <f t="shared" si="190"/>
        <v>0.40160000000000001</v>
      </c>
      <c r="AF113" s="480">
        <f t="shared" si="208"/>
        <v>1</v>
      </c>
      <c r="AG113" s="480">
        <f>+'1.Informe Seguimiento POA 2022'!U67</f>
        <v>0.2792</v>
      </c>
      <c r="AH113" s="480">
        <f>+'1.Informe Seguimiento POA 2022'!O67+'1.Informe Seguimiento POA 2022'!Q67+'1.Informe Seguimiento POA 2022'!S67+'1.Informe Seguimiento POA 2022'!U67</f>
        <v>1</v>
      </c>
      <c r="AI113" s="912">
        <f>+'1.Informe Seguimiento POA 2022'!V67</f>
        <v>0</v>
      </c>
      <c r="AJ113" s="480">
        <f>+'1.Informe Seguimiento POA 2022'!P67+'1.Informe Seguimiento POA 2022'!R67+'1.Informe Seguimiento POA 2022'!T67+'1.Informe Seguimiento POA 2022'!V67</f>
        <v>0.40160000000000001</v>
      </c>
      <c r="AK113" s="514">
        <f t="shared" si="209"/>
        <v>0.40160000000000001</v>
      </c>
      <c r="AL113" s="493">
        <f t="shared" si="191"/>
        <v>0</v>
      </c>
      <c r="AM113" s="493">
        <f t="shared" si="192"/>
        <v>0.40160000000000001</v>
      </c>
      <c r="AN113" s="479">
        <f t="shared" si="193"/>
        <v>0.40160000000000001</v>
      </c>
      <c r="AO113" s="483" t="str">
        <f>+'Rango indicadores'!H63</f>
        <v>Mayor o igual A:</v>
      </c>
      <c r="AP113" s="478">
        <f>+'Rango indicadores'!I63</f>
        <v>90</v>
      </c>
      <c r="AQ113" s="478" t="str">
        <f>+'Rango indicadores'!J63</f>
        <v>Desde (&gt;):</v>
      </c>
      <c r="AR113" s="478">
        <f>+'Rango indicadores'!K63</f>
        <v>69</v>
      </c>
      <c r="AS113" s="478" t="str">
        <f>+'Rango indicadores'!L63</f>
        <v>Hasta (&lt;):</v>
      </c>
      <c r="AT113" s="478">
        <f>+'Rango indicadores'!M63</f>
        <v>90</v>
      </c>
      <c r="AU113" s="478" t="str">
        <f>+'Rango indicadores'!N63</f>
        <v>Menor o Igual A:</v>
      </c>
      <c r="AV113" s="478">
        <f>+'Rango indicadores'!O63</f>
        <v>69</v>
      </c>
      <c r="AW113" s="574" t="s">
        <v>1205</v>
      </c>
      <c r="AX113" s="580"/>
      <c r="AY113" s="911">
        <f t="shared" si="194"/>
        <v>0</v>
      </c>
      <c r="AZ113" s="580"/>
      <c r="BA113" s="496"/>
    </row>
    <row r="114" spans="2:53" ht="87.6" customHeight="1">
      <c r="B114" s="475">
        <f t="shared" si="195"/>
        <v>63</v>
      </c>
      <c r="C114" s="476" t="str">
        <f>+'Rango indicadores'!D64</f>
        <v>08-RI-08</v>
      </c>
      <c r="D114" s="476" t="str">
        <f>+'Rango indicadores'!E64</f>
        <v>Capacitaciones realizadas sobre los Sistemas de Gestión y Evaluación del Desempeño Laboral de la Personería de Bogotá, D.C.</v>
      </c>
      <c r="E114" s="490">
        <f>+'Rango indicadores'!Q64</f>
        <v>4</v>
      </c>
      <c r="F114" s="490">
        <f>'1.Informe Seguimiento POA 2022'!O68</f>
        <v>2</v>
      </c>
      <c r="G114" s="490">
        <f>'1.Informe Seguimiento POA 2022'!O68</f>
        <v>2</v>
      </c>
      <c r="H114" s="490">
        <f>'1.Informe Seguimiento POA 2022'!P68</f>
        <v>2</v>
      </c>
      <c r="I114" s="490">
        <f>'1.Informe Seguimiento POA 2022'!P68</f>
        <v>2</v>
      </c>
      <c r="J114" s="490">
        <f t="shared" si="182"/>
        <v>2</v>
      </c>
      <c r="K114" s="493">
        <f t="shared" si="196"/>
        <v>1</v>
      </c>
      <c r="L114" s="493">
        <f t="shared" si="197"/>
        <v>1</v>
      </c>
      <c r="M114" s="479">
        <f t="shared" si="205"/>
        <v>0.5</v>
      </c>
      <c r="N114" s="490">
        <f t="shared" si="198"/>
        <v>4</v>
      </c>
      <c r="O114" s="490">
        <f>+'1.Informe Seguimiento POA 2022'!Q68</f>
        <v>1</v>
      </c>
      <c r="P114" s="490">
        <f>+'1.Informe Seguimiento POA 2022'!O68+'1.Informe Seguimiento POA 2022'!Q68</f>
        <v>3</v>
      </c>
      <c r="Q114" s="490">
        <f>+'1.Informe Seguimiento POA 2022'!R68</f>
        <v>0</v>
      </c>
      <c r="R114" s="490">
        <f>+'1.Informe Seguimiento POA 2022'!P68+'1.Informe Seguimiento POA 2022'!R68</f>
        <v>2</v>
      </c>
      <c r="S114" s="490">
        <f t="shared" si="210"/>
        <v>2</v>
      </c>
      <c r="T114" s="493">
        <f t="shared" si="185"/>
        <v>0</v>
      </c>
      <c r="U114" s="493">
        <f t="shared" si="186"/>
        <v>0.66666666666666663</v>
      </c>
      <c r="V114" s="479">
        <f t="shared" si="187"/>
        <v>0.5</v>
      </c>
      <c r="W114" s="490">
        <f>+N114</f>
        <v>4</v>
      </c>
      <c r="X114" s="490">
        <f>+'1.Informe Seguimiento POA 2022'!S68</f>
        <v>1</v>
      </c>
      <c r="Y114" s="490">
        <f>+'1.Informe Seguimiento POA 2022'!O68+'1.Informe Seguimiento POA 2022'!Q68+'1.Informe Seguimiento POA 2022'!S68</f>
        <v>4</v>
      </c>
      <c r="Z114" s="490">
        <f>+'1.Informe Seguimiento POA 2022'!T68</f>
        <v>0</v>
      </c>
      <c r="AA114" s="490">
        <f>+'1.Informe Seguimiento POA 2022'!R68+'1.Informe Seguimiento POA 2022'!T68+'1.Informe Seguimiento POA 2022'!P68</f>
        <v>2</v>
      </c>
      <c r="AB114" s="490">
        <f t="shared" si="211"/>
        <v>2</v>
      </c>
      <c r="AC114" s="493">
        <f t="shared" si="188"/>
        <v>0</v>
      </c>
      <c r="AD114" s="493">
        <f t="shared" si="189"/>
        <v>0.5</v>
      </c>
      <c r="AE114" s="479">
        <f t="shared" si="190"/>
        <v>0.5</v>
      </c>
      <c r="AF114" s="490">
        <f>+W114</f>
        <v>4</v>
      </c>
      <c r="AG114" s="490">
        <f>+'1.Informe Seguimiento POA 2022'!U68</f>
        <v>0</v>
      </c>
      <c r="AH114" s="490">
        <f>+'1.Informe Seguimiento POA 2022'!O68+'1.Informe Seguimiento POA 2022'!Q68+'1.Informe Seguimiento POA 2022'!S68+'1.Informe Seguimiento POA 2022'!U68</f>
        <v>4</v>
      </c>
      <c r="AI114" s="490">
        <f>+'1.Informe Seguimiento POA 2022'!V68</f>
        <v>0</v>
      </c>
      <c r="AJ114" s="490">
        <f>+'1.Informe Seguimiento POA 2022'!P68+'1.Informe Seguimiento POA 2022'!R68+'1.Informe Seguimiento POA 2022'!T68+'1.Informe Seguimiento POA 2022'!V68</f>
        <v>2</v>
      </c>
      <c r="AK114" s="490">
        <f t="shared" si="209"/>
        <v>2</v>
      </c>
      <c r="AL114" s="493" t="str">
        <f t="shared" si="191"/>
        <v>No programado</v>
      </c>
      <c r="AM114" s="493">
        <f t="shared" si="192"/>
        <v>0.5</v>
      </c>
      <c r="AN114" s="479">
        <f t="shared" si="193"/>
        <v>0.5</v>
      </c>
      <c r="AO114" s="483" t="str">
        <f>+'Rango indicadores'!H64</f>
        <v>Mayor A:</v>
      </c>
      <c r="AP114" s="478">
        <f>+'Rango indicadores'!I64</f>
        <v>100</v>
      </c>
      <c r="AQ114" s="478" t="str">
        <f>+'Rango indicadores'!J64</f>
        <v>Desde (&gt;=):</v>
      </c>
      <c r="AR114" s="478">
        <f>+'Rango indicadores'!K64</f>
        <v>90</v>
      </c>
      <c r="AS114" s="478" t="str">
        <f>+'Rango indicadores'!L64</f>
        <v>Hasta (&lt;=):</v>
      </c>
      <c r="AT114" s="478">
        <f>+'Rango indicadores'!M64</f>
        <v>100</v>
      </c>
      <c r="AU114" s="478" t="str">
        <f>+'Rango indicadores'!N64</f>
        <v>Menor A:</v>
      </c>
      <c r="AV114" s="478">
        <f>+'Rango indicadores'!O64</f>
        <v>90</v>
      </c>
      <c r="AW114" s="574" t="s">
        <v>1206</v>
      </c>
      <c r="AX114" s="579"/>
      <c r="AY114" s="911">
        <f t="shared" si="194"/>
        <v>0</v>
      </c>
      <c r="AZ114" s="579"/>
      <c r="BA114" s="496"/>
    </row>
    <row r="115" spans="2:53" ht="15.6">
      <c r="C115" s="1474" t="s">
        <v>873</v>
      </c>
      <c r="D115" s="1475"/>
      <c r="E115" s="1475"/>
      <c r="F115" s="1475"/>
      <c r="G115" s="1475"/>
      <c r="H115" s="1475"/>
      <c r="I115" s="1475"/>
      <c r="J115" s="1475"/>
      <c r="K115" s="481">
        <f>IFERROR(AVERAGE(K107:K114),0)</f>
        <v>0.9969414328231293</v>
      </c>
      <c r="L115" s="481">
        <f>IFERROR(AVERAGE(L107:L114),0)</f>
        <v>0.9969414328231293</v>
      </c>
      <c r="M115" s="481">
        <f>IFERROR(AVERAGE(M107:M114),0)</f>
        <v>0.30672285820578232</v>
      </c>
      <c r="N115" s="1085"/>
      <c r="O115" s="1085"/>
      <c r="P115" s="1085"/>
      <c r="Q115" s="1085"/>
      <c r="R115" s="1085"/>
      <c r="S115" s="1085"/>
      <c r="T115" s="481">
        <f>IFERROR(AVERAGE(T107:T114),0)</f>
        <v>0</v>
      </c>
      <c r="U115" s="481">
        <f>IFERROR(AVERAGE(U107:U114),0)</f>
        <v>0.60044112207452738</v>
      </c>
      <c r="V115" s="481">
        <f>IFERROR(AVERAGE(V107:V114),0)</f>
        <v>0.39953681972789118</v>
      </c>
      <c r="W115" s="1085"/>
      <c r="X115" s="1085"/>
      <c r="Y115" s="1085"/>
      <c r="Z115" s="1085"/>
      <c r="AA115" s="1085"/>
      <c r="AB115" s="1085"/>
      <c r="AC115" s="481">
        <f>IFERROR(AVERAGE(AC107:AC114),0)</f>
        <v>0</v>
      </c>
      <c r="AD115" s="481">
        <f>IFERROR(AVERAGE(AD107:AD114),0)</f>
        <v>0.43240590442860283</v>
      </c>
      <c r="AE115" s="481">
        <f>IFERROR(AVERAGE(AE107:AE114),0)</f>
        <v>0.33756116071428571</v>
      </c>
      <c r="AF115" s="1085"/>
      <c r="AG115" s="1085"/>
      <c r="AH115" s="1085"/>
      <c r="AI115" s="1085"/>
      <c r="AJ115" s="1085"/>
      <c r="AK115" s="1086"/>
      <c r="AL115" s="481">
        <f>IFERROR(AVERAGE(AL107:AL114),0)</f>
        <v>0</v>
      </c>
      <c r="AM115" s="481">
        <f>IFERROR(AVERAGE(AM107:AM114),0)</f>
        <v>0.30672285820578232</v>
      </c>
      <c r="AN115" s="481">
        <f>IFERROR(AVERAGE(AN107:AN114),0)</f>
        <v>0.30657338435374148</v>
      </c>
      <c r="AO115" s="488"/>
      <c r="AP115" s="488"/>
      <c r="AQ115" s="488"/>
      <c r="AR115" s="488"/>
      <c r="AS115" s="488"/>
      <c r="AT115" s="488"/>
      <c r="AU115" s="488"/>
      <c r="AV115" s="488"/>
      <c r="AW115" s="584"/>
      <c r="AY115" s="656"/>
    </row>
    <row r="116" spans="2:53" s="471" customFormat="1" ht="24.6" customHeight="1" thickBot="1">
      <c r="D116" s="473"/>
      <c r="AW116" s="473"/>
      <c r="AY116" s="656"/>
    </row>
    <row r="117" spans="2:53" s="471" customFormat="1" ht="16.2" thickBot="1">
      <c r="C117" s="474" t="s">
        <v>882</v>
      </c>
      <c r="D117" s="504"/>
      <c r="E117" s="1446" t="s">
        <v>1144</v>
      </c>
      <c r="F117" s="1447"/>
      <c r="G117" s="1447"/>
      <c r="H117" s="1447"/>
      <c r="I117" s="1447"/>
      <c r="J117" s="1447"/>
      <c r="K117" s="1447"/>
      <c r="L117" s="1447"/>
      <c r="M117" s="1448"/>
      <c r="N117" s="1449" t="s">
        <v>1145</v>
      </c>
      <c r="O117" s="1450"/>
      <c r="P117" s="1450"/>
      <c r="Q117" s="1450"/>
      <c r="R117" s="1450"/>
      <c r="S117" s="1450"/>
      <c r="T117" s="1450"/>
      <c r="U117" s="1450"/>
      <c r="V117" s="1451"/>
      <c r="W117" s="1443" t="s">
        <v>1146</v>
      </c>
      <c r="X117" s="1444"/>
      <c r="Y117" s="1444"/>
      <c r="Z117" s="1444"/>
      <c r="AA117" s="1444"/>
      <c r="AB117" s="1444"/>
      <c r="AC117" s="1444"/>
      <c r="AD117" s="1444"/>
      <c r="AE117" s="1445"/>
      <c r="AF117" s="1449" t="s">
        <v>1056</v>
      </c>
      <c r="AG117" s="1450"/>
      <c r="AH117" s="1450"/>
      <c r="AI117" s="1450"/>
      <c r="AJ117" s="1450"/>
      <c r="AK117" s="1450"/>
      <c r="AL117" s="1450"/>
      <c r="AM117" s="1450"/>
      <c r="AN117" s="1451"/>
      <c r="AW117" s="473"/>
      <c r="AY117" s="656"/>
    </row>
    <row r="118" spans="2:53" ht="29.4" customHeight="1">
      <c r="C118" s="1440" t="str">
        <f>+$C$10</f>
        <v>Identifificación del Indicador</v>
      </c>
      <c r="D118" s="1460" t="s">
        <v>868</v>
      </c>
      <c r="E118" s="1436" t="s">
        <v>869</v>
      </c>
      <c r="F118" s="1437"/>
      <c r="G118" s="1438"/>
      <c r="H118" s="1439" t="s">
        <v>1148</v>
      </c>
      <c r="I118" s="1441" t="s">
        <v>1152</v>
      </c>
      <c r="J118" s="1439" t="s">
        <v>870</v>
      </c>
      <c r="K118" s="1439" t="s">
        <v>864</v>
      </c>
      <c r="L118" s="1439"/>
      <c r="M118" s="1439"/>
      <c r="N118" s="1436" t="s">
        <v>869</v>
      </c>
      <c r="O118" s="1437"/>
      <c r="P118" s="1438"/>
      <c r="Q118" s="1439" t="s">
        <v>1158</v>
      </c>
      <c r="R118" s="1441" t="s">
        <v>1149</v>
      </c>
      <c r="S118" s="1439" t="s">
        <v>870</v>
      </c>
      <c r="T118" s="1439" t="s">
        <v>864</v>
      </c>
      <c r="U118" s="1439"/>
      <c r="V118" s="1439"/>
      <c r="W118" s="1436" t="s">
        <v>869</v>
      </c>
      <c r="X118" s="1437"/>
      <c r="Y118" s="1438"/>
      <c r="Z118" s="1439" t="s">
        <v>1159</v>
      </c>
      <c r="AA118" s="1441" t="s">
        <v>1154</v>
      </c>
      <c r="AB118" s="1439" t="s">
        <v>870</v>
      </c>
      <c r="AC118" s="1439" t="s">
        <v>864</v>
      </c>
      <c r="AD118" s="1439"/>
      <c r="AE118" s="1439"/>
      <c r="AF118" s="1436" t="s">
        <v>869</v>
      </c>
      <c r="AG118" s="1437"/>
      <c r="AH118" s="1438"/>
      <c r="AI118" s="1439" t="s">
        <v>1160</v>
      </c>
      <c r="AJ118" s="1441" t="s">
        <v>1156</v>
      </c>
      <c r="AK118" s="1439" t="s">
        <v>870</v>
      </c>
      <c r="AL118" s="1439" t="s">
        <v>864</v>
      </c>
      <c r="AM118" s="1439"/>
      <c r="AN118" s="1439"/>
      <c r="AO118" s="1452" t="s">
        <v>716</v>
      </c>
      <c r="AP118" s="1452"/>
      <c r="AQ118" s="1452"/>
      <c r="AR118" s="1452"/>
      <c r="AS118" s="1452"/>
      <c r="AT118" s="1452"/>
      <c r="AU118" s="1452"/>
      <c r="AV118" s="1452"/>
      <c r="AW118" s="1440" t="s">
        <v>890</v>
      </c>
      <c r="AY118" s="656"/>
    </row>
    <row r="119" spans="2:53" ht="54.6" customHeight="1">
      <c r="C119" s="1440"/>
      <c r="D119" s="1460"/>
      <c r="E119" s="1041" t="s">
        <v>1161</v>
      </c>
      <c r="F119" s="1041" t="str">
        <f>+E117</f>
        <v>Primer Trimestre</v>
      </c>
      <c r="G119" s="1042" t="s">
        <v>1151</v>
      </c>
      <c r="H119" s="1440"/>
      <c r="I119" s="1442"/>
      <c r="J119" s="1440"/>
      <c r="K119" s="1041" t="str">
        <f>+$D$6</f>
        <v>Primer Trimestre</v>
      </c>
      <c r="L119" s="1042" t="str">
        <f>+G119</f>
        <v>Acumulado
Corte 
31/03/2022</v>
      </c>
      <c r="M119" s="1043" t="s">
        <v>761</v>
      </c>
      <c r="N119" s="1041" t="s">
        <v>1161</v>
      </c>
      <c r="O119" s="1041" t="str">
        <f>+N117</f>
        <v>Segundo Trimestre</v>
      </c>
      <c r="P119" s="1042" t="s">
        <v>1150</v>
      </c>
      <c r="Q119" s="1440"/>
      <c r="R119" s="1442"/>
      <c r="S119" s="1440"/>
      <c r="T119" s="1041" t="str">
        <f>+O119</f>
        <v>Segundo Trimestre</v>
      </c>
      <c r="U119" s="1042" t="str">
        <f>+P119</f>
        <v>Acumulado Corte 
30/06/2022</v>
      </c>
      <c r="V119" s="1043" t="s">
        <v>761</v>
      </c>
      <c r="W119" s="1041" t="s">
        <v>1161</v>
      </c>
      <c r="X119" s="1041" t="str">
        <f>+W117</f>
        <v>Tercer Trimestre</v>
      </c>
      <c r="Y119" s="1042" t="s">
        <v>1153</v>
      </c>
      <c r="Z119" s="1440"/>
      <c r="AA119" s="1442"/>
      <c r="AB119" s="1440"/>
      <c r="AC119" s="1041" t="str">
        <f>+X119</f>
        <v>Tercer Trimestre</v>
      </c>
      <c r="AD119" s="1042" t="str">
        <f>+Y119</f>
        <v>Acumulado Corte 
30/09/2022</v>
      </c>
      <c r="AE119" s="1043" t="s">
        <v>761</v>
      </c>
      <c r="AF119" s="1041" t="s">
        <v>1161</v>
      </c>
      <c r="AG119" s="1041" t="str">
        <f>+AF117</f>
        <v>Cuarto Trimestre</v>
      </c>
      <c r="AH119" s="1042" t="s">
        <v>1155</v>
      </c>
      <c r="AI119" s="1440"/>
      <c r="AJ119" s="1442"/>
      <c r="AK119" s="1440"/>
      <c r="AL119" s="1041" t="str">
        <f>+AG119</f>
        <v>Cuarto Trimestre</v>
      </c>
      <c r="AM119" s="1042" t="str">
        <f>+AH119</f>
        <v>Acumulado Corte 
31/12/2022</v>
      </c>
      <c r="AN119" s="1043" t="s">
        <v>761</v>
      </c>
      <c r="AO119" s="1453" t="s">
        <v>871</v>
      </c>
      <c r="AP119" s="1454"/>
      <c r="AQ119" s="1455" t="s">
        <v>872</v>
      </c>
      <c r="AR119" s="1456"/>
      <c r="AS119" s="1456"/>
      <c r="AT119" s="1457"/>
      <c r="AU119" s="1458" t="s">
        <v>724</v>
      </c>
      <c r="AV119" s="1459"/>
      <c r="AW119" s="1440"/>
      <c r="AY119" s="656"/>
    </row>
    <row r="120" spans="2:53" ht="117" customHeight="1">
      <c r="B120" s="475">
        <f>1+B114</f>
        <v>64</v>
      </c>
      <c r="C120" s="476" t="str">
        <f>+'Rango indicadores'!D65</f>
        <v>09-R1-01</v>
      </c>
      <c r="D120" s="476" t="str">
        <f>+'Rango indicadores'!E65</f>
        <v>Porcentaje de servicios atendidos</v>
      </c>
      <c r="E120" s="480">
        <f>+'Rango indicadores'!Q65</f>
        <v>1</v>
      </c>
      <c r="F120" s="508">
        <f>'1.Informe Seguimiento POA 2022'!O69</f>
        <v>1</v>
      </c>
      <c r="G120" s="508">
        <f>'1.Informe Seguimiento POA 2022'!O69</f>
        <v>1</v>
      </c>
      <c r="H120" s="945">
        <f>'1.Informe Seguimiento POA 2022'!P69</f>
        <v>1</v>
      </c>
      <c r="I120" s="945">
        <f>'1.Informe Seguimiento POA 2022'!P69</f>
        <v>1</v>
      </c>
      <c r="J120" s="945">
        <f t="shared" ref="J120:J121" si="212">I120</f>
        <v>1</v>
      </c>
      <c r="K120" s="493">
        <f t="shared" ref="K120" si="213">IF(AND(F120&gt;0),H120/F120,"No programado")</f>
        <v>1</v>
      </c>
      <c r="L120" s="493">
        <f t="shared" ref="L120" si="214">IF(AND(G120&gt;0),I120/G120,"No programado")</f>
        <v>1</v>
      </c>
      <c r="M120" s="479">
        <f>IF(AND(E120&gt;0,$J120&gt;0),J120/$E120,0)*0.25</f>
        <v>0.25</v>
      </c>
      <c r="N120" s="480">
        <f>E120</f>
        <v>1</v>
      </c>
      <c r="O120" s="945">
        <f>+'1.Informe Seguimiento POA 2022'!Q69</f>
        <v>1</v>
      </c>
      <c r="P120" s="1084">
        <f>IFERROR(AVERAGE(F120,O120),0)</f>
        <v>1</v>
      </c>
      <c r="Q120" s="945">
        <f>'1.Informe Seguimiento POA 2022'!R69</f>
        <v>0</v>
      </c>
      <c r="R120" s="480">
        <f>IFERROR(AVERAGE('1.Informe Seguimiento POA 2022'!P69,'1.Informe Seguimiento POA 2022'!R69),0)</f>
        <v>0.5</v>
      </c>
      <c r="S120" s="480">
        <f>IFERROR(IF(OR($N120="",$N120=0),0,ROUNDDOWN(AVERAGE($H120,Q120),3)),0)</f>
        <v>0.5</v>
      </c>
      <c r="T120" s="493">
        <f t="shared" ref="T120:T121" si="215">IF(AND(O120&gt;0),Q120/O120,"No programado")</f>
        <v>0</v>
      </c>
      <c r="U120" s="493">
        <f t="shared" ref="U120:U121" si="216">IF(AND(P120&gt;0),R120/P120,"No programado")</f>
        <v>0.5</v>
      </c>
      <c r="V120" s="479">
        <f t="shared" ref="V120:V121" si="217">IF(AND(N120&gt;0,$J120&gt;0),S120/$E120,0)</f>
        <v>0.5</v>
      </c>
      <c r="W120" s="480">
        <f>N120</f>
        <v>1</v>
      </c>
      <c r="X120" s="508">
        <f>+'1.Informe Seguimiento POA 2022'!S69</f>
        <v>1</v>
      </c>
      <c r="Y120" s="480">
        <f>IFERROR(AVERAGE('1.Informe Seguimiento POA 2022'!O69,'1.Informe Seguimiento POA 2022'!Q69,'1.Informe Seguimiento POA 2022'!S69),0)</f>
        <v>1</v>
      </c>
      <c r="Z120" s="480">
        <f>+'1.Informe Seguimiento POA 2022'!T69</f>
        <v>0</v>
      </c>
      <c r="AA120" s="480">
        <f>IFERROR(AVERAGE('1.Informe Seguimiento POA 2022'!R69,'1.Informe Seguimiento POA 2022'!P69,'1.Informe Seguimiento POA 2022'!T69),0)</f>
        <v>0.33333333333333331</v>
      </c>
      <c r="AB120" s="480">
        <f>IFERROR(IF(OR($W120="",$W120=0),0,ROUNDDOWN(AVERAGE($H120,Q120,Z120),3)),0)</f>
        <v>0.33300000000000002</v>
      </c>
      <c r="AC120" s="493">
        <f t="shared" ref="AC120:AC121" si="218">IF(AND(X120&gt;0),Z120/X120,"No programado")</f>
        <v>0</v>
      </c>
      <c r="AD120" s="493">
        <f t="shared" ref="AD120:AD121" si="219">IF(AND(Y120&gt;0),AA120/Y120,"No programado")</f>
        <v>0.33333333333333331</v>
      </c>
      <c r="AE120" s="479">
        <f t="shared" ref="AE120:AE121" si="220">IF(AND(W120&gt;0,$J120&gt;0),AB120/$E120,0)</f>
        <v>0.33300000000000002</v>
      </c>
      <c r="AF120" s="480">
        <f>W120</f>
        <v>1</v>
      </c>
      <c r="AG120" s="480">
        <f>+'1.Informe Seguimiento POA 2022'!U69</f>
        <v>1</v>
      </c>
      <c r="AH120" s="480">
        <f>IFERROR(AVERAGE('1.Informe Seguimiento POA 2022'!O69,'1.Informe Seguimiento POA 2022'!Q69,'1.Informe Seguimiento POA 2022'!S69,'1.Informe Seguimiento POA 2022'!U69),0)</f>
        <v>1</v>
      </c>
      <c r="AI120" s="480">
        <f>+'1.Informe Seguimiento POA 2022'!V69</f>
        <v>0</v>
      </c>
      <c r="AJ120" s="480">
        <f>IFERROR(AVERAGE('1.Informe Seguimiento POA 2022'!P69,'1.Informe Seguimiento POA 2022'!R69,'1.Informe Seguimiento POA 2022'!T69,'1.Informe Seguimiento POA 2022'!V69),0)</f>
        <v>0.25</v>
      </c>
      <c r="AK120" s="480">
        <f>IFERROR(IF(OR($W120="",$W120=0),0,ROUNDDOWN(AVERAGE($H120,Q120,Z120,AI120),3)),0)</f>
        <v>0.25</v>
      </c>
      <c r="AL120" s="493">
        <f t="shared" ref="AL120:AL121" si="221">IF(AND(AG120&gt;0),AI120/AG120,"No programado")</f>
        <v>0</v>
      </c>
      <c r="AM120" s="493">
        <f t="shared" ref="AM120:AM121" si="222">IF(AND(AH120&gt;0),AJ120/AH120,"No programado")</f>
        <v>0.25</v>
      </c>
      <c r="AN120" s="479">
        <f t="shared" ref="AN120:AN121" si="223">IF(AND(AF120&gt;0,$J120&gt;0),AK120/$E120,0)</f>
        <v>0.25</v>
      </c>
      <c r="AO120" s="483" t="str">
        <f>+'Rango indicadores'!H68</f>
        <v>Mayor o igual A:</v>
      </c>
      <c r="AP120" s="478">
        <f>+'Rango indicadores'!I68</f>
        <v>95</v>
      </c>
      <c r="AQ120" s="478" t="str">
        <f>+'Rango indicadores'!J68</f>
        <v>Desde (&gt;):</v>
      </c>
      <c r="AR120" s="478">
        <f>+'Rango indicadores'!K68</f>
        <v>90</v>
      </c>
      <c r="AS120" s="478" t="str">
        <f>+'Rango indicadores'!L68</f>
        <v>Hasta (&lt;):</v>
      </c>
      <c r="AT120" s="478">
        <f>+'Rango indicadores'!M68</f>
        <v>95</v>
      </c>
      <c r="AU120" s="478" t="str">
        <f>+'Rango indicadores'!N68</f>
        <v>Menor o Igual A:</v>
      </c>
      <c r="AV120" s="478">
        <f>+'Rango indicadores'!O68</f>
        <v>90</v>
      </c>
      <c r="AW120" s="582" t="s">
        <v>1177</v>
      </c>
      <c r="AX120" s="579"/>
      <c r="AY120" s="656"/>
      <c r="AZ120" s="579"/>
      <c r="BA120" s="496"/>
    </row>
    <row r="121" spans="2:53" ht="111.6" customHeight="1">
      <c r="B121" s="475">
        <f>+B120+1</f>
        <v>65</v>
      </c>
      <c r="C121" s="476" t="str">
        <f>+'Rango indicadores'!D66</f>
        <v>09-R1-02</v>
      </c>
      <c r="D121" s="476" t="str">
        <f>+'Rango indicadores'!E66</f>
        <v>Porcentaje de actividades del PESV ejecutadas</v>
      </c>
      <c r="E121" s="480">
        <f>+'Rango indicadores'!Q66</f>
        <v>0.97</v>
      </c>
      <c r="F121" s="508">
        <f>'1.Informe Seguimiento POA 2022'!O70</f>
        <v>0.97000000000000008</v>
      </c>
      <c r="G121" s="508">
        <f>'1.Informe Seguimiento POA 2022'!O70</f>
        <v>0.97000000000000008</v>
      </c>
      <c r="H121" s="945">
        <f>'1.Informe Seguimiento POA 2022'!P70</f>
        <v>1.0923333333333334</v>
      </c>
      <c r="I121" s="945">
        <f>'1.Informe Seguimiento POA 2022'!P70</f>
        <v>1.0923333333333334</v>
      </c>
      <c r="J121" s="945">
        <f t="shared" si="212"/>
        <v>1.0923333333333334</v>
      </c>
      <c r="K121" s="493">
        <f t="shared" ref="K121" si="224">IF(AND(F121&gt;0),H121/F121,"No programado")</f>
        <v>1.1261168384879725</v>
      </c>
      <c r="L121" s="493">
        <f t="shared" ref="L121" si="225">IF(AND(G121&gt;0),I121/G121,"No programado")</f>
        <v>1.1261168384879725</v>
      </c>
      <c r="M121" s="479">
        <f>IF(AND(E121&gt;0,$J121&gt;0),J121/$E121,0)*0.25</f>
        <v>0.28152920962199313</v>
      </c>
      <c r="N121" s="480">
        <f>E121</f>
        <v>0.97</v>
      </c>
      <c r="O121" s="945">
        <f>+'1.Informe Seguimiento POA 2022'!Q70</f>
        <v>0.97000000000000008</v>
      </c>
      <c r="P121" s="1084">
        <f>IFERROR(AVERAGE(F121,O121),0)</f>
        <v>0.97000000000000008</v>
      </c>
      <c r="Q121" s="945">
        <f>'1.Informe Seguimiento POA 2022'!R70</f>
        <v>0</v>
      </c>
      <c r="R121" s="480">
        <f>IFERROR(AVERAGE('1.Informe Seguimiento POA 2022'!P70,'1.Informe Seguimiento POA 2022'!R70),0)</f>
        <v>0.54616666666666669</v>
      </c>
      <c r="S121" s="480">
        <f>IFERROR(IF(OR($N121="",$N121=0),0,ROUNDDOWN(AVERAGE($H121,Q121),3)),0)</f>
        <v>0.54600000000000004</v>
      </c>
      <c r="T121" s="493">
        <f t="shared" si="215"/>
        <v>0</v>
      </c>
      <c r="U121" s="493">
        <f t="shared" si="216"/>
        <v>0.56305841924398625</v>
      </c>
      <c r="V121" s="479">
        <f t="shared" si="217"/>
        <v>0.56288659793814444</v>
      </c>
      <c r="W121" s="480">
        <f>N121</f>
        <v>0.97</v>
      </c>
      <c r="X121" s="508">
        <f>+'1.Informe Seguimiento POA 2022'!S70</f>
        <v>0.97000000000000008</v>
      </c>
      <c r="Y121" s="480">
        <f>IFERROR(AVERAGE('1.Informe Seguimiento POA 2022'!O70,'1.Informe Seguimiento POA 2022'!Q70,'1.Informe Seguimiento POA 2022'!S70),0)</f>
        <v>0.97000000000000008</v>
      </c>
      <c r="Z121" s="480">
        <f>+'1.Informe Seguimiento POA 2022'!T70</f>
        <v>0</v>
      </c>
      <c r="AA121" s="480">
        <f>IFERROR(AVERAGE('1.Informe Seguimiento POA 2022'!R70,'1.Informe Seguimiento POA 2022'!P70,'1.Informe Seguimiento POA 2022'!T70),0)</f>
        <v>0.36411111111111111</v>
      </c>
      <c r="AB121" s="480">
        <f>IFERROR(IF(OR($W121="",$W121=0),0,ROUNDDOWN(AVERAGE($H121,Q121,Z121),3)),0)</f>
        <v>0.36399999999999999</v>
      </c>
      <c r="AC121" s="493">
        <f t="shared" si="218"/>
        <v>0</v>
      </c>
      <c r="AD121" s="493">
        <f t="shared" si="219"/>
        <v>0.37537227949599078</v>
      </c>
      <c r="AE121" s="479">
        <f t="shared" si="220"/>
        <v>0.37525773195876289</v>
      </c>
      <c r="AF121" s="480">
        <f>W121</f>
        <v>0.97</v>
      </c>
      <c r="AG121" s="480">
        <f>+'1.Informe Seguimiento POA 2022'!U70</f>
        <v>0.97000000000000008</v>
      </c>
      <c r="AH121" s="480">
        <f>IFERROR(AVERAGE('1.Informe Seguimiento POA 2022'!O70,'1.Informe Seguimiento POA 2022'!Q70,'1.Informe Seguimiento POA 2022'!S70,'1.Informe Seguimiento POA 2022'!U70),0)</f>
        <v>0.97000000000000008</v>
      </c>
      <c r="AI121" s="480">
        <f>+'1.Informe Seguimiento POA 2022'!V70</f>
        <v>0</v>
      </c>
      <c r="AJ121" s="480">
        <f>IFERROR(AVERAGE('1.Informe Seguimiento POA 2022'!P70,'1.Informe Seguimiento POA 2022'!R70,'1.Informe Seguimiento POA 2022'!T70,'1.Informe Seguimiento POA 2022'!V70),0)</f>
        <v>0.27308333333333334</v>
      </c>
      <c r="AK121" s="480">
        <f>IFERROR(IF(OR($W121="",$W121=0),0,ROUNDDOWN(AVERAGE($H121,Q121,Z121,AI121),3)),0)</f>
        <v>0.27300000000000002</v>
      </c>
      <c r="AL121" s="493">
        <f t="shared" si="221"/>
        <v>0</v>
      </c>
      <c r="AM121" s="493">
        <f t="shared" si="222"/>
        <v>0.28152920962199313</v>
      </c>
      <c r="AN121" s="479">
        <f t="shared" si="223"/>
        <v>0.28144329896907222</v>
      </c>
      <c r="AO121" s="483" t="str">
        <f>+'Rango indicadores'!H69</f>
        <v>Mayor o igual A:</v>
      </c>
      <c r="AP121" s="478">
        <f>+'Rango indicadores'!I69</f>
        <v>100</v>
      </c>
      <c r="AQ121" s="478" t="str">
        <f>+'Rango indicadores'!J69</f>
        <v>Desde (&gt;):</v>
      </c>
      <c r="AR121" s="478">
        <f>+'Rango indicadores'!K69</f>
        <v>95</v>
      </c>
      <c r="AS121" s="478" t="str">
        <f>+'Rango indicadores'!L69</f>
        <v>Hasta (&lt;):</v>
      </c>
      <c r="AT121" s="478">
        <f>+'Rango indicadores'!M69</f>
        <v>100</v>
      </c>
      <c r="AU121" s="478" t="str">
        <f>+'Rango indicadores'!N69</f>
        <v>Menor o Igual A:</v>
      </c>
      <c r="AV121" s="478">
        <f>+'Rango indicadores'!O69</f>
        <v>95</v>
      </c>
      <c r="AW121" s="582" t="s">
        <v>1225</v>
      </c>
      <c r="AX121" s="579"/>
      <c r="AY121" s="656"/>
      <c r="AZ121" s="579"/>
      <c r="BA121" s="496"/>
    </row>
    <row r="122" spans="2:53" ht="15.6">
      <c r="C122" s="1474" t="s">
        <v>873</v>
      </c>
      <c r="D122" s="1475"/>
      <c r="E122" s="1475"/>
      <c r="F122" s="1475"/>
      <c r="G122" s="1475"/>
      <c r="H122" s="1475"/>
      <c r="I122" s="1475"/>
      <c r="J122" s="1475"/>
      <c r="K122" s="481">
        <f>AVERAGE(K120:K121)</f>
        <v>1.0630584192439863</v>
      </c>
      <c r="L122" s="481">
        <f>AVERAGE(L120:L121)</f>
        <v>1.0630584192439863</v>
      </c>
      <c r="M122" s="481">
        <f>AVERAGE(M120:M121)</f>
        <v>0.26576460481099656</v>
      </c>
      <c r="N122" s="1085"/>
      <c r="O122" s="1085"/>
      <c r="P122" s="1085"/>
      <c r="Q122" s="1085"/>
      <c r="R122" s="1085"/>
      <c r="S122" s="1085"/>
      <c r="T122" s="481">
        <f>AVERAGE(T120:T121)</f>
        <v>0</v>
      </c>
      <c r="U122" s="481">
        <f>AVERAGE(U120:U121)</f>
        <v>0.53152920962199313</v>
      </c>
      <c r="V122" s="481">
        <f>AVERAGE(V120:V121)</f>
        <v>0.53144329896907228</v>
      </c>
      <c r="W122" s="1085"/>
      <c r="X122" s="1085"/>
      <c r="Y122" s="1085"/>
      <c r="Z122" s="1085"/>
      <c r="AA122" s="1085"/>
      <c r="AB122" s="1085"/>
      <c r="AC122" s="481">
        <f>AVERAGE(AC120:AC121)</f>
        <v>0</v>
      </c>
      <c r="AD122" s="481">
        <f>AVERAGE(AD120:AD121)</f>
        <v>0.35435280641466205</v>
      </c>
      <c r="AE122" s="481">
        <f>AVERAGE(AE120:AE121)</f>
        <v>0.35412886597938142</v>
      </c>
      <c r="AF122" s="1085"/>
      <c r="AG122" s="1085"/>
      <c r="AH122" s="1085"/>
      <c r="AI122" s="1085"/>
      <c r="AJ122" s="1085"/>
      <c r="AK122" s="1086"/>
      <c r="AL122" s="481">
        <f>AVERAGE(AL120:AL121)</f>
        <v>0</v>
      </c>
      <c r="AM122" s="481">
        <f>AVERAGE(AM120:AM121)</f>
        <v>0.26576460481099656</v>
      </c>
      <c r="AN122" s="481">
        <f>AVERAGE(AN120:AN121)</f>
        <v>0.26572164948453614</v>
      </c>
      <c r="AO122" s="488"/>
      <c r="AP122" s="488"/>
      <c r="AQ122" s="488"/>
      <c r="AR122" s="488"/>
      <c r="AS122" s="488"/>
      <c r="AT122" s="488"/>
      <c r="AU122" s="488"/>
      <c r="AV122" s="488"/>
      <c r="AW122" s="583"/>
      <c r="AY122" s="656"/>
    </row>
    <row r="123" spans="2:53" s="471" customFormat="1" ht="27.6" customHeight="1" thickBot="1">
      <c r="D123" s="473"/>
      <c r="AW123" s="473"/>
      <c r="AY123" s="656"/>
    </row>
    <row r="124" spans="2:53" s="471" customFormat="1" ht="16.2" thickBot="1">
      <c r="C124" s="474" t="s">
        <v>883</v>
      </c>
      <c r="D124" s="504"/>
      <c r="E124" s="1446" t="s">
        <v>1144</v>
      </c>
      <c r="F124" s="1447"/>
      <c r="G124" s="1447"/>
      <c r="H124" s="1447"/>
      <c r="I124" s="1447"/>
      <c r="J124" s="1447"/>
      <c r="K124" s="1447"/>
      <c r="L124" s="1447"/>
      <c r="M124" s="1448"/>
      <c r="N124" s="1449" t="s">
        <v>1145</v>
      </c>
      <c r="O124" s="1450"/>
      <c r="P124" s="1450"/>
      <c r="Q124" s="1450"/>
      <c r="R124" s="1450"/>
      <c r="S124" s="1450"/>
      <c r="T124" s="1450"/>
      <c r="U124" s="1450"/>
      <c r="V124" s="1451"/>
      <c r="W124" s="1443" t="s">
        <v>1146</v>
      </c>
      <c r="X124" s="1444"/>
      <c r="Y124" s="1444"/>
      <c r="Z124" s="1444"/>
      <c r="AA124" s="1444"/>
      <c r="AB124" s="1444"/>
      <c r="AC124" s="1444"/>
      <c r="AD124" s="1444"/>
      <c r="AE124" s="1445"/>
      <c r="AF124" s="1449" t="s">
        <v>1056</v>
      </c>
      <c r="AG124" s="1450"/>
      <c r="AH124" s="1450"/>
      <c r="AI124" s="1450"/>
      <c r="AJ124" s="1450"/>
      <c r="AK124" s="1450"/>
      <c r="AL124" s="1450"/>
      <c r="AM124" s="1450"/>
      <c r="AN124" s="1451"/>
      <c r="AW124" s="473"/>
      <c r="AY124" s="656"/>
    </row>
    <row r="125" spans="2:53" ht="35.25" customHeight="1">
      <c r="C125" s="1440" t="str">
        <f>+$C$10</f>
        <v>Identifificación del Indicador</v>
      </c>
      <c r="D125" s="1460" t="s">
        <v>868</v>
      </c>
      <c r="E125" s="1436" t="s">
        <v>869</v>
      </c>
      <c r="F125" s="1437"/>
      <c r="G125" s="1438"/>
      <c r="H125" s="1439" t="s">
        <v>1148</v>
      </c>
      <c r="I125" s="1441" t="s">
        <v>1152</v>
      </c>
      <c r="J125" s="1439" t="s">
        <v>870</v>
      </c>
      <c r="K125" s="1439" t="s">
        <v>864</v>
      </c>
      <c r="L125" s="1439"/>
      <c r="M125" s="1439"/>
      <c r="N125" s="1436" t="s">
        <v>869</v>
      </c>
      <c r="O125" s="1437"/>
      <c r="P125" s="1438"/>
      <c r="Q125" s="1439" t="s">
        <v>1158</v>
      </c>
      <c r="R125" s="1441" t="s">
        <v>1149</v>
      </c>
      <c r="S125" s="1439" t="s">
        <v>870</v>
      </c>
      <c r="T125" s="1439" t="s">
        <v>864</v>
      </c>
      <c r="U125" s="1439"/>
      <c r="V125" s="1439"/>
      <c r="W125" s="1436" t="s">
        <v>869</v>
      </c>
      <c r="X125" s="1437"/>
      <c r="Y125" s="1438"/>
      <c r="Z125" s="1439" t="s">
        <v>1159</v>
      </c>
      <c r="AA125" s="1441" t="s">
        <v>1154</v>
      </c>
      <c r="AB125" s="1439" t="s">
        <v>870</v>
      </c>
      <c r="AC125" s="1439" t="s">
        <v>864</v>
      </c>
      <c r="AD125" s="1439"/>
      <c r="AE125" s="1439"/>
      <c r="AF125" s="1436" t="s">
        <v>869</v>
      </c>
      <c r="AG125" s="1437"/>
      <c r="AH125" s="1438"/>
      <c r="AI125" s="1439" t="s">
        <v>1160</v>
      </c>
      <c r="AJ125" s="1441" t="s">
        <v>1156</v>
      </c>
      <c r="AK125" s="1439" t="s">
        <v>870</v>
      </c>
      <c r="AL125" s="1439" t="s">
        <v>864</v>
      </c>
      <c r="AM125" s="1439"/>
      <c r="AN125" s="1439"/>
      <c r="AO125" s="1452" t="s">
        <v>716</v>
      </c>
      <c r="AP125" s="1452"/>
      <c r="AQ125" s="1452"/>
      <c r="AR125" s="1452"/>
      <c r="AS125" s="1452"/>
      <c r="AT125" s="1452"/>
      <c r="AU125" s="1452"/>
      <c r="AV125" s="1452"/>
      <c r="AW125" s="1440" t="s">
        <v>890</v>
      </c>
      <c r="AY125" s="656"/>
    </row>
    <row r="126" spans="2:53" ht="61.5" customHeight="1">
      <c r="C126" s="1440"/>
      <c r="D126" s="1460"/>
      <c r="E126" s="1041" t="s">
        <v>1161</v>
      </c>
      <c r="F126" s="1041" t="str">
        <f>+E124</f>
        <v>Primer Trimestre</v>
      </c>
      <c r="G126" s="1042" t="s">
        <v>1151</v>
      </c>
      <c r="H126" s="1440"/>
      <c r="I126" s="1442"/>
      <c r="J126" s="1440"/>
      <c r="K126" s="1041" t="str">
        <f>+$D$6</f>
        <v>Primer Trimestre</v>
      </c>
      <c r="L126" s="1042" t="str">
        <f>+G126</f>
        <v>Acumulado
Corte 
31/03/2022</v>
      </c>
      <c r="M126" s="1043" t="s">
        <v>761</v>
      </c>
      <c r="N126" s="1041" t="s">
        <v>1161</v>
      </c>
      <c r="O126" s="1041" t="str">
        <f>+N124</f>
        <v>Segundo Trimestre</v>
      </c>
      <c r="P126" s="1042" t="s">
        <v>1150</v>
      </c>
      <c r="Q126" s="1440"/>
      <c r="R126" s="1442"/>
      <c r="S126" s="1440"/>
      <c r="T126" s="1041" t="str">
        <f>+O126</f>
        <v>Segundo Trimestre</v>
      </c>
      <c r="U126" s="1042" t="str">
        <f>+P126</f>
        <v>Acumulado Corte 
30/06/2022</v>
      </c>
      <c r="V126" s="1043" t="s">
        <v>761</v>
      </c>
      <c r="W126" s="1041" t="s">
        <v>1161</v>
      </c>
      <c r="X126" s="1041" t="str">
        <f>+W124</f>
        <v>Tercer Trimestre</v>
      </c>
      <c r="Y126" s="1042" t="s">
        <v>1153</v>
      </c>
      <c r="Z126" s="1440"/>
      <c r="AA126" s="1442"/>
      <c r="AB126" s="1440"/>
      <c r="AC126" s="1041" t="str">
        <f>+X126</f>
        <v>Tercer Trimestre</v>
      </c>
      <c r="AD126" s="1042" t="str">
        <f>+Y126</f>
        <v>Acumulado Corte 
30/09/2022</v>
      </c>
      <c r="AE126" s="1043" t="s">
        <v>761</v>
      </c>
      <c r="AF126" s="1041" t="s">
        <v>1161</v>
      </c>
      <c r="AG126" s="1041" t="str">
        <f>+AF124</f>
        <v>Cuarto Trimestre</v>
      </c>
      <c r="AH126" s="1042" t="s">
        <v>1155</v>
      </c>
      <c r="AI126" s="1440"/>
      <c r="AJ126" s="1442"/>
      <c r="AK126" s="1440"/>
      <c r="AL126" s="1041" t="str">
        <f>+AG126</f>
        <v>Cuarto Trimestre</v>
      </c>
      <c r="AM126" s="1042" t="str">
        <f>+AH126</f>
        <v>Acumulado Corte 
31/12/2022</v>
      </c>
      <c r="AN126" s="1043" t="s">
        <v>761</v>
      </c>
      <c r="AO126" s="1453" t="s">
        <v>871</v>
      </c>
      <c r="AP126" s="1454"/>
      <c r="AQ126" s="1455" t="s">
        <v>872</v>
      </c>
      <c r="AR126" s="1456"/>
      <c r="AS126" s="1456"/>
      <c r="AT126" s="1457"/>
      <c r="AU126" s="1458" t="s">
        <v>724</v>
      </c>
      <c r="AV126" s="1459"/>
      <c r="AW126" s="1440"/>
      <c r="AY126" s="656"/>
    </row>
    <row r="127" spans="2:53" ht="132.6" customHeight="1">
      <c r="B127" s="475">
        <f>+B121+1</f>
        <v>66</v>
      </c>
      <c r="C127" s="476" t="str">
        <f>+'Rango indicadores'!D67</f>
        <v>10-R1-01</v>
      </c>
      <c r="D127" s="476" t="str">
        <f>+'Rango indicadores'!E67</f>
        <v>Porcentaje del presupuesto aprobado y ejecutado.</v>
      </c>
      <c r="E127" s="480">
        <f>+'Rango indicadores'!Q67</f>
        <v>0.95</v>
      </c>
      <c r="F127" s="508">
        <f>'1.Informe Seguimiento POA 2022'!O71</f>
        <v>0.22000000000000003</v>
      </c>
      <c r="G127" s="508">
        <f>'1.Informe Seguimiento POA 2022'!O71</f>
        <v>0.22000000000000003</v>
      </c>
      <c r="H127" s="575">
        <f>'1.Informe Seguimiento POA 2022'!P71</f>
        <v>0.27100000000000002</v>
      </c>
      <c r="I127" s="945">
        <f>'1.Informe Seguimiento POA 2022'!P71</f>
        <v>0.27100000000000002</v>
      </c>
      <c r="J127" s="945">
        <f t="shared" ref="J127:J129" si="226">I127</f>
        <v>0.27100000000000002</v>
      </c>
      <c r="K127" s="493">
        <f t="shared" ref="K127:K129" si="227">IF(AND(F127&gt;0),H127/F127,"No programado")</f>
        <v>1.2318181818181817</v>
      </c>
      <c r="L127" s="493">
        <f t="shared" ref="L127:L129" si="228">IF(AND(G127&gt;0),I127/G127,"No programado")</f>
        <v>1.2318181818181817</v>
      </c>
      <c r="M127" s="479">
        <f t="shared" ref="M127:M129" si="229">IF(AND(E127&gt;0,$J127&gt;0),J127/$E127,0)</f>
        <v>0.28526315789473689</v>
      </c>
      <c r="N127" s="480">
        <f t="shared" ref="N127" si="230">+E127</f>
        <v>0.95</v>
      </c>
      <c r="O127" s="508">
        <f>+'1.Informe Seguimiento POA 2022'!Q71</f>
        <v>0.25</v>
      </c>
      <c r="P127" s="508">
        <f>+'1.Informe Seguimiento POA 2022'!O71+'1.Informe Seguimiento POA 2022'!Q71</f>
        <v>0.47000000000000003</v>
      </c>
      <c r="Q127" s="508">
        <f>+'1.Informe Seguimiento POA 2022'!R71</f>
        <v>0</v>
      </c>
      <c r="R127" s="508">
        <f>+'1.Informe Seguimiento POA 2022'!P71+'1.Informe Seguimiento POA 2022'!R71</f>
        <v>0.27100000000000002</v>
      </c>
      <c r="S127" s="508">
        <f t="shared" ref="S127" si="231">H127+Q127</f>
        <v>0.27100000000000002</v>
      </c>
      <c r="T127" s="493">
        <f t="shared" ref="T127:T129" si="232">IF(AND(O127&gt;0),Q127/O127,"No programado")</f>
        <v>0</v>
      </c>
      <c r="U127" s="493">
        <f t="shared" ref="U127:U129" si="233">IF(AND(P127&gt;0),R127/P127,"No programado")</f>
        <v>0.57659574468085106</v>
      </c>
      <c r="V127" s="479">
        <f t="shared" ref="V127:V129" si="234">IF(AND(N127&gt;0,$J127&gt;0),S127/$E127,0)</f>
        <v>0.28526315789473689</v>
      </c>
      <c r="W127" s="480">
        <f t="shared" ref="W127" si="235">+N127</f>
        <v>0.95</v>
      </c>
      <c r="X127" s="508">
        <f>+'1.Informe Seguimiento POA 2022'!S71</f>
        <v>0.25</v>
      </c>
      <c r="Y127" s="508">
        <f>+'1.Informe Seguimiento POA 2022'!O71+'1.Informe Seguimiento POA 2022'!Q71+'1.Informe Seguimiento POA 2022'!S71</f>
        <v>0.72</v>
      </c>
      <c r="Z127" s="508">
        <f>+'1.Informe Seguimiento POA 2022'!T71</f>
        <v>0</v>
      </c>
      <c r="AA127" s="508">
        <f>+'1.Informe Seguimiento POA 2022'!R71+'1.Informe Seguimiento POA 2022'!T71+'1.Informe Seguimiento POA 2022'!P71</f>
        <v>0.27100000000000002</v>
      </c>
      <c r="AB127" s="508">
        <f t="shared" ref="AB127" si="236">H127+Q127+Z127</f>
        <v>0.27100000000000002</v>
      </c>
      <c r="AC127" s="493">
        <f t="shared" ref="AC127:AC129" si="237">IF(AND(X127&gt;0),Z127/X127,"No programado")</f>
        <v>0</v>
      </c>
      <c r="AD127" s="493">
        <f t="shared" ref="AD127:AD129" si="238">IF(AND(Y127&gt;0),AA127/Y127,"No programado")</f>
        <v>0.37638888888888894</v>
      </c>
      <c r="AE127" s="479">
        <f t="shared" ref="AE127:AE129" si="239">IF(AND(W127&gt;0,$J127&gt;0),AB127/$E127,0)</f>
        <v>0.28526315789473689</v>
      </c>
      <c r="AF127" s="480">
        <f>W127</f>
        <v>0.95</v>
      </c>
      <c r="AG127" s="480">
        <f>+'1.Informe Seguimiento POA 2022'!U71</f>
        <v>0.23</v>
      </c>
      <c r="AH127" s="480">
        <f>+'1.Informe Seguimiento POA 2022'!O71+'1.Informe Seguimiento POA 2022'!Q71+'1.Informe Seguimiento POA 2022'!S71+'1.Informe Seguimiento POA 2022'!U71</f>
        <v>0.95</v>
      </c>
      <c r="AI127" s="480">
        <f>+'1.Informe Seguimiento POA 2022'!V71</f>
        <v>0</v>
      </c>
      <c r="AJ127" s="480">
        <f>+'1.Informe Seguimiento POA 2022'!P71+'1.Informe Seguimiento POA 2022'!R71+'1.Informe Seguimiento POA 2022'!T71+'1.Informe Seguimiento POA 2022'!V71</f>
        <v>0.27100000000000002</v>
      </c>
      <c r="AK127" s="514">
        <f t="shared" ref="AK127:AK129" si="240">H127+Q127+Z127+AI127</f>
        <v>0.27100000000000002</v>
      </c>
      <c r="AL127" s="493">
        <f t="shared" ref="AL127:AL129" si="241">IF(AND(AG127&gt;0),AI127/AG127,"No programado")</f>
        <v>0</v>
      </c>
      <c r="AM127" s="493">
        <f t="shared" ref="AM127:AM129" si="242">IF(AND(AH127&gt;0),AJ127/AH127,"No programado")</f>
        <v>0.28526315789473689</v>
      </c>
      <c r="AN127" s="479">
        <f t="shared" ref="AN127:AN129" si="243">IF(AND(AF127&gt;0,$J127&gt;0),AK127/$E127,0)</f>
        <v>0.28526315789473689</v>
      </c>
      <c r="AO127" s="483" t="str">
        <f>+'Rango indicadores'!H67</f>
        <v>Mayor o igual A:</v>
      </c>
      <c r="AP127" s="478">
        <f>+'Rango indicadores'!I67</f>
        <v>95</v>
      </c>
      <c r="AQ127" s="478" t="str">
        <f>+'Rango indicadores'!J67</f>
        <v>Desde (&gt;):</v>
      </c>
      <c r="AR127" s="478">
        <f>+'Rango indicadores'!K67</f>
        <v>90</v>
      </c>
      <c r="AS127" s="478" t="str">
        <f>+'Rango indicadores'!L67</f>
        <v>Hasta (&lt;):</v>
      </c>
      <c r="AT127" s="478">
        <f>+'Rango indicadores'!M67</f>
        <v>95</v>
      </c>
      <c r="AU127" s="478" t="str">
        <f>+'Rango indicadores'!N67</f>
        <v>Menor o Igual A:</v>
      </c>
      <c r="AV127" s="478">
        <f>+'Rango indicadores'!O67</f>
        <v>90</v>
      </c>
      <c r="AW127" s="1103" t="s">
        <v>1207</v>
      </c>
      <c r="AX127" s="579"/>
      <c r="AY127" s="913">
        <f t="shared" ref="AY127:AY129" si="244">+F127-H127</f>
        <v>-5.099999999999999E-2</v>
      </c>
      <c r="AZ127" s="579"/>
      <c r="BA127" s="495"/>
    </row>
    <row r="128" spans="2:53" ht="139.80000000000001" customHeight="1">
      <c r="B128" s="475">
        <f>+B127+1</f>
        <v>67</v>
      </c>
      <c r="C128" s="476" t="str">
        <f>+'Rango indicadores'!D68</f>
        <v>10-R1-02</v>
      </c>
      <c r="D128" s="476" t="str">
        <f>+'Rango indicadores'!E68</f>
        <v>Porcentaje de los compromisos de pago programados y ejecutados.</v>
      </c>
      <c r="E128" s="480">
        <f>+'Rango indicadores'!Q68</f>
        <v>0.95</v>
      </c>
      <c r="F128" s="508">
        <f>'1.Informe Seguimiento POA 2022'!O72</f>
        <v>0.14000000000000001</v>
      </c>
      <c r="G128" s="508">
        <f>'1.Informe Seguimiento POA 2022'!O72</f>
        <v>0.14000000000000001</v>
      </c>
      <c r="H128" s="945">
        <f>'1.Informe Seguimiento POA 2022'!P72</f>
        <v>0.13159999999999999</v>
      </c>
      <c r="I128" s="945">
        <f>'1.Informe Seguimiento POA 2022'!P72</f>
        <v>0.13159999999999999</v>
      </c>
      <c r="J128" s="945">
        <f t="shared" si="226"/>
        <v>0.13159999999999999</v>
      </c>
      <c r="K128" s="493">
        <f t="shared" si="227"/>
        <v>0.93999999999999984</v>
      </c>
      <c r="L128" s="493">
        <f t="shared" si="228"/>
        <v>0.93999999999999984</v>
      </c>
      <c r="M128" s="479">
        <f t="shared" si="229"/>
        <v>0.13852631578947369</v>
      </c>
      <c r="N128" s="480">
        <f t="shared" ref="N128:N129" si="245">+E128</f>
        <v>0.95</v>
      </c>
      <c r="O128" s="508">
        <f>+'1.Informe Seguimiento POA 2022'!Q72</f>
        <v>0.25</v>
      </c>
      <c r="P128" s="508">
        <f>+'1.Informe Seguimiento POA 2022'!O72+'1.Informe Seguimiento POA 2022'!Q72</f>
        <v>0.39</v>
      </c>
      <c r="Q128" s="508">
        <f>+'1.Informe Seguimiento POA 2022'!R72</f>
        <v>0</v>
      </c>
      <c r="R128" s="508">
        <f>+'1.Informe Seguimiento POA 2022'!P72+'1.Informe Seguimiento POA 2022'!R72</f>
        <v>0.13159999999999999</v>
      </c>
      <c r="S128" s="508">
        <f t="shared" ref="S128:S129" si="246">H128+Q128</f>
        <v>0.13159999999999999</v>
      </c>
      <c r="T128" s="493">
        <f t="shared" si="232"/>
        <v>0</v>
      </c>
      <c r="U128" s="493">
        <f t="shared" si="233"/>
        <v>0.33743589743589741</v>
      </c>
      <c r="V128" s="479">
        <f t="shared" si="234"/>
        <v>0.13852631578947369</v>
      </c>
      <c r="W128" s="480">
        <f t="shared" ref="W128:W129" si="247">+N128</f>
        <v>0.95</v>
      </c>
      <c r="X128" s="508">
        <f>+'1.Informe Seguimiento POA 2022'!S72</f>
        <v>0.23000000000000004</v>
      </c>
      <c r="Y128" s="508">
        <f>+'1.Informe Seguimiento POA 2022'!O72+'1.Informe Seguimiento POA 2022'!Q72+'1.Informe Seguimiento POA 2022'!S72</f>
        <v>0.62000000000000011</v>
      </c>
      <c r="Z128" s="508">
        <f>+'1.Informe Seguimiento POA 2022'!T72</f>
        <v>0</v>
      </c>
      <c r="AA128" s="508">
        <f>+'1.Informe Seguimiento POA 2022'!R72+'1.Informe Seguimiento POA 2022'!T72+'1.Informe Seguimiento POA 2022'!P72</f>
        <v>0.13159999999999999</v>
      </c>
      <c r="AB128" s="508">
        <f t="shared" ref="AB128:AB129" si="248">H128+Q128+Z128</f>
        <v>0.13159999999999999</v>
      </c>
      <c r="AC128" s="493">
        <f t="shared" si="237"/>
        <v>0</v>
      </c>
      <c r="AD128" s="493">
        <f t="shared" si="238"/>
        <v>0.212258064516129</v>
      </c>
      <c r="AE128" s="479">
        <f t="shared" si="239"/>
        <v>0.13852631578947369</v>
      </c>
      <c r="AF128" s="480">
        <f t="shared" ref="AF128:AF129" si="249">W128</f>
        <v>0.95</v>
      </c>
      <c r="AG128" s="480">
        <f>+'1.Informe Seguimiento POA 2022'!U72</f>
        <v>0.32999999999999996</v>
      </c>
      <c r="AH128" s="480">
        <f>+'1.Informe Seguimiento POA 2022'!O72+'1.Informe Seguimiento POA 2022'!Q72+'1.Informe Seguimiento POA 2022'!S72+'1.Informe Seguimiento POA 2022'!U72</f>
        <v>0.95000000000000007</v>
      </c>
      <c r="AI128" s="480">
        <f>+'1.Informe Seguimiento POA 2022'!V72</f>
        <v>0</v>
      </c>
      <c r="AJ128" s="480">
        <f>+'1.Informe Seguimiento POA 2022'!P72+'1.Informe Seguimiento POA 2022'!R72+'1.Informe Seguimiento POA 2022'!T72+'1.Informe Seguimiento POA 2022'!V72</f>
        <v>0.13159999999999999</v>
      </c>
      <c r="AK128" s="514">
        <f t="shared" si="240"/>
        <v>0.13159999999999999</v>
      </c>
      <c r="AL128" s="493">
        <f t="shared" si="241"/>
        <v>0</v>
      </c>
      <c r="AM128" s="493">
        <f t="shared" si="242"/>
        <v>0.13852631578947366</v>
      </c>
      <c r="AN128" s="479">
        <f t="shared" si="243"/>
        <v>0.13852631578947369</v>
      </c>
      <c r="AO128" s="483" t="str">
        <f>+'Rango indicadores'!H68</f>
        <v>Mayor o igual A:</v>
      </c>
      <c r="AP128" s="478">
        <f>+'Rango indicadores'!I68</f>
        <v>95</v>
      </c>
      <c r="AQ128" s="478" t="str">
        <f>+'Rango indicadores'!J68</f>
        <v>Desde (&gt;):</v>
      </c>
      <c r="AR128" s="478">
        <f>+'Rango indicadores'!K68</f>
        <v>90</v>
      </c>
      <c r="AS128" s="478" t="str">
        <f>+'Rango indicadores'!L68</f>
        <v>Hasta (&lt;):</v>
      </c>
      <c r="AT128" s="478">
        <f>+'Rango indicadores'!M68</f>
        <v>95</v>
      </c>
      <c r="AU128" s="478" t="str">
        <f>+'Rango indicadores'!N68</f>
        <v>Menor o Igual A:</v>
      </c>
      <c r="AV128" s="478">
        <f>+'Rango indicadores'!O68</f>
        <v>90</v>
      </c>
      <c r="AW128" s="1103" t="s">
        <v>1209</v>
      </c>
      <c r="AX128" s="579"/>
      <c r="AY128" s="913">
        <f t="shared" si="244"/>
        <v>8.4000000000000186E-3</v>
      </c>
      <c r="AZ128" s="579"/>
      <c r="BA128" s="495"/>
    </row>
    <row r="129" spans="2:53" ht="79.2">
      <c r="B129" s="475">
        <f>+B128+1</f>
        <v>68</v>
      </c>
      <c r="C129" s="476" t="str">
        <f>+'Rango indicadores'!D69</f>
        <v>10-R1-03</v>
      </c>
      <c r="D129" s="476" t="str">
        <f>+'Rango indicadores'!E69</f>
        <v>Porcentaje de estados financieros de la Entidad elaborados y presentados.</v>
      </c>
      <c r="E129" s="480">
        <f>+'Rango indicadores'!Q69</f>
        <v>1</v>
      </c>
      <c r="F129" s="508">
        <f>'1.Informe Seguimiento POA 2022'!O73</f>
        <v>0.25</v>
      </c>
      <c r="G129" s="508">
        <f>'1.Informe Seguimiento POA 2022'!O73</f>
        <v>0.25</v>
      </c>
      <c r="H129" s="945">
        <f>'1.Informe Seguimiento POA 2022'!P73</f>
        <v>0.25</v>
      </c>
      <c r="I129" s="945">
        <f>'1.Informe Seguimiento POA 2022'!P73</f>
        <v>0.25</v>
      </c>
      <c r="J129" s="945">
        <f t="shared" si="226"/>
        <v>0.25</v>
      </c>
      <c r="K129" s="493">
        <f t="shared" si="227"/>
        <v>1</v>
      </c>
      <c r="L129" s="493">
        <f t="shared" si="228"/>
        <v>1</v>
      </c>
      <c r="M129" s="479">
        <f t="shared" si="229"/>
        <v>0.25</v>
      </c>
      <c r="N129" s="480">
        <f t="shared" si="245"/>
        <v>1</v>
      </c>
      <c r="O129" s="508">
        <f>+'1.Informe Seguimiento POA 2022'!Q73</f>
        <v>0.25</v>
      </c>
      <c r="P129" s="508">
        <f>+'1.Informe Seguimiento POA 2022'!O73+'1.Informe Seguimiento POA 2022'!Q73</f>
        <v>0.5</v>
      </c>
      <c r="Q129" s="508">
        <f>+'1.Informe Seguimiento POA 2022'!R73</f>
        <v>0</v>
      </c>
      <c r="R129" s="508">
        <f>+'1.Informe Seguimiento POA 2022'!P73+'1.Informe Seguimiento POA 2022'!R73</f>
        <v>0.25</v>
      </c>
      <c r="S129" s="508">
        <f t="shared" si="246"/>
        <v>0.25</v>
      </c>
      <c r="T129" s="493">
        <f t="shared" si="232"/>
        <v>0</v>
      </c>
      <c r="U129" s="493">
        <f t="shared" si="233"/>
        <v>0.5</v>
      </c>
      <c r="V129" s="479">
        <f t="shared" si="234"/>
        <v>0.25</v>
      </c>
      <c r="W129" s="480">
        <f t="shared" si="247"/>
        <v>1</v>
      </c>
      <c r="X129" s="508">
        <f>+'1.Informe Seguimiento POA 2022'!S73</f>
        <v>0.25</v>
      </c>
      <c r="Y129" s="508">
        <f>+'1.Informe Seguimiento POA 2022'!O73+'1.Informe Seguimiento POA 2022'!Q73+'1.Informe Seguimiento POA 2022'!S73</f>
        <v>0.75</v>
      </c>
      <c r="Z129" s="508">
        <f>+'1.Informe Seguimiento POA 2022'!T73</f>
        <v>0</v>
      </c>
      <c r="AA129" s="508">
        <f>+'1.Informe Seguimiento POA 2022'!R73+'1.Informe Seguimiento POA 2022'!T73+'1.Informe Seguimiento POA 2022'!P73</f>
        <v>0.25</v>
      </c>
      <c r="AB129" s="508">
        <f t="shared" si="248"/>
        <v>0.25</v>
      </c>
      <c r="AC129" s="493">
        <f t="shared" si="237"/>
        <v>0</v>
      </c>
      <c r="AD129" s="493">
        <f t="shared" si="238"/>
        <v>0.33333333333333331</v>
      </c>
      <c r="AE129" s="479">
        <f t="shared" si="239"/>
        <v>0.25</v>
      </c>
      <c r="AF129" s="480">
        <f t="shared" si="249"/>
        <v>1</v>
      </c>
      <c r="AG129" s="480">
        <f>+'1.Informe Seguimiento POA 2022'!U73</f>
        <v>0.25</v>
      </c>
      <c r="AH129" s="480">
        <f>+'1.Informe Seguimiento POA 2022'!O73+'1.Informe Seguimiento POA 2022'!Q73+'1.Informe Seguimiento POA 2022'!S73+'1.Informe Seguimiento POA 2022'!U73</f>
        <v>1</v>
      </c>
      <c r="AI129" s="480">
        <f>+'1.Informe Seguimiento POA 2022'!V73</f>
        <v>0</v>
      </c>
      <c r="AJ129" s="480">
        <f>+'1.Informe Seguimiento POA 2022'!P73+'1.Informe Seguimiento POA 2022'!R73+'1.Informe Seguimiento POA 2022'!T73+'1.Informe Seguimiento POA 2022'!V73</f>
        <v>0.25</v>
      </c>
      <c r="AK129" s="514">
        <f t="shared" si="240"/>
        <v>0.25</v>
      </c>
      <c r="AL129" s="493">
        <f t="shared" si="241"/>
        <v>0</v>
      </c>
      <c r="AM129" s="493">
        <f t="shared" si="242"/>
        <v>0.25</v>
      </c>
      <c r="AN129" s="479">
        <f t="shared" si="243"/>
        <v>0.25</v>
      </c>
      <c r="AO129" s="483" t="str">
        <f>+'Rango indicadores'!H69</f>
        <v>Mayor o igual A:</v>
      </c>
      <c r="AP129" s="478">
        <f>+'Rango indicadores'!I69</f>
        <v>100</v>
      </c>
      <c r="AQ129" s="478" t="str">
        <f>+'Rango indicadores'!J69</f>
        <v>Desde (&gt;):</v>
      </c>
      <c r="AR129" s="478">
        <f>+'Rango indicadores'!K69</f>
        <v>95</v>
      </c>
      <c r="AS129" s="478" t="str">
        <f>+'Rango indicadores'!L69</f>
        <v>Hasta (&lt;):</v>
      </c>
      <c r="AT129" s="478">
        <f>+'Rango indicadores'!M69</f>
        <v>100</v>
      </c>
      <c r="AU129" s="478" t="str">
        <f>+'Rango indicadores'!N69</f>
        <v>Menor o Igual A:</v>
      </c>
      <c r="AV129" s="478">
        <f>+'Rango indicadores'!O69</f>
        <v>95</v>
      </c>
      <c r="AW129" s="574" t="s">
        <v>1208</v>
      </c>
      <c r="AX129" s="579"/>
      <c r="AY129" s="913">
        <f t="shared" si="244"/>
        <v>0</v>
      </c>
      <c r="AZ129" s="579"/>
      <c r="BA129" s="495"/>
    </row>
    <row r="130" spans="2:53" ht="15.6">
      <c r="C130" s="1474" t="s">
        <v>873</v>
      </c>
      <c r="D130" s="1475"/>
      <c r="E130" s="1475"/>
      <c r="F130" s="1475"/>
      <c r="G130" s="1475"/>
      <c r="H130" s="1475"/>
      <c r="I130" s="1475"/>
      <c r="J130" s="1475"/>
      <c r="K130" s="498">
        <f>IFERROR(AVERAGE(K127:K129),0)</f>
        <v>1.0572727272727271</v>
      </c>
      <c r="L130" s="498">
        <f>IFERROR(AVERAGE(L127:L129),0)</f>
        <v>1.0572727272727271</v>
      </c>
      <c r="M130" s="498">
        <f>IFERROR(AVERAGE(M127:M129),0)</f>
        <v>0.22459649122807021</v>
      </c>
      <c r="N130" s="1085"/>
      <c r="O130" s="1085"/>
      <c r="P130" s="1085"/>
      <c r="Q130" s="1085"/>
      <c r="R130" s="1085"/>
      <c r="S130" s="1085"/>
      <c r="T130" s="498">
        <f>IFERROR(AVERAGE(T127:T129),0)</f>
        <v>0</v>
      </c>
      <c r="U130" s="498">
        <f>IFERROR(AVERAGE(U127:U129),0)</f>
        <v>0.47134388070558281</v>
      </c>
      <c r="V130" s="498">
        <f>IFERROR(AVERAGE(V127:V129),0)</f>
        <v>0.22459649122807021</v>
      </c>
      <c r="W130" s="1085"/>
      <c r="X130" s="1085"/>
      <c r="Y130" s="1085"/>
      <c r="Z130" s="1085"/>
      <c r="AA130" s="1085"/>
      <c r="AB130" s="1085"/>
      <c r="AC130" s="498">
        <f>IFERROR(AVERAGE(AC127:AC129),0)</f>
        <v>0</v>
      </c>
      <c r="AD130" s="498">
        <f>IFERROR(AVERAGE(AD127:AD129),0)</f>
        <v>0.3073267622461171</v>
      </c>
      <c r="AE130" s="498">
        <f>IFERROR(AVERAGE(AE127:AE129),0)</f>
        <v>0.22459649122807021</v>
      </c>
      <c r="AF130" s="1085"/>
      <c r="AG130" s="1085"/>
      <c r="AH130" s="1085"/>
      <c r="AI130" s="1085"/>
      <c r="AJ130" s="1085"/>
      <c r="AK130" s="1086"/>
      <c r="AL130" s="498">
        <f>IFERROR(AVERAGE(AL127:AL129),0)</f>
        <v>0</v>
      </c>
      <c r="AM130" s="498">
        <f>IFERROR(AVERAGE(AM127:AM129),0)</f>
        <v>0.22459649122807016</v>
      </c>
      <c r="AN130" s="498">
        <f>IFERROR(AVERAGE(AN127:AN129),0)</f>
        <v>0.22459649122807021</v>
      </c>
      <c r="AO130" s="488"/>
      <c r="AP130" s="488"/>
      <c r="AQ130" s="488"/>
      <c r="AR130" s="488"/>
      <c r="AS130" s="488"/>
      <c r="AT130" s="488"/>
      <c r="AU130" s="488"/>
      <c r="AV130" s="488"/>
      <c r="AW130" s="583"/>
      <c r="AY130" s="656"/>
    </row>
    <row r="131" spans="2:53" s="471" customFormat="1" ht="26.4" customHeight="1" thickBot="1">
      <c r="D131" s="473"/>
      <c r="AW131" s="473"/>
      <c r="AY131" s="656"/>
    </row>
    <row r="132" spans="2:53" s="471" customFormat="1" ht="16.2" thickBot="1">
      <c r="C132" s="474" t="s">
        <v>884</v>
      </c>
      <c r="D132" s="504"/>
      <c r="E132" s="1446" t="s">
        <v>1144</v>
      </c>
      <c r="F132" s="1447"/>
      <c r="G132" s="1447"/>
      <c r="H132" s="1447"/>
      <c r="I132" s="1447"/>
      <c r="J132" s="1447"/>
      <c r="K132" s="1447"/>
      <c r="L132" s="1447"/>
      <c r="M132" s="1448"/>
      <c r="N132" s="1449" t="s">
        <v>1145</v>
      </c>
      <c r="O132" s="1450"/>
      <c r="P132" s="1450"/>
      <c r="Q132" s="1450"/>
      <c r="R132" s="1450"/>
      <c r="S132" s="1450"/>
      <c r="T132" s="1450"/>
      <c r="U132" s="1450"/>
      <c r="V132" s="1451"/>
      <c r="W132" s="1443" t="s">
        <v>1146</v>
      </c>
      <c r="X132" s="1444"/>
      <c r="Y132" s="1444"/>
      <c r="Z132" s="1444"/>
      <c r="AA132" s="1444"/>
      <c r="AB132" s="1444"/>
      <c r="AC132" s="1444"/>
      <c r="AD132" s="1444"/>
      <c r="AE132" s="1445"/>
      <c r="AF132" s="1449" t="s">
        <v>1056</v>
      </c>
      <c r="AG132" s="1450"/>
      <c r="AH132" s="1450"/>
      <c r="AI132" s="1450"/>
      <c r="AJ132" s="1450"/>
      <c r="AK132" s="1450"/>
      <c r="AL132" s="1450"/>
      <c r="AM132" s="1450"/>
      <c r="AN132" s="1451"/>
      <c r="AW132" s="473"/>
      <c r="AY132" s="656"/>
    </row>
    <row r="133" spans="2:53" ht="36.75" customHeight="1">
      <c r="C133" s="1440" t="str">
        <f>+$C$10</f>
        <v>Identifificación del Indicador</v>
      </c>
      <c r="D133" s="1460" t="s">
        <v>868</v>
      </c>
      <c r="E133" s="1436" t="s">
        <v>869</v>
      </c>
      <c r="F133" s="1437"/>
      <c r="G133" s="1438"/>
      <c r="H133" s="1439" t="s">
        <v>1148</v>
      </c>
      <c r="I133" s="1441" t="s">
        <v>1152</v>
      </c>
      <c r="J133" s="1439" t="s">
        <v>870</v>
      </c>
      <c r="K133" s="1439" t="s">
        <v>864</v>
      </c>
      <c r="L133" s="1439"/>
      <c r="M133" s="1439"/>
      <c r="N133" s="1436" t="s">
        <v>869</v>
      </c>
      <c r="O133" s="1437"/>
      <c r="P133" s="1438"/>
      <c r="Q133" s="1439" t="s">
        <v>1158</v>
      </c>
      <c r="R133" s="1441" t="s">
        <v>1149</v>
      </c>
      <c r="S133" s="1439" t="s">
        <v>870</v>
      </c>
      <c r="T133" s="1439" t="s">
        <v>864</v>
      </c>
      <c r="U133" s="1439"/>
      <c r="V133" s="1439"/>
      <c r="W133" s="1436" t="s">
        <v>869</v>
      </c>
      <c r="X133" s="1437"/>
      <c r="Y133" s="1438"/>
      <c r="Z133" s="1439" t="s">
        <v>1159</v>
      </c>
      <c r="AA133" s="1441" t="s">
        <v>1154</v>
      </c>
      <c r="AB133" s="1439" t="s">
        <v>870</v>
      </c>
      <c r="AC133" s="1439" t="s">
        <v>864</v>
      </c>
      <c r="AD133" s="1439"/>
      <c r="AE133" s="1439"/>
      <c r="AF133" s="1436" t="s">
        <v>869</v>
      </c>
      <c r="AG133" s="1437"/>
      <c r="AH133" s="1438"/>
      <c r="AI133" s="1439" t="s">
        <v>1160</v>
      </c>
      <c r="AJ133" s="1441" t="s">
        <v>1156</v>
      </c>
      <c r="AK133" s="1439" t="s">
        <v>870</v>
      </c>
      <c r="AL133" s="1439" t="s">
        <v>864</v>
      </c>
      <c r="AM133" s="1439"/>
      <c r="AN133" s="1439"/>
      <c r="AO133" s="1452" t="s">
        <v>716</v>
      </c>
      <c r="AP133" s="1452"/>
      <c r="AQ133" s="1452"/>
      <c r="AR133" s="1452"/>
      <c r="AS133" s="1452"/>
      <c r="AT133" s="1452"/>
      <c r="AU133" s="1452"/>
      <c r="AV133" s="1452"/>
      <c r="AW133" s="1440" t="s">
        <v>890</v>
      </c>
      <c r="AY133" s="656"/>
    </row>
    <row r="134" spans="2:53" ht="60.75" customHeight="1">
      <c r="C134" s="1440"/>
      <c r="D134" s="1460"/>
      <c r="E134" s="1041" t="s">
        <v>1161</v>
      </c>
      <c r="F134" s="1041" t="str">
        <f>+E132</f>
        <v>Primer Trimestre</v>
      </c>
      <c r="G134" s="1042" t="s">
        <v>1151</v>
      </c>
      <c r="H134" s="1440"/>
      <c r="I134" s="1442"/>
      <c r="J134" s="1440"/>
      <c r="K134" s="1041" t="str">
        <f>+$D$6</f>
        <v>Primer Trimestre</v>
      </c>
      <c r="L134" s="1042" t="str">
        <f>+G134</f>
        <v>Acumulado
Corte 
31/03/2022</v>
      </c>
      <c r="M134" s="1043" t="s">
        <v>761</v>
      </c>
      <c r="N134" s="1041" t="s">
        <v>1161</v>
      </c>
      <c r="O134" s="1041" t="str">
        <f>+N132</f>
        <v>Segundo Trimestre</v>
      </c>
      <c r="P134" s="1042" t="s">
        <v>1150</v>
      </c>
      <c r="Q134" s="1440"/>
      <c r="R134" s="1442"/>
      <c r="S134" s="1440"/>
      <c r="T134" s="1041" t="str">
        <f>+O134</f>
        <v>Segundo Trimestre</v>
      </c>
      <c r="U134" s="1042" t="str">
        <f>+P134</f>
        <v>Acumulado Corte 
30/06/2022</v>
      </c>
      <c r="V134" s="1043" t="s">
        <v>761</v>
      </c>
      <c r="W134" s="1041" t="s">
        <v>1161</v>
      </c>
      <c r="X134" s="1041" t="str">
        <f>+W132</f>
        <v>Tercer Trimestre</v>
      </c>
      <c r="Y134" s="1042" t="s">
        <v>1153</v>
      </c>
      <c r="Z134" s="1440"/>
      <c r="AA134" s="1442"/>
      <c r="AB134" s="1440"/>
      <c r="AC134" s="1041" t="str">
        <f>+X134</f>
        <v>Tercer Trimestre</v>
      </c>
      <c r="AD134" s="1042" t="str">
        <f>+Y134</f>
        <v>Acumulado Corte 
30/09/2022</v>
      </c>
      <c r="AE134" s="1043" t="s">
        <v>761</v>
      </c>
      <c r="AF134" s="1041" t="s">
        <v>1161</v>
      </c>
      <c r="AG134" s="1041" t="str">
        <f>+AF132</f>
        <v>Cuarto Trimestre</v>
      </c>
      <c r="AH134" s="1042" t="s">
        <v>1155</v>
      </c>
      <c r="AI134" s="1440"/>
      <c r="AJ134" s="1442"/>
      <c r="AK134" s="1440"/>
      <c r="AL134" s="1041" t="str">
        <f>+AG134</f>
        <v>Cuarto Trimestre</v>
      </c>
      <c r="AM134" s="1042" t="str">
        <f>+AH134</f>
        <v>Acumulado Corte 
31/12/2022</v>
      </c>
      <c r="AN134" s="1043" t="s">
        <v>761</v>
      </c>
      <c r="AO134" s="1453" t="s">
        <v>871</v>
      </c>
      <c r="AP134" s="1454"/>
      <c r="AQ134" s="1455" t="s">
        <v>872</v>
      </c>
      <c r="AR134" s="1456"/>
      <c r="AS134" s="1456"/>
      <c r="AT134" s="1457"/>
      <c r="AU134" s="1458" t="s">
        <v>724</v>
      </c>
      <c r="AV134" s="1459"/>
      <c r="AW134" s="1440"/>
      <c r="AY134" s="656"/>
    </row>
    <row r="135" spans="2:53" ht="128.4" customHeight="1">
      <c r="B135" s="475">
        <f>+B129+1</f>
        <v>69</v>
      </c>
      <c r="C135" s="499" t="str">
        <f>+'Rango indicadores'!D70</f>
        <v>11-RI-01</v>
      </c>
      <c r="D135" s="499" t="str">
        <f>+'Rango indicadores'!E70</f>
        <v xml:space="preserve">Porcentaje del Plan Anual de Adquisiciones ejecutado </v>
      </c>
      <c r="E135" s="466">
        <f>+'Rango indicadores'!Q70</f>
        <v>0.95</v>
      </c>
      <c r="F135" s="508">
        <f>'1.Informe Seguimiento POA 2022'!O74</f>
        <v>0.36000000000000004</v>
      </c>
      <c r="G135" s="508">
        <f>'1.Informe Seguimiento POA 2022'!O74</f>
        <v>0.36000000000000004</v>
      </c>
      <c r="H135" s="945">
        <f>'1.Informe Seguimiento POA 2022'!P74</f>
        <v>0.38</v>
      </c>
      <c r="I135" s="945">
        <f>'1.Informe Seguimiento POA 2022'!P74</f>
        <v>0.38</v>
      </c>
      <c r="J135" s="945">
        <f t="shared" ref="J135:J138" si="250">I135</f>
        <v>0.38</v>
      </c>
      <c r="K135" s="493">
        <f t="shared" ref="K135:K138" si="251">IF(AND(F135&gt;0),H135/F135,"No programado")</f>
        <v>1.0555555555555554</v>
      </c>
      <c r="L135" s="493">
        <f t="shared" ref="L135:L138" si="252">IF(AND(G135&gt;0),I135/G135,"No programado")</f>
        <v>1.0555555555555554</v>
      </c>
      <c r="M135" s="479">
        <f t="shared" ref="M135" si="253">IF(AND(E135&gt;0,$J135&gt;0),J135/$E135,0)</f>
        <v>0.4</v>
      </c>
      <c r="N135" s="466">
        <f>+E135</f>
        <v>0.95</v>
      </c>
      <c r="O135" s="508">
        <f>+'1.Informe Seguimiento POA 2022'!Q74</f>
        <v>0.22000000000000003</v>
      </c>
      <c r="P135" s="508">
        <f>+'1.Informe Seguimiento POA 2022'!O74+'1.Informe Seguimiento POA 2022'!Q74</f>
        <v>0.58000000000000007</v>
      </c>
      <c r="Q135" s="508">
        <f>+'1.Informe Seguimiento POA 2022'!R74</f>
        <v>0</v>
      </c>
      <c r="R135" s="508">
        <f>+'1.Informe Seguimiento POA 2022'!P74+'1.Informe Seguimiento POA 2022'!R74</f>
        <v>0.38</v>
      </c>
      <c r="S135" s="508">
        <f t="shared" ref="S135" si="254">H135+Q135</f>
        <v>0.38</v>
      </c>
      <c r="T135" s="493">
        <f t="shared" ref="T135:T138" si="255">IF(AND(O135&gt;0),Q135/O135,"No programado")</f>
        <v>0</v>
      </c>
      <c r="U135" s="493">
        <f t="shared" ref="U135:U138" si="256">IF(AND(P135&gt;0),R135/P135,"No programado")</f>
        <v>0.65517241379310343</v>
      </c>
      <c r="V135" s="479">
        <f t="shared" ref="V135:V138" si="257">IF(AND(N135&gt;0,$J135&gt;0),S135/$E135,0)</f>
        <v>0.4</v>
      </c>
      <c r="W135" s="466">
        <f>+N135</f>
        <v>0.95</v>
      </c>
      <c r="X135" s="508">
        <f>+'1.Informe Seguimiento POA 2022'!S74</f>
        <v>0.21999999999999997</v>
      </c>
      <c r="Y135" s="508">
        <f>+'1.Informe Seguimiento POA 2022'!O74+'1.Informe Seguimiento POA 2022'!Q74+'1.Informe Seguimiento POA 2022'!S74</f>
        <v>0.8</v>
      </c>
      <c r="Z135" s="508">
        <f>+'1.Informe Seguimiento POA 2022'!T74</f>
        <v>0</v>
      </c>
      <c r="AA135" s="508">
        <f>+'1.Informe Seguimiento POA 2022'!R74+'1.Informe Seguimiento POA 2022'!T74+'1.Informe Seguimiento POA 2022'!P74</f>
        <v>0.38</v>
      </c>
      <c r="AB135" s="508">
        <f t="shared" ref="AB135" si="258">H135+Q135+Z135</f>
        <v>0.38</v>
      </c>
      <c r="AC135" s="493">
        <f t="shared" ref="AC135:AC138" si="259">IF(AND(X135&gt;0),Z135/X135,"No programado")</f>
        <v>0</v>
      </c>
      <c r="AD135" s="493">
        <f t="shared" ref="AD135:AD138" si="260">IF(AND(Y135&gt;0),AA135/Y135,"No programado")</f>
        <v>0.47499999999999998</v>
      </c>
      <c r="AE135" s="479">
        <f t="shared" ref="AE135:AE138" si="261">IF(AND(W135&gt;0,$J135&gt;0),AB135/$E135,0)</f>
        <v>0.4</v>
      </c>
      <c r="AF135" s="466">
        <f>+W135</f>
        <v>0.95</v>
      </c>
      <c r="AG135" s="466">
        <f>+'1.Informe Seguimiento POA 2022'!U74</f>
        <v>0.15000000000000002</v>
      </c>
      <c r="AH135" s="480">
        <f>+'1.Informe Seguimiento POA 2022'!O74+'1.Informe Seguimiento POA 2022'!Q74+'1.Informe Seguimiento POA 2022'!S74+'1.Informe Seguimiento POA 2022'!U74</f>
        <v>0.95000000000000007</v>
      </c>
      <c r="AI135" s="466">
        <f>+'1.Informe Seguimiento POA 2022'!V74</f>
        <v>0</v>
      </c>
      <c r="AJ135" s="466">
        <f>+'1.Informe Seguimiento POA 2022'!P74+'1.Informe Seguimiento POA 2022'!R74+'1.Informe Seguimiento POA 2022'!T74+'1.Informe Seguimiento POA 2022'!V74</f>
        <v>0.38</v>
      </c>
      <c r="AK135" s="514">
        <f t="shared" ref="AK135" si="262">H135+Q135+Z135+AI135</f>
        <v>0.38</v>
      </c>
      <c r="AL135" s="493">
        <f t="shared" ref="AL135:AL138" si="263">IF(AND(AG135&gt;0),AI135/AG135,"No programado")</f>
        <v>0</v>
      </c>
      <c r="AM135" s="493">
        <f t="shared" ref="AM135:AM138" si="264">IF(AND(AH135&gt;0),AJ135/AH135,"No programado")</f>
        <v>0.39999999999999997</v>
      </c>
      <c r="AN135" s="479">
        <f t="shared" ref="AN135:AN138" si="265">IF(AND(AF135&gt;0,$J135&gt;0),AK135/$E135,0)</f>
        <v>0.4</v>
      </c>
      <c r="AO135" s="483" t="str">
        <f>+'Rango indicadores'!H70</f>
        <v>Mayor o igual A:</v>
      </c>
      <c r="AP135" s="478">
        <f>+'Rango indicadores'!I70</f>
        <v>95</v>
      </c>
      <c r="AQ135" s="478" t="str">
        <f>+'Rango indicadores'!J70</f>
        <v>Desde (&gt;):</v>
      </c>
      <c r="AR135" s="478">
        <f>+'Rango indicadores'!K70</f>
        <v>90</v>
      </c>
      <c r="AS135" s="478" t="str">
        <f>+'Rango indicadores'!L70</f>
        <v>Hasta (&lt;):</v>
      </c>
      <c r="AT135" s="478">
        <f>+'Rango indicadores'!M70</f>
        <v>95</v>
      </c>
      <c r="AU135" s="478" t="str">
        <f>+'Rango indicadores'!N70</f>
        <v>Menor o Igual A:</v>
      </c>
      <c r="AV135" s="478">
        <f>+'Rango indicadores'!O70</f>
        <v>90</v>
      </c>
      <c r="AW135" s="1103" t="s">
        <v>1226</v>
      </c>
      <c r="AX135" s="579"/>
      <c r="AY135" s="657"/>
      <c r="AZ135" s="579"/>
    </row>
    <row r="136" spans="2:53" ht="111.6" customHeight="1">
      <c r="B136" s="475">
        <f>+B135+1</f>
        <v>70</v>
      </c>
      <c r="C136" s="499" t="str">
        <f>+'Rango indicadores'!D71</f>
        <v>11-RI-02</v>
      </c>
      <c r="D136" s="499" t="str">
        <f>+'Rango indicadores'!E71</f>
        <v xml:space="preserve">Porcentaje de contratos en la modalidad de contratacion directa elaborados en los tiempos óptimos </v>
      </c>
      <c r="E136" s="466">
        <f>+'Rango indicadores'!Q71</f>
        <v>0.8</v>
      </c>
      <c r="F136" s="508">
        <f>'1.Informe Seguimiento POA 2022'!O84</f>
        <v>0.8</v>
      </c>
      <c r="G136" s="508">
        <f>'1.Informe Seguimiento POA 2022'!O84</f>
        <v>0.8</v>
      </c>
      <c r="H136" s="945">
        <f>'1.Informe Seguimiento POA 2022'!P84</f>
        <v>1</v>
      </c>
      <c r="I136" s="945">
        <f>'1.Informe Seguimiento POA 2022'!P84</f>
        <v>1</v>
      </c>
      <c r="J136" s="945">
        <f t="shared" si="250"/>
        <v>1</v>
      </c>
      <c r="K136" s="493">
        <f t="shared" si="251"/>
        <v>1.25</v>
      </c>
      <c r="L136" s="493">
        <f t="shared" si="252"/>
        <v>1.25</v>
      </c>
      <c r="M136" s="479">
        <f>IF(AND(E136&gt;0,$J136&gt;0),J136/$E136,0)*0.25</f>
        <v>0.3125</v>
      </c>
      <c r="N136" s="466">
        <f t="shared" ref="N136:N138" si="266">+E136</f>
        <v>0.8</v>
      </c>
      <c r="O136" s="945">
        <f>+'1.Informe Seguimiento POA 2022'!Q84</f>
        <v>0</v>
      </c>
      <c r="P136" s="1084">
        <f>IFERROR(AVERAGE(F136,O136),0)</f>
        <v>0.4</v>
      </c>
      <c r="Q136" s="945">
        <f>'1.Informe Seguimiento POA 2022'!R84</f>
        <v>0</v>
      </c>
      <c r="R136" s="480">
        <f>IFERROR(AVERAGE('1.Informe Seguimiento POA 2022'!P84,'1.Informe Seguimiento POA 2022'!R84),0)</f>
        <v>0.5</v>
      </c>
      <c r="S136" s="480">
        <f>IFERROR(IF(OR($N136="",$N136=0),0,ROUNDDOWN(AVERAGE($H136,Q136),3)),0)</f>
        <v>0.5</v>
      </c>
      <c r="T136" s="493" t="str">
        <f t="shared" si="255"/>
        <v>No programado</v>
      </c>
      <c r="U136" s="493">
        <f t="shared" si="256"/>
        <v>1.25</v>
      </c>
      <c r="V136" s="479">
        <f t="shared" si="257"/>
        <v>0.625</v>
      </c>
      <c r="W136" s="466">
        <f t="shared" ref="W136:W138" si="267">+N136</f>
        <v>0.8</v>
      </c>
      <c r="X136" s="508">
        <f>+'1.Informe Seguimiento POA 2022'!S84</f>
        <v>0.80000000000000016</v>
      </c>
      <c r="Y136" s="480">
        <f>IFERROR(AVERAGE('1.Informe Seguimiento POA 2022'!O84,'1.Informe Seguimiento POA 2022'!Q84,'1.Informe Seguimiento POA 2022'!S84),0)</f>
        <v>0.53333333333333333</v>
      </c>
      <c r="Z136" s="480">
        <f>+'1.Informe Seguimiento POA 2022'!T84</f>
        <v>0</v>
      </c>
      <c r="AA136" s="480">
        <f>IFERROR(AVERAGE('1.Informe Seguimiento POA 2022'!R84,'1.Informe Seguimiento POA 2022'!P84,'1.Informe Seguimiento POA 2022'!T84),0)</f>
        <v>0.33333333333333331</v>
      </c>
      <c r="AB136" s="480">
        <f>IFERROR(IF(OR($W136="",$W136=0),0,ROUNDDOWN(AVERAGE($H136,Q136,Z136),3)),0)</f>
        <v>0.33300000000000002</v>
      </c>
      <c r="AC136" s="493">
        <f t="shared" si="259"/>
        <v>0</v>
      </c>
      <c r="AD136" s="493">
        <f t="shared" si="260"/>
        <v>0.625</v>
      </c>
      <c r="AE136" s="479">
        <f t="shared" si="261"/>
        <v>0.41625000000000001</v>
      </c>
      <c r="AF136" s="466">
        <f t="shared" ref="AF136:AF138" si="268">+W136</f>
        <v>0.8</v>
      </c>
      <c r="AG136" s="466">
        <f>+'1.Informe Seguimiento POA 2022'!U84</f>
        <v>0.80000000000000016</v>
      </c>
      <c r="AH136" s="480">
        <f>IFERROR(AVERAGE('1.Informe Seguimiento POA 2022'!S84,'1.Informe Seguimiento POA 2022'!U84),0)</f>
        <v>0.80000000000000016</v>
      </c>
      <c r="AI136" s="466">
        <f>+'1.Informe Seguimiento POA 2022'!V84</f>
        <v>0</v>
      </c>
      <c r="AJ136" s="466">
        <f>IFERROR(AVERAGE('1.Informe Seguimiento POA 2022'!T84,'1.Informe Seguimiento POA 2022'!V84),0)</f>
        <v>0</v>
      </c>
      <c r="AK136" s="480">
        <f>IFERROR(IF(OR($W136="",$W136=0),0,ROUNDDOWN(AVERAGE($H136,Q136,Z136,AI136),3)),0)</f>
        <v>0.25</v>
      </c>
      <c r="AL136" s="493">
        <f t="shared" si="263"/>
        <v>0</v>
      </c>
      <c r="AM136" s="493">
        <f t="shared" si="264"/>
        <v>0</v>
      </c>
      <c r="AN136" s="479">
        <f t="shared" si="265"/>
        <v>0.3125</v>
      </c>
      <c r="AO136" s="483" t="str">
        <f>+'Rango indicadores'!H71</f>
        <v>Mayor o igual A:</v>
      </c>
      <c r="AP136" s="478">
        <f>+'Rango indicadores'!I71</f>
        <v>95</v>
      </c>
      <c r="AQ136" s="478" t="str">
        <f>+'Rango indicadores'!J71</f>
        <v>Desde (&gt;):</v>
      </c>
      <c r="AR136" s="478">
        <f>+'Rango indicadores'!K71</f>
        <v>80</v>
      </c>
      <c r="AS136" s="478" t="str">
        <f>+'Rango indicadores'!L71</f>
        <v>Hasta (&lt;):</v>
      </c>
      <c r="AT136" s="478">
        <f>+'Rango indicadores'!M71</f>
        <v>95</v>
      </c>
      <c r="AU136" s="478" t="str">
        <f>+'Rango indicadores'!N71</f>
        <v>Menor o Igual A:</v>
      </c>
      <c r="AV136" s="478">
        <f>+'Rango indicadores'!O71</f>
        <v>80</v>
      </c>
      <c r="AW136" s="582" t="s">
        <v>1227</v>
      </c>
      <c r="AX136" s="579"/>
      <c r="AY136" s="659"/>
      <c r="AZ136" s="579"/>
    </row>
    <row r="137" spans="2:53" ht="124.8" customHeight="1">
      <c r="B137" s="475">
        <f t="shared" ref="B137:B138" si="269">+B136+1</f>
        <v>71</v>
      </c>
      <c r="C137" s="499" t="str">
        <f>+'Rango indicadores'!D72</f>
        <v>11-RI-03</v>
      </c>
      <c r="D137" s="499" t="str">
        <f>+'Rango indicadores'!E72</f>
        <v xml:space="preserve">Porcentaje de contratos en la modalidad de selección abreviada de menor cuantía elaborados en los tiempos óptimos </v>
      </c>
      <c r="E137" s="466">
        <f>+'Rango indicadores'!Q72</f>
        <v>0.8</v>
      </c>
      <c r="F137" s="508">
        <f>'1.Informe Seguimiento POA 2022'!O85</f>
        <v>0</v>
      </c>
      <c r="G137" s="508">
        <f>'1.Informe Seguimiento POA 2022'!O85</f>
        <v>0</v>
      </c>
      <c r="H137" s="945">
        <f>'1.Informe Seguimiento POA 2022'!P85</f>
        <v>1</v>
      </c>
      <c r="I137" s="945">
        <f>'1.Informe Seguimiento POA 2022'!P85</f>
        <v>1</v>
      </c>
      <c r="J137" s="945">
        <f t="shared" si="250"/>
        <v>1</v>
      </c>
      <c r="K137" s="493" t="str">
        <f t="shared" si="251"/>
        <v>No programado</v>
      </c>
      <c r="L137" s="493" t="str">
        <f t="shared" si="252"/>
        <v>No programado</v>
      </c>
      <c r="M137" s="479">
        <f>IF(AND(E137&gt;0,$J137&gt;0),J137/$E137,0)*0.25</f>
        <v>0.3125</v>
      </c>
      <c r="N137" s="466">
        <f t="shared" si="266"/>
        <v>0.8</v>
      </c>
      <c r="O137" s="945">
        <f>+'1.Informe Seguimiento POA 2022'!Q85</f>
        <v>0</v>
      </c>
      <c r="P137" s="1084">
        <f t="shared" ref="P137:P138" si="270">IFERROR(AVERAGE(F137,O137),0)</f>
        <v>0</v>
      </c>
      <c r="Q137" s="945">
        <f>'1.Informe Seguimiento POA 2022'!R85</f>
        <v>0</v>
      </c>
      <c r="R137" s="480">
        <f>IFERROR(AVERAGE('1.Informe Seguimiento POA 2022'!P85,'1.Informe Seguimiento POA 2022'!R85),0)</f>
        <v>0.5</v>
      </c>
      <c r="S137" s="480">
        <f t="shared" ref="S137:S138" si="271">IFERROR(IF(OR($N137="",$N137=0),0,ROUNDDOWN(AVERAGE($H137,Q137),3)),0)</f>
        <v>0.5</v>
      </c>
      <c r="T137" s="493" t="str">
        <f t="shared" si="255"/>
        <v>No programado</v>
      </c>
      <c r="U137" s="493" t="str">
        <f t="shared" si="256"/>
        <v>No programado</v>
      </c>
      <c r="V137" s="479">
        <f t="shared" si="257"/>
        <v>0.625</v>
      </c>
      <c r="W137" s="466">
        <f t="shared" si="267"/>
        <v>0.8</v>
      </c>
      <c r="X137" s="508">
        <f>+'1.Informe Seguimiento POA 2022'!S85</f>
        <v>0.80000000000000016</v>
      </c>
      <c r="Y137" s="480">
        <f>IFERROR(AVERAGE('1.Informe Seguimiento POA 2022'!O85,'1.Informe Seguimiento POA 2022'!Q85,'1.Informe Seguimiento POA 2022'!S85),0)</f>
        <v>0.26666666666666672</v>
      </c>
      <c r="Z137" s="480">
        <f>+'1.Informe Seguimiento POA 2022'!T85</f>
        <v>0</v>
      </c>
      <c r="AA137" s="480">
        <f>IFERROR(AVERAGE('1.Informe Seguimiento POA 2022'!R85,'1.Informe Seguimiento POA 2022'!P85,'1.Informe Seguimiento POA 2022'!T85),0)</f>
        <v>0.33333333333333331</v>
      </c>
      <c r="AB137" s="480">
        <f t="shared" ref="AB137:AB138" si="272">IFERROR(IF(OR($W137="",$W137=0),0,ROUNDDOWN(AVERAGE($H137,Q137,Z137),3)),0)</f>
        <v>0.33300000000000002</v>
      </c>
      <c r="AC137" s="493">
        <f t="shared" si="259"/>
        <v>0</v>
      </c>
      <c r="AD137" s="493">
        <f t="shared" si="260"/>
        <v>1.2499999999999998</v>
      </c>
      <c r="AE137" s="479">
        <f t="shared" si="261"/>
        <v>0.41625000000000001</v>
      </c>
      <c r="AF137" s="466">
        <f t="shared" si="268"/>
        <v>0.8</v>
      </c>
      <c r="AG137" s="466">
        <f>+'1.Informe Seguimiento POA 2022'!U85</f>
        <v>0.53333333333333333</v>
      </c>
      <c r="AH137" s="480">
        <f>IFERROR(AVERAGE('1.Informe Seguimiento POA 2022'!S85,'1.Informe Seguimiento POA 2022'!U85),0)</f>
        <v>0.66666666666666674</v>
      </c>
      <c r="AI137" s="466">
        <f>+'1.Informe Seguimiento POA 2022'!V85</f>
        <v>0</v>
      </c>
      <c r="AJ137" s="466">
        <f>IFERROR(AVERAGE('1.Informe Seguimiento POA 2022'!T85,'1.Informe Seguimiento POA 2022'!V85),0)</f>
        <v>0</v>
      </c>
      <c r="AK137" s="480">
        <f t="shared" ref="AK137:AK138" si="273">IFERROR(IF(OR($W137="",$W137=0),0,ROUNDDOWN(AVERAGE($H137,Q137,Z137,AI137),3)),0)</f>
        <v>0.25</v>
      </c>
      <c r="AL137" s="493">
        <f t="shared" si="263"/>
        <v>0</v>
      </c>
      <c r="AM137" s="493">
        <f t="shared" si="264"/>
        <v>0</v>
      </c>
      <c r="AN137" s="479">
        <f t="shared" si="265"/>
        <v>0.3125</v>
      </c>
      <c r="AO137" s="483" t="str">
        <f>+'Rango indicadores'!H72</f>
        <v>Mayor o igual A:</v>
      </c>
      <c r="AP137" s="478">
        <f>+'Rango indicadores'!I72</f>
        <v>95</v>
      </c>
      <c r="AQ137" s="478" t="str">
        <f>+'Rango indicadores'!J72</f>
        <v>Desde (&gt;):</v>
      </c>
      <c r="AR137" s="478">
        <f>+'Rango indicadores'!K72</f>
        <v>80</v>
      </c>
      <c r="AS137" s="478" t="str">
        <f>+'Rango indicadores'!L72</f>
        <v>Hasta (&lt;):</v>
      </c>
      <c r="AT137" s="478">
        <f>+'Rango indicadores'!M72</f>
        <v>95</v>
      </c>
      <c r="AU137" s="478" t="str">
        <f>+'Rango indicadores'!N72</f>
        <v>Menor o Igual A:</v>
      </c>
      <c r="AV137" s="478">
        <f>+'Rango indicadores'!O72</f>
        <v>80</v>
      </c>
      <c r="AW137" s="582" t="s">
        <v>1228</v>
      </c>
      <c r="AX137" s="579"/>
      <c r="AY137" s="659"/>
      <c r="AZ137" s="579"/>
    </row>
    <row r="138" spans="2:53" ht="106.8" customHeight="1">
      <c r="B138" s="475">
        <f t="shared" si="269"/>
        <v>72</v>
      </c>
      <c r="C138" s="499" t="str">
        <f>+'Rango indicadores'!D73</f>
        <v>11-RI-04</v>
      </c>
      <c r="D138" s="499" t="str">
        <f>+'Rango indicadores'!E73</f>
        <v xml:space="preserve">Porcentaje de contratos en la modalidad de selección abreviada de subasta inversa, licitación pública y concurso de méritos elaborados en los tiempos óptimos </v>
      </c>
      <c r="E138" s="466">
        <f>+'Rango indicadores'!Q73</f>
        <v>0.8</v>
      </c>
      <c r="F138" s="508">
        <f>'1.Informe Seguimiento POA 2022'!O86</f>
        <v>0.8</v>
      </c>
      <c r="G138" s="508">
        <f>'1.Informe Seguimiento POA 2022'!O86</f>
        <v>0.8</v>
      </c>
      <c r="H138" s="575">
        <f>'1.Informe Seguimiento POA 2022'!P86</f>
        <v>0.8</v>
      </c>
      <c r="I138" s="945">
        <f>'1.Informe Seguimiento POA 2022'!P86</f>
        <v>0.8</v>
      </c>
      <c r="J138" s="945">
        <f t="shared" si="250"/>
        <v>0.8</v>
      </c>
      <c r="K138" s="493">
        <f t="shared" si="251"/>
        <v>1</v>
      </c>
      <c r="L138" s="493">
        <f t="shared" si="252"/>
        <v>1</v>
      </c>
      <c r="M138" s="479">
        <f>IF(AND(E138&gt;0,$J138&gt;0),J138/$E138,0)*0.25</f>
        <v>0.25</v>
      </c>
      <c r="N138" s="466">
        <f t="shared" si="266"/>
        <v>0.8</v>
      </c>
      <c r="O138" s="945">
        <f>+'1.Informe Seguimiento POA 2022'!Q86</f>
        <v>0</v>
      </c>
      <c r="P138" s="1084">
        <f t="shared" si="270"/>
        <v>0.4</v>
      </c>
      <c r="Q138" s="945">
        <f>'1.Informe Seguimiento POA 2022'!R86</f>
        <v>0</v>
      </c>
      <c r="R138" s="480">
        <f>IFERROR(AVERAGE('1.Informe Seguimiento POA 2022'!P86,'1.Informe Seguimiento POA 2022'!R86),0)</f>
        <v>0.4</v>
      </c>
      <c r="S138" s="480">
        <f t="shared" si="271"/>
        <v>0.4</v>
      </c>
      <c r="T138" s="493" t="str">
        <f t="shared" si="255"/>
        <v>No programado</v>
      </c>
      <c r="U138" s="493">
        <f t="shared" si="256"/>
        <v>1</v>
      </c>
      <c r="V138" s="479">
        <f t="shared" si="257"/>
        <v>0.5</v>
      </c>
      <c r="W138" s="466">
        <f t="shared" si="267"/>
        <v>0.8</v>
      </c>
      <c r="X138" s="508">
        <f>+'1.Informe Seguimiento POA 2022'!S86</f>
        <v>0.80000000000000016</v>
      </c>
      <c r="Y138" s="480">
        <f>IFERROR(AVERAGE('1.Informe Seguimiento POA 2022'!O86,'1.Informe Seguimiento POA 2022'!Q86,'1.Informe Seguimiento POA 2022'!S86),0)</f>
        <v>0.53333333333333333</v>
      </c>
      <c r="Z138" s="480">
        <f>+'1.Informe Seguimiento POA 2022'!T86</f>
        <v>0</v>
      </c>
      <c r="AA138" s="480">
        <f>IFERROR(AVERAGE('1.Informe Seguimiento POA 2022'!R86,'1.Informe Seguimiento POA 2022'!P86,'1.Informe Seguimiento POA 2022'!T86),0)</f>
        <v>0.26666666666666666</v>
      </c>
      <c r="AB138" s="480">
        <f t="shared" si="272"/>
        <v>0.26600000000000001</v>
      </c>
      <c r="AC138" s="493">
        <f t="shared" si="259"/>
        <v>0</v>
      </c>
      <c r="AD138" s="493">
        <f t="shared" si="260"/>
        <v>0.5</v>
      </c>
      <c r="AE138" s="479">
        <f t="shared" si="261"/>
        <v>0.33250000000000002</v>
      </c>
      <c r="AF138" s="466">
        <f t="shared" si="268"/>
        <v>0.8</v>
      </c>
      <c r="AG138" s="466">
        <f>+'1.Informe Seguimiento POA 2022'!U86</f>
        <v>0.80000000000000016</v>
      </c>
      <c r="AH138" s="480">
        <f>IFERROR(AVERAGE('1.Informe Seguimiento POA 2022'!S86,'1.Informe Seguimiento POA 2022'!U86),0)</f>
        <v>0.80000000000000016</v>
      </c>
      <c r="AI138" s="466">
        <f>+'1.Informe Seguimiento POA 2022'!V86</f>
        <v>0</v>
      </c>
      <c r="AJ138" s="466">
        <f>IFERROR(AVERAGE('1.Informe Seguimiento POA 2022'!T86,'1.Informe Seguimiento POA 2022'!V86),0)</f>
        <v>0</v>
      </c>
      <c r="AK138" s="480">
        <f t="shared" si="273"/>
        <v>0.2</v>
      </c>
      <c r="AL138" s="493">
        <f t="shared" si="263"/>
        <v>0</v>
      </c>
      <c r="AM138" s="493">
        <f t="shared" si="264"/>
        <v>0</v>
      </c>
      <c r="AN138" s="479">
        <f t="shared" si="265"/>
        <v>0.25</v>
      </c>
      <c r="AO138" s="483" t="str">
        <f>+'Rango indicadores'!H73</f>
        <v>Mayor o igual A:</v>
      </c>
      <c r="AP138" s="478">
        <f>+'Rango indicadores'!I73</f>
        <v>95</v>
      </c>
      <c r="AQ138" s="478" t="str">
        <f>+'Rango indicadores'!J73</f>
        <v>Desde (&gt;):</v>
      </c>
      <c r="AR138" s="478">
        <f>+'Rango indicadores'!K73</f>
        <v>80</v>
      </c>
      <c r="AS138" s="478" t="str">
        <f>+'Rango indicadores'!L73</f>
        <v>Hasta (&lt;):</v>
      </c>
      <c r="AT138" s="478">
        <f>+'Rango indicadores'!M73</f>
        <v>95</v>
      </c>
      <c r="AU138" s="478" t="str">
        <f>+'Rango indicadores'!N73</f>
        <v>Menor o Igual A:</v>
      </c>
      <c r="AV138" s="478">
        <f>+'Rango indicadores'!O73</f>
        <v>80</v>
      </c>
      <c r="AW138" s="582" t="s">
        <v>1177</v>
      </c>
      <c r="AX138" s="579"/>
      <c r="AY138" s="659"/>
      <c r="AZ138" s="579"/>
    </row>
    <row r="139" spans="2:53" ht="15.6">
      <c r="C139" s="1474" t="s">
        <v>873</v>
      </c>
      <c r="D139" s="1475"/>
      <c r="E139" s="1475"/>
      <c r="F139" s="1475"/>
      <c r="G139" s="1475"/>
      <c r="H139" s="1475"/>
      <c r="I139" s="1475"/>
      <c r="J139" s="1475"/>
      <c r="K139" s="481">
        <f>IFERROR(AVERAGE(K135:K138),0)</f>
        <v>1.1018518518518519</v>
      </c>
      <c r="L139" s="481">
        <f>IFERROR(AVERAGE(L135:L138),0)</f>
        <v>1.1018518518518519</v>
      </c>
      <c r="M139" s="481">
        <f>IFERROR(AVERAGE(M135:M138),0)</f>
        <v>0.31874999999999998</v>
      </c>
      <c r="N139" s="1085"/>
      <c r="O139" s="1085"/>
      <c r="P139" s="1085"/>
      <c r="Q139" s="1085"/>
      <c r="R139" s="1085"/>
      <c r="S139" s="1085"/>
      <c r="T139" s="481">
        <f>IFERROR(AVERAGE(T135:T138),0)</f>
        <v>0</v>
      </c>
      <c r="U139" s="481">
        <f>IFERROR(AVERAGE(U135:U138),0)</f>
        <v>0.9683908045977011</v>
      </c>
      <c r="V139" s="481">
        <f>IFERROR(AVERAGE(V135:V138),0)</f>
        <v>0.53749999999999998</v>
      </c>
      <c r="W139" s="1085"/>
      <c r="X139" s="1085"/>
      <c r="Y139" s="1085"/>
      <c r="Z139" s="1085"/>
      <c r="AA139" s="1085"/>
      <c r="AB139" s="1085"/>
      <c r="AC139" s="481">
        <f>IFERROR(AVERAGE(AC135:AC138),0)</f>
        <v>0</v>
      </c>
      <c r="AD139" s="481">
        <f>IFERROR(AVERAGE(AD135:AD138),0)</f>
        <v>0.71249999999999991</v>
      </c>
      <c r="AE139" s="481">
        <f>IFERROR(AVERAGE(AE135:AE138),0)</f>
        <v>0.39124999999999999</v>
      </c>
      <c r="AF139" s="1085"/>
      <c r="AG139" s="1085"/>
      <c r="AH139" s="1085"/>
      <c r="AI139" s="1085"/>
      <c r="AJ139" s="1085"/>
      <c r="AK139" s="1086"/>
      <c r="AL139" s="481">
        <f>IFERROR(AVERAGE(AL135:AL138),0)</f>
        <v>0</v>
      </c>
      <c r="AM139" s="481">
        <f>IFERROR(AVERAGE(AM135:AM138),0)</f>
        <v>9.9999999999999992E-2</v>
      </c>
      <c r="AN139" s="481">
        <f>IFERROR(AVERAGE(AN135:AN138),0)</f>
        <v>0.31874999999999998</v>
      </c>
      <c r="AO139" s="488"/>
      <c r="AP139" s="488"/>
      <c r="AQ139" s="488"/>
      <c r="AR139" s="488"/>
      <c r="AS139" s="488"/>
      <c r="AT139" s="488"/>
      <c r="AU139" s="488"/>
      <c r="AV139" s="488"/>
      <c r="AW139" s="583"/>
      <c r="AX139" s="495"/>
      <c r="AY139" s="656"/>
      <c r="AZ139" s="495"/>
      <c r="BA139" s="495"/>
    </row>
    <row r="140" spans="2:53" s="471" customFormat="1" ht="23.4" customHeight="1" thickBot="1">
      <c r="D140" s="473"/>
      <c r="AW140" s="473"/>
      <c r="AY140" s="656"/>
    </row>
    <row r="141" spans="2:53" s="471" customFormat="1" ht="16.2" thickBot="1">
      <c r="C141" s="474" t="s">
        <v>885</v>
      </c>
      <c r="D141" s="504"/>
      <c r="E141" s="1446" t="s">
        <v>1144</v>
      </c>
      <c r="F141" s="1447"/>
      <c r="G141" s="1447"/>
      <c r="H141" s="1447"/>
      <c r="I141" s="1447"/>
      <c r="J141" s="1447"/>
      <c r="K141" s="1447"/>
      <c r="L141" s="1447"/>
      <c r="M141" s="1448"/>
      <c r="N141" s="1449" t="s">
        <v>1145</v>
      </c>
      <c r="O141" s="1450"/>
      <c r="P141" s="1450"/>
      <c r="Q141" s="1450"/>
      <c r="R141" s="1450"/>
      <c r="S141" s="1450"/>
      <c r="T141" s="1450"/>
      <c r="U141" s="1450"/>
      <c r="V141" s="1451"/>
      <c r="W141" s="1443" t="s">
        <v>1146</v>
      </c>
      <c r="X141" s="1444"/>
      <c r="Y141" s="1444"/>
      <c r="Z141" s="1444"/>
      <c r="AA141" s="1444"/>
      <c r="AB141" s="1444"/>
      <c r="AC141" s="1444"/>
      <c r="AD141" s="1444"/>
      <c r="AE141" s="1445"/>
      <c r="AF141" s="1449" t="s">
        <v>1056</v>
      </c>
      <c r="AG141" s="1450"/>
      <c r="AH141" s="1450"/>
      <c r="AI141" s="1450"/>
      <c r="AJ141" s="1450"/>
      <c r="AK141" s="1450"/>
      <c r="AL141" s="1450"/>
      <c r="AM141" s="1450"/>
      <c r="AN141" s="1451"/>
      <c r="AW141" s="473"/>
      <c r="AY141" s="656"/>
    </row>
    <row r="142" spans="2:53" ht="33" customHeight="1">
      <c r="C142" s="1440" t="str">
        <f>+$C$10</f>
        <v>Identifificación del Indicador</v>
      </c>
      <c r="D142" s="1460" t="s">
        <v>868</v>
      </c>
      <c r="E142" s="1436" t="s">
        <v>869</v>
      </c>
      <c r="F142" s="1437"/>
      <c r="G142" s="1438"/>
      <c r="H142" s="1439" t="s">
        <v>1148</v>
      </c>
      <c r="I142" s="1441" t="s">
        <v>1152</v>
      </c>
      <c r="J142" s="1439" t="s">
        <v>870</v>
      </c>
      <c r="K142" s="1439" t="s">
        <v>864</v>
      </c>
      <c r="L142" s="1439"/>
      <c r="M142" s="1439"/>
      <c r="N142" s="1436" t="s">
        <v>869</v>
      </c>
      <c r="O142" s="1437"/>
      <c r="P142" s="1438"/>
      <c r="Q142" s="1439" t="s">
        <v>1158</v>
      </c>
      <c r="R142" s="1441" t="s">
        <v>1149</v>
      </c>
      <c r="S142" s="1439" t="s">
        <v>870</v>
      </c>
      <c r="T142" s="1439" t="s">
        <v>864</v>
      </c>
      <c r="U142" s="1439"/>
      <c r="V142" s="1439"/>
      <c r="W142" s="1436" t="s">
        <v>869</v>
      </c>
      <c r="X142" s="1437"/>
      <c r="Y142" s="1438"/>
      <c r="Z142" s="1439" t="s">
        <v>1159</v>
      </c>
      <c r="AA142" s="1441" t="s">
        <v>1154</v>
      </c>
      <c r="AB142" s="1439" t="s">
        <v>870</v>
      </c>
      <c r="AC142" s="1439" t="s">
        <v>864</v>
      </c>
      <c r="AD142" s="1439"/>
      <c r="AE142" s="1439"/>
      <c r="AF142" s="1436" t="s">
        <v>869</v>
      </c>
      <c r="AG142" s="1437"/>
      <c r="AH142" s="1438"/>
      <c r="AI142" s="1439" t="s">
        <v>1160</v>
      </c>
      <c r="AJ142" s="1441" t="s">
        <v>1156</v>
      </c>
      <c r="AK142" s="1439" t="s">
        <v>870</v>
      </c>
      <c r="AL142" s="1439" t="s">
        <v>864</v>
      </c>
      <c r="AM142" s="1439"/>
      <c r="AN142" s="1439"/>
      <c r="AO142" s="1452" t="s">
        <v>716</v>
      </c>
      <c r="AP142" s="1452"/>
      <c r="AQ142" s="1452"/>
      <c r="AR142" s="1452"/>
      <c r="AS142" s="1452"/>
      <c r="AT142" s="1452"/>
      <c r="AU142" s="1452"/>
      <c r="AV142" s="1452"/>
      <c r="AW142" s="1440" t="s">
        <v>890</v>
      </c>
      <c r="AY142" s="656"/>
    </row>
    <row r="143" spans="2:53" ht="75" customHeight="1">
      <c r="C143" s="1440"/>
      <c r="D143" s="1460"/>
      <c r="E143" s="1041" t="s">
        <v>1161</v>
      </c>
      <c r="F143" s="1041" t="str">
        <f>+E141</f>
        <v>Primer Trimestre</v>
      </c>
      <c r="G143" s="1042" t="s">
        <v>1151</v>
      </c>
      <c r="H143" s="1440"/>
      <c r="I143" s="1442"/>
      <c r="J143" s="1440"/>
      <c r="K143" s="1041" t="str">
        <f>+$D$6</f>
        <v>Primer Trimestre</v>
      </c>
      <c r="L143" s="1042" t="str">
        <f>+G143</f>
        <v>Acumulado
Corte 
31/03/2022</v>
      </c>
      <c r="M143" s="1043" t="s">
        <v>761</v>
      </c>
      <c r="N143" s="1041" t="s">
        <v>1161</v>
      </c>
      <c r="O143" s="1041" t="str">
        <f>+N141</f>
        <v>Segundo Trimestre</v>
      </c>
      <c r="P143" s="1042" t="s">
        <v>1150</v>
      </c>
      <c r="Q143" s="1440"/>
      <c r="R143" s="1442"/>
      <c r="S143" s="1440"/>
      <c r="T143" s="1041" t="str">
        <f>+O143</f>
        <v>Segundo Trimestre</v>
      </c>
      <c r="U143" s="1042" t="str">
        <f>+P143</f>
        <v>Acumulado Corte 
30/06/2022</v>
      </c>
      <c r="V143" s="1043" t="s">
        <v>761</v>
      </c>
      <c r="W143" s="1041" t="s">
        <v>1161</v>
      </c>
      <c r="X143" s="1041" t="str">
        <f>+W141</f>
        <v>Tercer Trimestre</v>
      </c>
      <c r="Y143" s="1042" t="s">
        <v>1153</v>
      </c>
      <c r="Z143" s="1440"/>
      <c r="AA143" s="1442"/>
      <c r="AB143" s="1440"/>
      <c r="AC143" s="1041" t="str">
        <f>+X143</f>
        <v>Tercer Trimestre</v>
      </c>
      <c r="AD143" s="1042" t="str">
        <f>+Y143</f>
        <v>Acumulado Corte 
30/09/2022</v>
      </c>
      <c r="AE143" s="1043" t="s">
        <v>761</v>
      </c>
      <c r="AF143" s="1041" t="s">
        <v>1161</v>
      </c>
      <c r="AG143" s="1041" t="str">
        <f>+AF141</f>
        <v>Cuarto Trimestre</v>
      </c>
      <c r="AH143" s="1042" t="s">
        <v>1155</v>
      </c>
      <c r="AI143" s="1440"/>
      <c r="AJ143" s="1442"/>
      <c r="AK143" s="1440"/>
      <c r="AL143" s="1041" t="str">
        <f>+AG143</f>
        <v>Cuarto Trimestre</v>
      </c>
      <c r="AM143" s="1042" t="str">
        <f>+AH143</f>
        <v>Acumulado Corte 
31/12/2022</v>
      </c>
      <c r="AN143" s="1043" t="s">
        <v>761</v>
      </c>
      <c r="AO143" s="1453" t="s">
        <v>871</v>
      </c>
      <c r="AP143" s="1454"/>
      <c r="AQ143" s="1455" t="s">
        <v>872</v>
      </c>
      <c r="AR143" s="1456"/>
      <c r="AS143" s="1456"/>
      <c r="AT143" s="1457"/>
      <c r="AU143" s="1458" t="s">
        <v>724</v>
      </c>
      <c r="AV143" s="1459"/>
      <c r="AW143" s="1440"/>
      <c r="AY143" s="656"/>
    </row>
    <row r="144" spans="2:53" ht="133.19999999999999" customHeight="1">
      <c r="B144" s="475">
        <f>+B138+1</f>
        <v>73</v>
      </c>
      <c r="C144" s="476" t="str">
        <f>+'Rango indicadores'!D74</f>
        <v>12-RI-01</v>
      </c>
      <c r="D144" s="476" t="str">
        <f>+'Rango indicadores'!E74</f>
        <v>Porcentaje de Comunicaciones oficiales con reparto realizado dentro de los 3 días hábiles desde su radicación</v>
      </c>
      <c r="E144" s="480">
        <f>+'Rango indicadores'!Q74</f>
        <v>0.95</v>
      </c>
      <c r="F144" s="508">
        <f>'1.Informe Seguimiento POA 2022'!O75</f>
        <v>0.94999999999999984</v>
      </c>
      <c r="G144" s="508">
        <f>'1.Informe Seguimiento POA 2022'!O75</f>
        <v>0.94999999999999984</v>
      </c>
      <c r="H144" s="945">
        <f>'1.Informe Seguimiento POA 2022'!P75</f>
        <v>0.98523333333333341</v>
      </c>
      <c r="I144" s="945">
        <f>'1.Informe Seguimiento POA 2022'!P75</f>
        <v>0.98523333333333341</v>
      </c>
      <c r="J144" s="945">
        <f t="shared" ref="J144:J147" si="274">I144</f>
        <v>0.98523333333333341</v>
      </c>
      <c r="K144" s="493">
        <f t="shared" ref="K144:K147" si="275">IF(AND(F144&gt;0),H144/F144,"No programado")</f>
        <v>1.0370877192982459</v>
      </c>
      <c r="L144" s="493">
        <f t="shared" ref="L144:L147" si="276">IF(AND(G144&gt;0),I144/G144,"No programado")</f>
        <v>1.0370877192982459</v>
      </c>
      <c r="M144" s="479">
        <f>IF(AND(E144&gt;0,$J144&gt;0),J144/$E144,0)*0.25</f>
        <v>0.25927192982456143</v>
      </c>
      <c r="N144" s="480">
        <f>+E144</f>
        <v>0.95</v>
      </c>
      <c r="O144" s="945">
        <f>+'1.Informe Seguimiento POA 2022'!Q75</f>
        <v>0.94999999999999984</v>
      </c>
      <c r="P144" s="1084">
        <f>IFERROR(AVERAGE(F144,O144),0)</f>
        <v>0.94999999999999984</v>
      </c>
      <c r="Q144" s="945">
        <f>'1.Informe Seguimiento POA 2022'!R75</f>
        <v>0</v>
      </c>
      <c r="R144" s="480">
        <f>IFERROR(AVERAGE('1.Informe Seguimiento POA 2022'!P75,'1.Informe Seguimiento POA 2022'!R75),0)</f>
        <v>0.4926166666666667</v>
      </c>
      <c r="S144" s="480">
        <f>IFERROR(IF(OR($N144="",$N144=0),0,ROUNDDOWN(AVERAGE($H144,Q144),3)),0)</f>
        <v>0.49199999999999999</v>
      </c>
      <c r="T144" s="493">
        <f t="shared" ref="T144:T147" si="277">IF(AND(O144&gt;0),Q144/O144,"No programado")</f>
        <v>0</v>
      </c>
      <c r="U144" s="493">
        <f t="shared" ref="U144:U147" si="278">IF(AND(P144&gt;0),R144/P144,"No programado")</f>
        <v>0.51854385964912297</v>
      </c>
      <c r="V144" s="479">
        <f t="shared" ref="V144:V147" si="279">IF(AND(N144&gt;0,$J144&gt;0),S144/$E144,0)</f>
        <v>0.5178947368421053</v>
      </c>
      <c r="W144" s="480">
        <f>+N144</f>
        <v>0.95</v>
      </c>
      <c r="X144" s="508">
        <f>+'1.Informe Seguimiento POA 2022'!S75</f>
        <v>0.94999999999999984</v>
      </c>
      <c r="Y144" s="480">
        <f>IFERROR(AVERAGE('1.Informe Seguimiento POA 2022'!O75,'1.Informe Seguimiento POA 2022'!Q75,'1.Informe Seguimiento POA 2022'!S75),0)</f>
        <v>0.94999999999999984</v>
      </c>
      <c r="Z144" s="480">
        <f>+'1.Informe Seguimiento POA 2022'!T75</f>
        <v>0</v>
      </c>
      <c r="AA144" s="480">
        <f>IFERROR(AVERAGE('1.Informe Seguimiento POA 2022'!R75,'1.Informe Seguimiento POA 2022'!P75,'1.Informe Seguimiento POA 2022'!T75),0)</f>
        <v>0.32841111111111115</v>
      </c>
      <c r="AB144" s="480">
        <f>IFERROR(IF(OR($W144="",$W144=0),0,ROUNDDOWN(AVERAGE($H144,Q144,Z144),3)),0)</f>
        <v>0.32800000000000001</v>
      </c>
      <c r="AC144" s="493">
        <f t="shared" ref="AC144:AC147" si="280">IF(AND(X144&gt;0),Z144/X144,"No programado")</f>
        <v>0</v>
      </c>
      <c r="AD144" s="493">
        <f t="shared" ref="AD144:AD147" si="281">IF(AND(Y144&gt;0),AA144/Y144,"No programado")</f>
        <v>0.34569590643274861</v>
      </c>
      <c r="AE144" s="479">
        <f t="shared" ref="AE144:AE147" si="282">IF(AND(W144&gt;0,$J144&gt;0),AB144/$E144,0)</f>
        <v>0.34526315789473688</v>
      </c>
      <c r="AF144" s="480">
        <f>+W144</f>
        <v>0.95</v>
      </c>
      <c r="AG144" s="480">
        <f>+'1.Informe Seguimiento POA 2022'!U75</f>
        <v>0.94999999999999984</v>
      </c>
      <c r="AH144" s="480">
        <f>IFERROR(AVERAGE('1.Informe Seguimiento POA 2022'!O75,'1.Informe Seguimiento POA 2022'!Q75,'1.Informe Seguimiento POA 2022'!S75,'1.Informe Seguimiento POA 2022'!U75),0)</f>
        <v>0.94999999999999984</v>
      </c>
      <c r="AI144" s="912">
        <f>+'1.Informe Seguimiento POA 2022'!V75</f>
        <v>0</v>
      </c>
      <c r="AJ144" s="480">
        <f>IFERROR(AVERAGE('1.Informe Seguimiento POA 2022'!P75,'1.Informe Seguimiento POA 2022'!R75,'1.Informe Seguimiento POA 2022'!T75,'1.Informe Seguimiento POA 2022'!V75),0)</f>
        <v>0.24630833333333335</v>
      </c>
      <c r="AK144" s="480">
        <f>IFERROR(IF(OR($W144="",$W144=0),0,ROUNDDOWN(AVERAGE($H144,Q144,Z144,AI144),3)),0)</f>
        <v>0.246</v>
      </c>
      <c r="AL144" s="493">
        <f t="shared" ref="AL144:AL147" si="283">IF(AND(AG144&gt;0),AI144/AG144,"No programado")</f>
        <v>0</v>
      </c>
      <c r="AM144" s="493">
        <f t="shared" ref="AM144:AM147" si="284">IF(AND(AH144&gt;0),AJ144/AH144,"No programado")</f>
        <v>0.25927192982456149</v>
      </c>
      <c r="AN144" s="479">
        <f t="shared" ref="AN144:AN147" si="285">IF(AND(AF144&gt;0,$J144&gt;0),AK144/$E144,0)</f>
        <v>0.25894736842105265</v>
      </c>
      <c r="AO144" s="483" t="str">
        <f>+'Rango indicadores'!H74</f>
        <v>Mayor A:</v>
      </c>
      <c r="AP144" s="478">
        <f>+'Rango indicadores'!I74</f>
        <v>95</v>
      </c>
      <c r="AQ144" s="478" t="str">
        <f>+'Rango indicadores'!J74</f>
        <v>Desde (&gt;=):</v>
      </c>
      <c r="AR144" s="478">
        <f>+'Rango indicadores'!K74</f>
        <v>90</v>
      </c>
      <c r="AS144" s="478" t="str">
        <f>+'Rango indicadores'!L74</f>
        <v>Hasta (&lt;=):</v>
      </c>
      <c r="AT144" s="478">
        <f>+'Rango indicadores'!M74</f>
        <v>95</v>
      </c>
      <c r="AU144" s="478" t="str">
        <f>+'Rango indicadores'!N74</f>
        <v>Menor A:</v>
      </c>
      <c r="AV144" s="478">
        <f>+'Rango indicadores'!O74</f>
        <v>90</v>
      </c>
      <c r="AW144" s="582" t="s">
        <v>1229</v>
      </c>
      <c r="AX144" s="579"/>
      <c r="AY144" s="913"/>
      <c r="AZ144" s="579"/>
    </row>
    <row r="145" spans="2:53" ht="138" customHeight="1">
      <c r="B145" s="475">
        <f>B144+1</f>
        <v>74</v>
      </c>
      <c r="C145" s="476" t="str">
        <f>+'Rango indicadores'!D75</f>
        <v>12-RI-02</v>
      </c>
      <c r="D145" s="476" t="str">
        <f>+'Rango indicadores'!E75</f>
        <v>Porcentaje de documentación incorporada en el archivo central durante la vigencia.</v>
      </c>
      <c r="E145" s="480">
        <f>+'Rango indicadores'!Q75</f>
        <v>0.8</v>
      </c>
      <c r="F145" s="508">
        <f>'1.Informe Seguimiento POA 2022'!O76</f>
        <v>0.80000000000000016</v>
      </c>
      <c r="G145" s="508">
        <f>'1.Informe Seguimiento POA 2022'!O76</f>
        <v>0.80000000000000016</v>
      </c>
      <c r="H145" s="945">
        <f>'1.Informe Seguimiento POA 2022'!P76</f>
        <v>0.8753333333333333</v>
      </c>
      <c r="I145" s="945">
        <f>'1.Informe Seguimiento POA 2022'!P76</f>
        <v>0.8753333333333333</v>
      </c>
      <c r="J145" s="945">
        <f t="shared" si="274"/>
        <v>0.8753333333333333</v>
      </c>
      <c r="K145" s="493">
        <f t="shared" si="275"/>
        <v>1.0941666666666665</v>
      </c>
      <c r="L145" s="493">
        <f t="shared" si="276"/>
        <v>1.0941666666666665</v>
      </c>
      <c r="M145" s="479">
        <f>IF(AND(E145&gt;0,$J145&gt;0),J145/$E145,0)*0.25</f>
        <v>0.27354166666666663</v>
      </c>
      <c r="N145" s="480">
        <f t="shared" ref="N145:N147" si="286">+E145</f>
        <v>0.8</v>
      </c>
      <c r="O145" s="945">
        <f>+'1.Informe Seguimiento POA 2022'!Q76</f>
        <v>0.80000000000000016</v>
      </c>
      <c r="P145" s="1084">
        <f>IFERROR(AVERAGE(F145,O145),0)</f>
        <v>0.80000000000000016</v>
      </c>
      <c r="Q145" s="945">
        <f>'1.Informe Seguimiento POA 2022'!R76</f>
        <v>0</v>
      </c>
      <c r="R145" s="480">
        <f>IFERROR(AVERAGE('1.Informe Seguimiento POA 2022'!P76,'1.Informe Seguimiento POA 2022'!R76),0)</f>
        <v>0.43766666666666665</v>
      </c>
      <c r="S145" s="480">
        <f>IFERROR(IF(OR($N145="",$N145=0),0,ROUNDDOWN(AVERAGE($H145,Q145),3)),0)</f>
        <v>0.437</v>
      </c>
      <c r="T145" s="493">
        <f t="shared" si="277"/>
        <v>0</v>
      </c>
      <c r="U145" s="493">
        <f t="shared" si="278"/>
        <v>0.54708333333333325</v>
      </c>
      <c r="V145" s="479">
        <f t="shared" si="279"/>
        <v>0.54625000000000001</v>
      </c>
      <c r="W145" s="480">
        <f t="shared" ref="W145:W147" si="287">+N145</f>
        <v>0.8</v>
      </c>
      <c r="X145" s="508">
        <f>+'1.Informe Seguimiento POA 2022'!S76</f>
        <v>0.80000000000000016</v>
      </c>
      <c r="Y145" s="480">
        <f>IFERROR(AVERAGE('1.Informe Seguimiento POA 2022'!O76,'1.Informe Seguimiento POA 2022'!Q76,'1.Informe Seguimiento POA 2022'!S76),0)</f>
        <v>0.80000000000000016</v>
      </c>
      <c r="Z145" s="480">
        <f>+'1.Informe Seguimiento POA 2022'!T76</f>
        <v>0</v>
      </c>
      <c r="AA145" s="480">
        <f>IFERROR(AVERAGE('1.Informe Seguimiento POA 2022'!R76,'1.Informe Seguimiento POA 2022'!P76,'1.Informe Seguimiento POA 2022'!T76),0)</f>
        <v>0.29177777777777775</v>
      </c>
      <c r="AB145" s="480">
        <f>IFERROR(IF(OR($W145="",$W145=0),0,ROUNDDOWN(AVERAGE($H145,Q145,Z145),3)),0)</f>
        <v>0.29099999999999998</v>
      </c>
      <c r="AC145" s="493">
        <f t="shared" si="280"/>
        <v>0</v>
      </c>
      <c r="AD145" s="493">
        <f t="shared" si="281"/>
        <v>0.36472222222222211</v>
      </c>
      <c r="AE145" s="479">
        <f t="shared" si="282"/>
        <v>0.36374999999999996</v>
      </c>
      <c r="AF145" s="480">
        <f t="shared" ref="AF145:AF147" si="288">+W145</f>
        <v>0.8</v>
      </c>
      <c r="AG145" s="480">
        <f>+'1.Informe Seguimiento POA 2022'!U76</f>
        <v>0.80000000000000016</v>
      </c>
      <c r="AH145" s="480">
        <f>IFERROR(AVERAGE('1.Informe Seguimiento POA 2022'!O76,'1.Informe Seguimiento POA 2022'!Q76,'1.Informe Seguimiento POA 2022'!S76,'1.Informe Seguimiento POA 2022'!U76),0)</f>
        <v>0.80000000000000016</v>
      </c>
      <c r="AI145" s="912">
        <f>+'1.Informe Seguimiento POA 2022'!V76</f>
        <v>0</v>
      </c>
      <c r="AJ145" s="480">
        <f>IFERROR(AVERAGE('1.Informe Seguimiento POA 2022'!P76,'1.Informe Seguimiento POA 2022'!R76,'1.Informe Seguimiento POA 2022'!T76,'1.Informe Seguimiento POA 2022'!V76),0)</f>
        <v>0.21883333333333332</v>
      </c>
      <c r="AK145" s="480">
        <f>IFERROR(IF(OR($W145="",$W145=0),0,ROUNDDOWN(AVERAGE($H145,Q145,Z145,AI145),3)),0)</f>
        <v>0.218</v>
      </c>
      <c r="AL145" s="493">
        <f t="shared" si="283"/>
        <v>0</v>
      </c>
      <c r="AM145" s="493">
        <f t="shared" si="284"/>
        <v>0.27354166666666663</v>
      </c>
      <c r="AN145" s="479">
        <f t="shared" si="285"/>
        <v>0.27249999999999996</v>
      </c>
      <c r="AO145" s="483" t="str">
        <f>+'Rango indicadores'!H75</f>
        <v>Mayor A:</v>
      </c>
      <c r="AP145" s="478">
        <f>+'Rango indicadores'!I75</f>
        <v>100</v>
      </c>
      <c r="AQ145" s="478" t="str">
        <f>+'Rango indicadores'!J75</f>
        <v>Desde (&gt;=):</v>
      </c>
      <c r="AR145" s="478">
        <f>+'Rango indicadores'!K75</f>
        <v>93</v>
      </c>
      <c r="AS145" s="478" t="str">
        <f>+'Rango indicadores'!L75</f>
        <v>Hasta (&lt;=):</v>
      </c>
      <c r="AT145" s="478">
        <f>+'Rango indicadores'!M75</f>
        <v>100</v>
      </c>
      <c r="AU145" s="478" t="str">
        <f>+'Rango indicadores'!N75</f>
        <v>Menor A:</v>
      </c>
      <c r="AV145" s="478">
        <f>+'Rango indicadores'!O75</f>
        <v>93</v>
      </c>
      <c r="AW145" s="582" t="s">
        <v>1230</v>
      </c>
      <c r="AX145" s="579"/>
      <c r="AY145" s="913"/>
      <c r="AZ145" s="579"/>
    </row>
    <row r="146" spans="2:53" ht="105.6">
      <c r="B146" s="475">
        <f>B145+1</f>
        <v>75</v>
      </c>
      <c r="C146" s="476" t="str">
        <f>+'Rango indicadores'!D76</f>
        <v>12-RI-03</v>
      </c>
      <c r="D146" s="476" t="str">
        <f>+'Rango indicadores'!E76</f>
        <v>Cantidad de actividades realizadas por año para el diseño, actualización o ajuste de los instrumentos archivísticos establecidos por norma</v>
      </c>
      <c r="E146" s="490">
        <f>+'Rango indicadores'!Q76</f>
        <v>25</v>
      </c>
      <c r="F146" s="490">
        <f>'1.Informe Seguimiento POA 2022'!O77</f>
        <v>5</v>
      </c>
      <c r="G146" s="490">
        <f>'1.Informe Seguimiento POA 2022'!O77</f>
        <v>5</v>
      </c>
      <c r="H146" s="490">
        <f>'1.Informe Seguimiento POA 2022'!P77</f>
        <v>6</v>
      </c>
      <c r="I146" s="490">
        <f>'1.Informe Seguimiento POA 2022'!P77</f>
        <v>6</v>
      </c>
      <c r="J146" s="490">
        <f t="shared" si="274"/>
        <v>6</v>
      </c>
      <c r="K146" s="493">
        <f t="shared" si="275"/>
        <v>1.2</v>
      </c>
      <c r="L146" s="493">
        <f t="shared" si="276"/>
        <v>1.2</v>
      </c>
      <c r="M146" s="479">
        <f>IF(AND(E146&gt;0,$J146&gt;0),J146/$E146,0)</f>
        <v>0.24</v>
      </c>
      <c r="N146" s="490">
        <f t="shared" si="286"/>
        <v>25</v>
      </c>
      <c r="O146" s="490">
        <f>+'1.Informe Seguimiento POA 2022'!Q77</f>
        <v>7</v>
      </c>
      <c r="P146" s="490">
        <f>+'1.Informe Seguimiento POA 2022'!O77+'1.Informe Seguimiento POA 2022'!Q77</f>
        <v>12</v>
      </c>
      <c r="Q146" s="490">
        <f>+'1.Informe Seguimiento POA 2022'!R77</f>
        <v>0</v>
      </c>
      <c r="R146" s="490">
        <f>+'1.Informe Seguimiento POA 2022'!P77+'1.Informe Seguimiento POA 2022'!R77</f>
        <v>6</v>
      </c>
      <c r="S146" s="490">
        <f t="shared" ref="S146" si="289">H146+Q146</f>
        <v>6</v>
      </c>
      <c r="T146" s="493">
        <f t="shared" si="277"/>
        <v>0</v>
      </c>
      <c r="U146" s="493">
        <f t="shared" si="278"/>
        <v>0.5</v>
      </c>
      <c r="V146" s="479">
        <f t="shared" si="279"/>
        <v>0.24</v>
      </c>
      <c r="W146" s="490">
        <f t="shared" si="287"/>
        <v>25</v>
      </c>
      <c r="X146" s="490">
        <f>+'1.Informe Seguimiento POA 2022'!S77</f>
        <v>7</v>
      </c>
      <c r="Y146" s="490">
        <f>+'1.Informe Seguimiento POA 2022'!O77+'1.Informe Seguimiento POA 2022'!Q77+'1.Informe Seguimiento POA 2022'!S77</f>
        <v>19</v>
      </c>
      <c r="Z146" s="490">
        <f>+'1.Informe Seguimiento POA 2022'!T77</f>
        <v>0</v>
      </c>
      <c r="AA146" s="490">
        <f>+'1.Informe Seguimiento POA 2022'!R77+'1.Informe Seguimiento POA 2022'!T77+'1.Informe Seguimiento POA 2022'!P77</f>
        <v>6</v>
      </c>
      <c r="AB146" s="490">
        <f t="shared" ref="AB146" si="290">H146+Q146+Z146</f>
        <v>6</v>
      </c>
      <c r="AC146" s="493">
        <f t="shared" si="280"/>
        <v>0</v>
      </c>
      <c r="AD146" s="493">
        <f t="shared" si="281"/>
        <v>0.31578947368421051</v>
      </c>
      <c r="AE146" s="479">
        <f t="shared" si="282"/>
        <v>0.24</v>
      </c>
      <c r="AF146" s="490">
        <f t="shared" si="288"/>
        <v>25</v>
      </c>
      <c r="AG146" s="490">
        <f>+'1.Informe Seguimiento POA 2022'!U77</f>
        <v>6</v>
      </c>
      <c r="AH146" s="490">
        <f>+'1.Informe Seguimiento POA 2022'!O77+'1.Informe Seguimiento POA 2022'!Q77+'1.Informe Seguimiento POA 2022'!S77+'1.Informe Seguimiento POA 2022'!U77</f>
        <v>25</v>
      </c>
      <c r="AI146" s="490">
        <f>+'1.Informe Seguimiento POA 2022'!V77</f>
        <v>0</v>
      </c>
      <c r="AJ146" s="490">
        <f>+'1.Informe Seguimiento POA 2022'!P77+'1.Informe Seguimiento POA 2022'!R77+'1.Informe Seguimiento POA 2022'!T77+'1.Informe Seguimiento POA 2022'!V77</f>
        <v>6</v>
      </c>
      <c r="AK146" s="490">
        <f t="shared" ref="AK146:AK147" si="291">H146+Q146+Z146+AI146</f>
        <v>6</v>
      </c>
      <c r="AL146" s="493">
        <f t="shared" si="283"/>
        <v>0</v>
      </c>
      <c r="AM146" s="493">
        <f t="shared" si="284"/>
        <v>0.24</v>
      </c>
      <c r="AN146" s="479">
        <f t="shared" si="285"/>
        <v>0.24</v>
      </c>
      <c r="AO146" s="483" t="str">
        <f>+'Rango indicadores'!H76</f>
        <v>Mayor o igual A:</v>
      </c>
      <c r="AP146" s="478">
        <f>+'Rango indicadores'!I76</f>
        <v>100</v>
      </c>
      <c r="AQ146" s="478" t="str">
        <f>+'Rango indicadores'!J76</f>
        <v>Desde (&gt;):</v>
      </c>
      <c r="AR146" s="478">
        <f>+'Rango indicadores'!K76</f>
        <v>80</v>
      </c>
      <c r="AS146" s="478" t="str">
        <f>+'Rango indicadores'!L76</f>
        <v>Hasta (&lt;):</v>
      </c>
      <c r="AT146" s="478">
        <f>+'Rango indicadores'!M76</f>
        <v>100</v>
      </c>
      <c r="AU146" s="478" t="str">
        <f>+'Rango indicadores'!N76</f>
        <v>Menor o Igual A:</v>
      </c>
      <c r="AV146" s="478">
        <f>+'Rango indicadores'!O76</f>
        <v>80</v>
      </c>
      <c r="AW146" s="1103" t="s">
        <v>1216</v>
      </c>
      <c r="AX146" s="581"/>
      <c r="AY146" s="656"/>
      <c r="AZ146" s="581"/>
    </row>
    <row r="147" spans="2:53" ht="100.95" customHeight="1">
      <c r="B147" s="475">
        <f>B146+1</f>
        <v>76</v>
      </c>
      <c r="C147" s="476" t="str">
        <f>+'Rango indicadores'!D77</f>
        <v>12-RI-04</v>
      </c>
      <c r="D147" s="476" t="str">
        <f>+'Rango indicadores'!E77</f>
        <v>Cantidad de actividades realizadas por año para implementación de los instrumentos archivísticos establecidos por norma, y de herramientas de apoyo a la gestión documental.</v>
      </c>
      <c r="E147" s="490">
        <f>+'Rango indicadores'!Q77</f>
        <v>25</v>
      </c>
      <c r="F147" s="490">
        <f>'1.Informe Seguimiento POA 2022'!O78</f>
        <v>5</v>
      </c>
      <c r="G147" s="490">
        <f>'1.Informe Seguimiento POA 2022'!O78</f>
        <v>5</v>
      </c>
      <c r="H147" s="490">
        <f>'1.Informe Seguimiento POA 2022'!P78</f>
        <v>5</v>
      </c>
      <c r="I147" s="490">
        <f>'1.Informe Seguimiento POA 2022'!P78</f>
        <v>5</v>
      </c>
      <c r="J147" s="490">
        <f t="shared" si="274"/>
        <v>5</v>
      </c>
      <c r="K147" s="493">
        <f t="shared" si="275"/>
        <v>1</v>
      </c>
      <c r="L147" s="493">
        <f t="shared" si="276"/>
        <v>1</v>
      </c>
      <c r="M147" s="479">
        <f>IF(AND(E147&gt;0,$J147&gt;0),J147/$E147,0)</f>
        <v>0.2</v>
      </c>
      <c r="N147" s="490">
        <f t="shared" si="286"/>
        <v>25</v>
      </c>
      <c r="O147" s="490">
        <f>+'1.Informe Seguimiento POA 2022'!Q78</f>
        <v>7</v>
      </c>
      <c r="P147" s="490">
        <f>+'1.Informe Seguimiento POA 2022'!O78+'1.Informe Seguimiento POA 2022'!Q78</f>
        <v>12</v>
      </c>
      <c r="Q147" s="490">
        <f>+'1.Informe Seguimiento POA 2022'!R78</f>
        <v>0</v>
      </c>
      <c r="R147" s="490">
        <f>+'1.Informe Seguimiento POA 2022'!P78+'1.Informe Seguimiento POA 2022'!R78</f>
        <v>5</v>
      </c>
      <c r="S147" s="490">
        <f t="shared" ref="S147" si="292">H147+Q147</f>
        <v>5</v>
      </c>
      <c r="T147" s="493">
        <f t="shared" si="277"/>
        <v>0</v>
      </c>
      <c r="U147" s="493">
        <f t="shared" si="278"/>
        <v>0.41666666666666669</v>
      </c>
      <c r="V147" s="479">
        <f t="shared" si="279"/>
        <v>0.2</v>
      </c>
      <c r="W147" s="490">
        <f t="shared" si="287"/>
        <v>25</v>
      </c>
      <c r="X147" s="490">
        <f>+'1.Informe Seguimiento POA 2022'!S78</f>
        <v>7</v>
      </c>
      <c r="Y147" s="490">
        <f>+'1.Informe Seguimiento POA 2022'!O78+'1.Informe Seguimiento POA 2022'!Q78+'1.Informe Seguimiento POA 2022'!S78</f>
        <v>19</v>
      </c>
      <c r="Z147" s="490">
        <f>+'1.Informe Seguimiento POA 2022'!T78</f>
        <v>0</v>
      </c>
      <c r="AA147" s="490">
        <f>+'1.Informe Seguimiento POA 2022'!R78+'1.Informe Seguimiento POA 2022'!T78+'1.Informe Seguimiento POA 2022'!P78</f>
        <v>5</v>
      </c>
      <c r="AB147" s="490">
        <f t="shared" ref="AB147" si="293">H147+Q147+Z147</f>
        <v>5</v>
      </c>
      <c r="AC147" s="493">
        <f t="shared" si="280"/>
        <v>0</v>
      </c>
      <c r="AD147" s="493">
        <f t="shared" si="281"/>
        <v>0.26315789473684209</v>
      </c>
      <c r="AE147" s="479">
        <f t="shared" si="282"/>
        <v>0.2</v>
      </c>
      <c r="AF147" s="490">
        <f t="shared" si="288"/>
        <v>25</v>
      </c>
      <c r="AG147" s="490">
        <f>+'1.Informe Seguimiento POA 2022'!U78</f>
        <v>6</v>
      </c>
      <c r="AH147" s="490">
        <f>+'1.Informe Seguimiento POA 2022'!O78+'1.Informe Seguimiento POA 2022'!Q78+'1.Informe Seguimiento POA 2022'!S78+'1.Informe Seguimiento POA 2022'!U78</f>
        <v>25</v>
      </c>
      <c r="AI147" s="490">
        <f>+'1.Informe Seguimiento POA 2022'!V78</f>
        <v>0</v>
      </c>
      <c r="AJ147" s="490">
        <f>+'1.Informe Seguimiento POA 2022'!P78+'1.Informe Seguimiento POA 2022'!R78+'1.Informe Seguimiento POA 2022'!T78+'1.Informe Seguimiento POA 2022'!V78</f>
        <v>5</v>
      </c>
      <c r="AK147" s="490">
        <f t="shared" si="291"/>
        <v>5</v>
      </c>
      <c r="AL147" s="493">
        <f t="shared" si="283"/>
        <v>0</v>
      </c>
      <c r="AM147" s="493">
        <f t="shared" si="284"/>
        <v>0.2</v>
      </c>
      <c r="AN147" s="479">
        <f t="shared" si="285"/>
        <v>0.2</v>
      </c>
      <c r="AO147" s="483" t="str">
        <f>+'Rango indicadores'!H77</f>
        <v>Mayor o igual A:</v>
      </c>
      <c r="AP147" s="478">
        <f>+'Rango indicadores'!I77</f>
        <v>100</v>
      </c>
      <c r="AQ147" s="478" t="str">
        <f>+'Rango indicadores'!J77</f>
        <v>Desde (&gt;):</v>
      </c>
      <c r="AR147" s="478">
        <f>+'Rango indicadores'!K77</f>
        <v>80</v>
      </c>
      <c r="AS147" s="478" t="str">
        <f>+'Rango indicadores'!L77</f>
        <v>Hasta (&lt;):</v>
      </c>
      <c r="AT147" s="478">
        <f>+'Rango indicadores'!M77</f>
        <v>100</v>
      </c>
      <c r="AU147" s="478" t="str">
        <f>+'Rango indicadores'!N77</f>
        <v>Menor o Igual A:</v>
      </c>
      <c r="AV147" s="478">
        <f>+'Rango indicadores'!O77</f>
        <v>80</v>
      </c>
      <c r="AW147" s="574" t="s">
        <v>1210</v>
      </c>
      <c r="AX147" s="581"/>
      <c r="AY147" s="656"/>
      <c r="AZ147" s="581"/>
      <c r="BA147" s="497"/>
    </row>
    <row r="148" spans="2:53" ht="15.6">
      <c r="C148" s="1474" t="s">
        <v>873</v>
      </c>
      <c r="D148" s="1475"/>
      <c r="E148" s="1475"/>
      <c r="F148" s="1475"/>
      <c r="G148" s="1475"/>
      <c r="H148" s="1475"/>
      <c r="I148" s="1475"/>
      <c r="J148" s="1475"/>
      <c r="K148" s="481">
        <f>IFERROR(AVERAGE(K144:K147),0)</f>
        <v>1.0828135964912282</v>
      </c>
      <c r="L148" s="481">
        <f>IFERROR(AVERAGE(L144:L147),0)</f>
        <v>1.0828135964912282</v>
      </c>
      <c r="M148" s="481">
        <f>IFERROR(AVERAGE(M144:M147),0)</f>
        <v>0.24320339912280703</v>
      </c>
      <c r="N148" s="1085"/>
      <c r="O148" s="1085"/>
      <c r="P148" s="1085"/>
      <c r="Q148" s="1085"/>
      <c r="R148" s="1085"/>
      <c r="S148" s="1085"/>
      <c r="T148" s="481">
        <f>IFERROR(AVERAGE(T144:T147),0)</f>
        <v>0</v>
      </c>
      <c r="U148" s="481">
        <f>IFERROR(AVERAGE(U144:U147),0)</f>
        <v>0.49557346491228077</v>
      </c>
      <c r="V148" s="481">
        <f>IFERROR(AVERAGE(V144:V147),0)</f>
        <v>0.37603618421052631</v>
      </c>
      <c r="W148" s="1085"/>
      <c r="X148" s="1085"/>
      <c r="Y148" s="1085"/>
      <c r="Z148" s="1085"/>
      <c r="AA148" s="1085"/>
      <c r="AB148" s="1085"/>
      <c r="AC148" s="481">
        <f>IFERROR(AVERAGE(AC144:AC147),0)</f>
        <v>0</v>
      </c>
      <c r="AD148" s="481">
        <f>IFERROR(AVERAGE(AD144:AD147),0)</f>
        <v>0.32234137426900578</v>
      </c>
      <c r="AE148" s="481">
        <f>IFERROR(AVERAGE(AE144:AE147),0)</f>
        <v>0.28725328947368423</v>
      </c>
      <c r="AF148" s="1085"/>
      <c r="AG148" s="1085"/>
      <c r="AH148" s="1085"/>
      <c r="AI148" s="1085"/>
      <c r="AJ148" s="1085"/>
      <c r="AK148" s="1086"/>
      <c r="AL148" s="481">
        <f>IFERROR(AVERAGE(AL144:AL147),0)</f>
        <v>0</v>
      </c>
      <c r="AM148" s="481">
        <f>IFERROR(AVERAGE(AM144:AM147),0)</f>
        <v>0.24320339912280703</v>
      </c>
      <c r="AN148" s="481">
        <f>IFERROR(AVERAGE(AN144:AN147),0)</f>
        <v>0.24286184210526313</v>
      </c>
      <c r="AO148" s="488"/>
      <c r="AP148" s="488"/>
      <c r="AQ148" s="488"/>
      <c r="AR148" s="488"/>
      <c r="AS148" s="488"/>
      <c r="AT148" s="488"/>
      <c r="AU148" s="488"/>
      <c r="AV148" s="488"/>
      <c r="AW148" s="583"/>
      <c r="AY148" s="656"/>
    </row>
    <row r="149" spans="2:53" s="471" customFormat="1" ht="22.2" customHeight="1" thickBot="1">
      <c r="D149" s="473"/>
      <c r="AW149" s="473"/>
      <c r="AY149" s="656"/>
    </row>
    <row r="150" spans="2:53" s="471" customFormat="1" ht="16.2" thickBot="1">
      <c r="C150" s="474" t="s">
        <v>886</v>
      </c>
      <c r="D150" s="504"/>
      <c r="E150" s="1446" t="s">
        <v>1144</v>
      </c>
      <c r="F150" s="1447"/>
      <c r="G150" s="1447"/>
      <c r="H150" s="1447"/>
      <c r="I150" s="1447"/>
      <c r="J150" s="1447"/>
      <c r="K150" s="1447"/>
      <c r="L150" s="1447"/>
      <c r="M150" s="1448"/>
      <c r="N150" s="1449" t="s">
        <v>1145</v>
      </c>
      <c r="O150" s="1450"/>
      <c r="P150" s="1450"/>
      <c r="Q150" s="1450"/>
      <c r="R150" s="1450"/>
      <c r="S150" s="1450"/>
      <c r="T150" s="1450"/>
      <c r="U150" s="1450"/>
      <c r="V150" s="1451"/>
      <c r="W150" s="1443" t="s">
        <v>1146</v>
      </c>
      <c r="X150" s="1444"/>
      <c r="Y150" s="1444"/>
      <c r="Z150" s="1444"/>
      <c r="AA150" s="1444"/>
      <c r="AB150" s="1444"/>
      <c r="AC150" s="1444"/>
      <c r="AD150" s="1444"/>
      <c r="AE150" s="1445"/>
      <c r="AF150" s="1449" t="s">
        <v>1056</v>
      </c>
      <c r="AG150" s="1450"/>
      <c r="AH150" s="1450"/>
      <c r="AI150" s="1450"/>
      <c r="AJ150" s="1450"/>
      <c r="AK150" s="1450"/>
      <c r="AL150" s="1450"/>
      <c r="AM150" s="1450"/>
      <c r="AN150" s="1451"/>
      <c r="AW150" s="473"/>
      <c r="AY150" s="656"/>
    </row>
    <row r="151" spans="2:53" ht="30.75" customHeight="1">
      <c r="C151" s="1440" t="str">
        <f>+$C$10</f>
        <v>Identifificación del Indicador</v>
      </c>
      <c r="D151" s="1460" t="s">
        <v>868</v>
      </c>
      <c r="E151" s="1436" t="s">
        <v>869</v>
      </c>
      <c r="F151" s="1437"/>
      <c r="G151" s="1438"/>
      <c r="H151" s="1439" t="s">
        <v>1148</v>
      </c>
      <c r="I151" s="1441" t="s">
        <v>1152</v>
      </c>
      <c r="J151" s="1439" t="s">
        <v>870</v>
      </c>
      <c r="K151" s="1439" t="s">
        <v>864</v>
      </c>
      <c r="L151" s="1439"/>
      <c r="M151" s="1439"/>
      <c r="N151" s="1436" t="s">
        <v>869</v>
      </c>
      <c r="O151" s="1437"/>
      <c r="P151" s="1438"/>
      <c r="Q151" s="1439" t="s">
        <v>1158</v>
      </c>
      <c r="R151" s="1441" t="s">
        <v>1149</v>
      </c>
      <c r="S151" s="1439" t="s">
        <v>870</v>
      </c>
      <c r="T151" s="1439" t="s">
        <v>864</v>
      </c>
      <c r="U151" s="1439"/>
      <c r="V151" s="1439"/>
      <c r="W151" s="1436" t="s">
        <v>869</v>
      </c>
      <c r="X151" s="1437"/>
      <c r="Y151" s="1438"/>
      <c r="Z151" s="1439" t="s">
        <v>1159</v>
      </c>
      <c r="AA151" s="1441" t="s">
        <v>1154</v>
      </c>
      <c r="AB151" s="1439" t="s">
        <v>870</v>
      </c>
      <c r="AC151" s="1439" t="s">
        <v>864</v>
      </c>
      <c r="AD151" s="1439"/>
      <c r="AE151" s="1439"/>
      <c r="AF151" s="1436" t="s">
        <v>869</v>
      </c>
      <c r="AG151" s="1437"/>
      <c r="AH151" s="1438"/>
      <c r="AI151" s="1439" t="s">
        <v>1160</v>
      </c>
      <c r="AJ151" s="1441" t="s">
        <v>1156</v>
      </c>
      <c r="AK151" s="1439" t="s">
        <v>870</v>
      </c>
      <c r="AL151" s="1439" t="s">
        <v>864</v>
      </c>
      <c r="AM151" s="1439"/>
      <c r="AN151" s="1439"/>
      <c r="AO151" s="1452" t="s">
        <v>716</v>
      </c>
      <c r="AP151" s="1452"/>
      <c r="AQ151" s="1452"/>
      <c r="AR151" s="1452"/>
      <c r="AS151" s="1452"/>
      <c r="AT151" s="1452"/>
      <c r="AU151" s="1452"/>
      <c r="AV151" s="1452"/>
      <c r="AW151" s="1440" t="s">
        <v>890</v>
      </c>
      <c r="AY151" s="656"/>
    </row>
    <row r="152" spans="2:53" ht="63" customHeight="1">
      <c r="C152" s="1440"/>
      <c r="D152" s="1460"/>
      <c r="E152" s="1041" t="s">
        <v>1161</v>
      </c>
      <c r="F152" s="1041" t="str">
        <f>+E150</f>
        <v>Primer Trimestre</v>
      </c>
      <c r="G152" s="1042" t="s">
        <v>1151</v>
      </c>
      <c r="H152" s="1440"/>
      <c r="I152" s="1442"/>
      <c r="J152" s="1440"/>
      <c r="K152" s="1041" t="str">
        <f>+$D$6</f>
        <v>Primer Trimestre</v>
      </c>
      <c r="L152" s="1042" t="str">
        <f>+G152</f>
        <v>Acumulado
Corte 
31/03/2022</v>
      </c>
      <c r="M152" s="1043" t="s">
        <v>761</v>
      </c>
      <c r="N152" s="1041" t="s">
        <v>1161</v>
      </c>
      <c r="O152" s="1041" t="str">
        <f>+N150</f>
        <v>Segundo Trimestre</v>
      </c>
      <c r="P152" s="1042" t="s">
        <v>1150</v>
      </c>
      <c r="Q152" s="1440"/>
      <c r="R152" s="1442"/>
      <c r="S152" s="1440"/>
      <c r="T152" s="1041" t="str">
        <f>+O152</f>
        <v>Segundo Trimestre</v>
      </c>
      <c r="U152" s="1042" t="str">
        <f>+P152</f>
        <v>Acumulado Corte 
30/06/2022</v>
      </c>
      <c r="V152" s="1043" t="s">
        <v>761</v>
      </c>
      <c r="W152" s="1041" t="s">
        <v>1161</v>
      </c>
      <c r="X152" s="1041" t="str">
        <f>+W150</f>
        <v>Tercer Trimestre</v>
      </c>
      <c r="Y152" s="1042" t="s">
        <v>1153</v>
      </c>
      <c r="Z152" s="1440"/>
      <c r="AA152" s="1442"/>
      <c r="AB152" s="1440"/>
      <c r="AC152" s="1041" t="str">
        <f>+X152</f>
        <v>Tercer Trimestre</v>
      </c>
      <c r="AD152" s="1042" t="str">
        <f>+Y152</f>
        <v>Acumulado Corte 
30/09/2022</v>
      </c>
      <c r="AE152" s="1043" t="s">
        <v>761</v>
      </c>
      <c r="AF152" s="1041" t="s">
        <v>1161</v>
      </c>
      <c r="AG152" s="1041" t="str">
        <f>+AF150</f>
        <v>Cuarto Trimestre</v>
      </c>
      <c r="AH152" s="1042" t="s">
        <v>1155</v>
      </c>
      <c r="AI152" s="1440"/>
      <c r="AJ152" s="1442"/>
      <c r="AK152" s="1440"/>
      <c r="AL152" s="1041" t="str">
        <f>+AG152</f>
        <v>Cuarto Trimestre</v>
      </c>
      <c r="AM152" s="1042" t="str">
        <f>+AH152</f>
        <v>Acumulado Corte 
31/12/2022</v>
      </c>
      <c r="AN152" s="1043" t="s">
        <v>761</v>
      </c>
      <c r="AO152" s="1453" t="s">
        <v>871</v>
      </c>
      <c r="AP152" s="1454"/>
      <c r="AQ152" s="1455" t="s">
        <v>872</v>
      </c>
      <c r="AR152" s="1456"/>
      <c r="AS152" s="1456"/>
      <c r="AT152" s="1457"/>
      <c r="AU152" s="1458" t="s">
        <v>724</v>
      </c>
      <c r="AV152" s="1459"/>
      <c r="AW152" s="1440"/>
      <c r="AY152" s="656"/>
    </row>
    <row r="153" spans="2:53" ht="99.6" customHeight="1">
      <c r="B153" s="475">
        <f>1+B147</f>
        <v>77</v>
      </c>
      <c r="C153" s="476" t="str">
        <f>+'Rango indicadores'!D78</f>
        <v>13-RI-01</v>
      </c>
      <c r="D153" s="476" t="str">
        <f>+'Rango indicadores'!E78</f>
        <v>Porcentaje de procesos judiciales en los que se vincule o demande a la Entidad, objeto de representación oportuna</v>
      </c>
      <c r="E153" s="480">
        <f>+'Rango indicadores'!Q78</f>
        <v>1</v>
      </c>
      <c r="F153" s="508">
        <f>'1.Informe Seguimiento POA 2022'!O79</f>
        <v>1</v>
      </c>
      <c r="G153" s="508">
        <f>'1.Informe Seguimiento POA 2022'!O79</f>
        <v>1</v>
      </c>
      <c r="H153" s="945">
        <f>'1.Informe Seguimiento POA 2022'!P79</f>
        <v>1</v>
      </c>
      <c r="I153" s="945">
        <f>'1.Informe Seguimiento POA 2022'!P79</f>
        <v>1</v>
      </c>
      <c r="J153" s="945">
        <f t="shared" ref="J153:J157" si="294">I153</f>
        <v>1</v>
      </c>
      <c r="K153" s="493">
        <f t="shared" ref="K153" si="295">IF(AND(F153&gt;0),H153/F153,"No programado")</f>
        <v>1</v>
      </c>
      <c r="L153" s="493">
        <f t="shared" ref="L153" si="296">IF(AND(G153&gt;0),I153/G153,"No programado")</f>
        <v>1</v>
      </c>
      <c r="M153" s="479">
        <f>IF(AND(E153&gt;0,$J153&gt;0),J153/$E153,0)*0.25</f>
        <v>0.25</v>
      </c>
      <c r="N153" s="480">
        <f>+E153</f>
        <v>1</v>
      </c>
      <c r="O153" s="945">
        <f>+'1.Informe Seguimiento POA 2022'!Q79</f>
        <v>1</v>
      </c>
      <c r="P153" s="1084">
        <f>IFERROR(AVERAGE(F153,O153),0)</f>
        <v>1</v>
      </c>
      <c r="Q153" s="945">
        <f>'1.Informe Seguimiento POA 2022'!R79</f>
        <v>0</v>
      </c>
      <c r="R153" s="480">
        <f>IFERROR(AVERAGE('1.Informe Seguimiento POA 2022'!P79,'1.Informe Seguimiento POA 2022'!R79),0)</f>
        <v>0.5</v>
      </c>
      <c r="S153" s="480">
        <f>IFERROR(IF(OR($N153="",$N153=0),0,ROUNDDOWN(AVERAGE($H153,Q153),3)),0)</f>
        <v>0.5</v>
      </c>
      <c r="T153" s="493">
        <f t="shared" ref="T153:T157" si="297">IF(AND(O153&gt;0),Q153/O153,"No programado")</f>
        <v>0</v>
      </c>
      <c r="U153" s="493">
        <f t="shared" ref="U153:U157" si="298">IF(AND(P153&gt;0),R153/P153,"No programado")</f>
        <v>0.5</v>
      </c>
      <c r="V153" s="479">
        <f t="shared" ref="V153:V157" si="299">IF(AND(N153&gt;0,$J153&gt;0),S153/$E153,0)</f>
        <v>0.5</v>
      </c>
      <c r="W153" s="480">
        <f>+N153</f>
        <v>1</v>
      </c>
      <c r="X153" s="508">
        <f>+'1.Informe Seguimiento POA 2022'!S79</f>
        <v>1</v>
      </c>
      <c r="Y153" s="480">
        <f>IFERROR(AVERAGE('1.Informe Seguimiento POA 2022'!O79,'1.Informe Seguimiento POA 2022'!Q79,'1.Informe Seguimiento POA 2022'!S79),0)</f>
        <v>1</v>
      </c>
      <c r="Z153" s="480">
        <f>+'1.Informe Seguimiento POA 2022'!T79</f>
        <v>0</v>
      </c>
      <c r="AA153" s="480">
        <f>IFERROR(AVERAGE('1.Informe Seguimiento POA 2022'!R79,'1.Informe Seguimiento POA 2022'!P79,'1.Informe Seguimiento POA 2022'!T79),0)</f>
        <v>0.33333333333333331</v>
      </c>
      <c r="AB153" s="480">
        <f>IFERROR(IF(OR($W153="",$W153=0),0,ROUNDDOWN(AVERAGE($H153,Q153,Z153),3)),0)</f>
        <v>0.33300000000000002</v>
      </c>
      <c r="AC153" s="493">
        <f t="shared" ref="AC153:AC157" si="300">IF(AND(X153&gt;0),Z153/X153,"No programado")</f>
        <v>0</v>
      </c>
      <c r="AD153" s="493">
        <f t="shared" ref="AD153:AD157" si="301">IF(AND(Y153&gt;0),AA153/Y153,"No programado")</f>
        <v>0.33333333333333331</v>
      </c>
      <c r="AE153" s="479">
        <f t="shared" ref="AE153:AE157" si="302">IF(AND(W153&gt;0,$J153&gt;0),AB153/$E153,0)</f>
        <v>0.33300000000000002</v>
      </c>
      <c r="AF153" s="480">
        <f>+W153</f>
        <v>1</v>
      </c>
      <c r="AG153" s="480">
        <f>+'1.Informe Seguimiento POA 2022'!U79</f>
        <v>1</v>
      </c>
      <c r="AH153" s="480">
        <f>IFERROR(AVERAGE('1.Informe Seguimiento POA 2022'!O79,'1.Informe Seguimiento POA 2022'!Q79,'1.Informe Seguimiento POA 2022'!S79,'1.Informe Seguimiento POA 2022'!U79),0)</f>
        <v>1</v>
      </c>
      <c r="AI153" s="480">
        <f>+'1.Informe Seguimiento POA 2022'!V79</f>
        <v>0</v>
      </c>
      <c r="AJ153" s="480">
        <f>IFERROR(AVERAGE('1.Informe Seguimiento POA 2022'!P79,'1.Informe Seguimiento POA 2022'!R79,'1.Informe Seguimiento POA 2022'!T79,'1.Informe Seguimiento POA 2022'!V79),0)</f>
        <v>0.25</v>
      </c>
      <c r="AK153" s="480">
        <f>IFERROR(IF(OR($W153="",$W153=0),0,ROUNDDOWN(AVERAGE($H153,Q153,Z153,AI153),3)),0)</f>
        <v>0.25</v>
      </c>
      <c r="AL153" s="493">
        <f t="shared" ref="AL153:AL157" si="303">IF(AND(AG153&gt;0),AI153/AG153,"No programado")</f>
        <v>0</v>
      </c>
      <c r="AM153" s="493">
        <f t="shared" ref="AM153:AM157" si="304">IF(AND(AH153&gt;0),AJ153/AH153,"No programado")</f>
        <v>0.25</v>
      </c>
      <c r="AN153" s="479">
        <f t="shared" ref="AN153:AN157" si="305">IF(AND(AF153&gt;0,$J153&gt;0),AK153/$E153,0)</f>
        <v>0.25</v>
      </c>
      <c r="AO153" s="483" t="str">
        <f>+'Rango indicadores'!H78</f>
        <v>Mayor o igual A:</v>
      </c>
      <c r="AP153" s="478">
        <f>+'Rango indicadores'!I78</f>
        <v>100</v>
      </c>
      <c r="AQ153" s="478" t="str">
        <f>+'Rango indicadores'!J78</f>
        <v>Desde (&gt;):</v>
      </c>
      <c r="AR153" s="478">
        <f>+'Rango indicadores'!K78</f>
        <v>90</v>
      </c>
      <c r="AS153" s="478" t="str">
        <f>+'Rango indicadores'!L78</f>
        <v>Hasta (&lt;):</v>
      </c>
      <c r="AT153" s="478">
        <f>+'Rango indicadores'!M78</f>
        <v>100</v>
      </c>
      <c r="AU153" s="478" t="str">
        <f>+'Rango indicadores'!N78</f>
        <v>Menor o Igual A:</v>
      </c>
      <c r="AV153" s="478">
        <f>+'Rango indicadores'!O78</f>
        <v>90</v>
      </c>
      <c r="AW153" s="582" t="s">
        <v>1177</v>
      </c>
      <c r="AY153" s="656"/>
    </row>
    <row r="154" spans="2:53" ht="97.8" customHeight="1">
      <c r="B154" s="475">
        <f>B153+1</f>
        <v>78</v>
      </c>
      <c r="C154" s="476" t="str">
        <f>+'Rango indicadores'!D79</f>
        <v>13-RI-02</v>
      </c>
      <c r="D154" s="476" t="str">
        <f>+'Rango indicadores'!E79</f>
        <v xml:space="preserve">Porcentaje de acciones de tutela en las cuales se defienda judicialmente a la Entidad oportunamente </v>
      </c>
      <c r="E154" s="480">
        <f>+'Rango indicadores'!Q79</f>
        <v>1</v>
      </c>
      <c r="F154" s="508">
        <f>'1.Informe Seguimiento POA 2022'!O80</f>
        <v>1</v>
      </c>
      <c r="G154" s="508">
        <f>'1.Informe Seguimiento POA 2022'!O80</f>
        <v>1</v>
      </c>
      <c r="H154" s="945">
        <f>'1.Informe Seguimiento POA 2022'!P80</f>
        <v>1</v>
      </c>
      <c r="I154" s="945">
        <f>'1.Informe Seguimiento POA 2022'!P80</f>
        <v>1</v>
      </c>
      <c r="J154" s="945">
        <f t="shared" si="294"/>
        <v>1</v>
      </c>
      <c r="K154" s="493">
        <f t="shared" ref="K154:K157" si="306">IF(AND(F154&gt;0),H154/F154,"No programado")</f>
        <v>1</v>
      </c>
      <c r="L154" s="493">
        <f t="shared" ref="L154:L157" si="307">IF(AND(G154&gt;0),I154/G154,"No programado")</f>
        <v>1</v>
      </c>
      <c r="M154" s="479">
        <f t="shared" ref="M154:M157" si="308">IF(AND(E154&gt;0,$J154&gt;0),J154/$E154,0)*0.25</f>
        <v>0.25</v>
      </c>
      <c r="N154" s="480">
        <f t="shared" ref="N154:N157" si="309">+E154</f>
        <v>1</v>
      </c>
      <c r="O154" s="945">
        <f>+'1.Informe Seguimiento POA 2022'!Q80</f>
        <v>1</v>
      </c>
      <c r="P154" s="1084">
        <f t="shared" ref="P154:P157" si="310">IFERROR(AVERAGE(F154,O154),0)</f>
        <v>1</v>
      </c>
      <c r="Q154" s="945">
        <f>'1.Informe Seguimiento POA 2022'!R80</f>
        <v>0</v>
      </c>
      <c r="R154" s="480">
        <f>IFERROR(AVERAGE('1.Informe Seguimiento POA 2022'!P80,'1.Informe Seguimiento POA 2022'!R80),0)</f>
        <v>0.5</v>
      </c>
      <c r="S154" s="480">
        <f t="shared" ref="S154:S157" si="311">IFERROR(IF(OR($N154="",$N154=0),0,ROUNDDOWN(AVERAGE($H154,Q154),3)),0)</f>
        <v>0.5</v>
      </c>
      <c r="T154" s="493">
        <f t="shared" si="297"/>
        <v>0</v>
      </c>
      <c r="U154" s="493">
        <f t="shared" si="298"/>
        <v>0.5</v>
      </c>
      <c r="V154" s="479">
        <f t="shared" si="299"/>
        <v>0.5</v>
      </c>
      <c r="W154" s="480">
        <f t="shared" ref="W154:W157" si="312">+N154</f>
        <v>1</v>
      </c>
      <c r="X154" s="508">
        <f>+'1.Informe Seguimiento POA 2022'!S80</f>
        <v>1</v>
      </c>
      <c r="Y154" s="480">
        <f>IFERROR(AVERAGE('1.Informe Seguimiento POA 2022'!O80,'1.Informe Seguimiento POA 2022'!Q80,'1.Informe Seguimiento POA 2022'!S80),0)</f>
        <v>1</v>
      </c>
      <c r="Z154" s="480">
        <f>+'1.Informe Seguimiento POA 2022'!T80</f>
        <v>0</v>
      </c>
      <c r="AA154" s="480">
        <f>IFERROR(AVERAGE('1.Informe Seguimiento POA 2022'!R80,'1.Informe Seguimiento POA 2022'!P80,'1.Informe Seguimiento POA 2022'!T80),0)</f>
        <v>0.33333333333333331</v>
      </c>
      <c r="AB154" s="480">
        <f t="shared" ref="AB154:AB157" si="313">IFERROR(IF(OR($W154="",$W154=0),0,ROUNDDOWN(AVERAGE($H154,Q154,Z154),3)),0)</f>
        <v>0.33300000000000002</v>
      </c>
      <c r="AC154" s="493">
        <f t="shared" si="300"/>
        <v>0</v>
      </c>
      <c r="AD154" s="493">
        <f t="shared" si="301"/>
        <v>0.33333333333333331</v>
      </c>
      <c r="AE154" s="479">
        <f t="shared" si="302"/>
        <v>0.33300000000000002</v>
      </c>
      <c r="AF154" s="480">
        <f t="shared" ref="AF154:AF157" si="314">+W154</f>
        <v>1</v>
      </c>
      <c r="AG154" s="480">
        <f>+'1.Informe Seguimiento POA 2022'!U80</f>
        <v>1</v>
      </c>
      <c r="AH154" s="480">
        <f>IFERROR(AVERAGE('1.Informe Seguimiento POA 2022'!O80,'1.Informe Seguimiento POA 2022'!Q80,'1.Informe Seguimiento POA 2022'!S80,'1.Informe Seguimiento POA 2022'!U80),0)</f>
        <v>1</v>
      </c>
      <c r="AI154" s="480">
        <f>+'1.Informe Seguimiento POA 2022'!V80</f>
        <v>0</v>
      </c>
      <c r="AJ154" s="480">
        <f>IFERROR(AVERAGE('1.Informe Seguimiento POA 2022'!P80,'1.Informe Seguimiento POA 2022'!R80,'1.Informe Seguimiento POA 2022'!T80,'1.Informe Seguimiento POA 2022'!V80),0)</f>
        <v>0.25</v>
      </c>
      <c r="AK154" s="480">
        <f t="shared" ref="AK154:AK157" si="315">IFERROR(IF(OR($W154="",$W154=0),0,ROUNDDOWN(AVERAGE($H154,Q154,Z154,AI154),3)),0)</f>
        <v>0.25</v>
      </c>
      <c r="AL154" s="493">
        <f t="shared" si="303"/>
        <v>0</v>
      </c>
      <c r="AM154" s="493">
        <f t="shared" si="304"/>
        <v>0.25</v>
      </c>
      <c r="AN154" s="479">
        <f t="shared" si="305"/>
        <v>0.25</v>
      </c>
      <c r="AO154" s="483" t="str">
        <f>+'Rango indicadores'!H79</f>
        <v>Mayor o igual A:</v>
      </c>
      <c r="AP154" s="478">
        <f>+'Rango indicadores'!I79</f>
        <v>100</v>
      </c>
      <c r="AQ154" s="478" t="str">
        <f>+'Rango indicadores'!J79</f>
        <v>Desde (&gt;):</v>
      </c>
      <c r="AR154" s="478">
        <f>+'Rango indicadores'!K79</f>
        <v>90</v>
      </c>
      <c r="AS154" s="478" t="str">
        <f>+'Rango indicadores'!L79</f>
        <v>Hasta (&lt;):</v>
      </c>
      <c r="AT154" s="478">
        <f>+'Rango indicadores'!M79</f>
        <v>100</v>
      </c>
      <c r="AU154" s="478" t="str">
        <f>+'Rango indicadores'!N79</f>
        <v>Menor o Igual A:</v>
      </c>
      <c r="AV154" s="478">
        <f>+'Rango indicadores'!O79</f>
        <v>90</v>
      </c>
      <c r="AW154" s="582" t="s">
        <v>1177</v>
      </c>
      <c r="AY154" s="656"/>
    </row>
    <row r="155" spans="2:53" ht="97.8" customHeight="1">
      <c r="B155" s="475">
        <f t="shared" ref="B155:B157" si="316">B154+1</f>
        <v>79</v>
      </c>
      <c r="C155" s="476" t="str">
        <f>+'Rango indicadores'!D80</f>
        <v>13-RI-03</v>
      </c>
      <c r="D155" s="476" t="str">
        <f>+'Rango indicadores'!E80</f>
        <v>Porcentaje de conceptos de competencia de la dependencia emitidos oportunamente</v>
      </c>
      <c r="E155" s="480">
        <f>+'Rango indicadores'!Q80</f>
        <v>1</v>
      </c>
      <c r="F155" s="508">
        <f>'1.Informe Seguimiento POA 2022'!O81</f>
        <v>1</v>
      </c>
      <c r="G155" s="508">
        <f>'1.Informe Seguimiento POA 2022'!O81</f>
        <v>1</v>
      </c>
      <c r="H155" s="945">
        <f>'1.Informe Seguimiento POA 2022'!P81</f>
        <v>1</v>
      </c>
      <c r="I155" s="945">
        <f>'1.Informe Seguimiento POA 2022'!P81</f>
        <v>1</v>
      </c>
      <c r="J155" s="945">
        <f t="shared" si="294"/>
        <v>1</v>
      </c>
      <c r="K155" s="493">
        <f t="shared" si="306"/>
        <v>1</v>
      </c>
      <c r="L155" s="493">
        <f t="shared" si="307"/>
        <v>1</v>
      </c>
      <c r="M155" s="479">
        <f t="shared" si="308"/>
        <v>0.25</v>
      </c>
      <c r="N155" s="480">
        <f t="shared" si="309"/>
        <v>1</v>
      </c>
      <c r="O155" s="945">
        <f>+'1.Informe Seguimiento POA 2022'!Q81</f>
        <v>1</v>
      </c>
      <c r="P155" s="1084">
        <f t="shared" si="310"/>
        <v>1</v>
      </c>
      <c r="Q155" s="945">
        <f>'1.Informe Seguimiento POA 2022'!R81</f>
        <v>0</v>
      </c>
      <c r="R155" s="480">
        <f>IFERROR(AVERAGE('1.Informe Seguimiento POA 2022'!P81,'1.Informe Seguimiento POA 2022'!R81),0)</f>
        <v>0.5</v>
      </c>
      <c r="S155" s="480">
        <f t="shared" si="311"/>
        <v>0.5</v>
      </c>
      <c r="T155" s="493">
        <f t="shared" si="297"/>
        <v>0</v>
      </c>
      <c r="U155" s="493">
        <f t="shared" si="298"/>
        <v>0.5</v>
      </c>
      <c r="V155" s="479">
        <f t="shared" si="299"/>
        <v>0.5</v>
      </c>
      <c r="W155" s="480">
        <f t="shared" si="312"/>
        <v>1</v>
      </c>
      <c r="X155" s="508">
        <f>+'1.Informe Seguimiento POA 2022'!S81</f>
        <v>1</v>
      </c>
      <c r="Y155" s="480">
        <f>IFERROR(AVERAGE('1.Informe Seguimiento POA 2022'!O81,'1.Informe Seguimiento POA 2022'!Q81,'1.Informe Seguimiento POA 2022'!S81),0)</f>
        <v>1</v>
      </c>
      <c r="Z155" s="480">
        <f>+'1.Informe Seguimiento POA 2022'!T81</f>
        <v>0</v>
      </c>
      <c r="AA155" s="480">
        <f>IFERROR(AVERAGE('1.Informe Seguimiento POA 2022'!R81,'1.Informe Seguimiento POA 2022'!P81,'1.Informe Seguimiento POA 2022'!T81),0)</f>
        <v>0.33333333333333331</v>
      </c>
      <c r="AB155" s="480">
        <f t="shared" si="313"/>
        <v>0.33300000000000002</v>
      </c>
      <c r="AC155" s="493">
        <f t="shared" si="300"/>
        <v>0</v>
      </c>
      <c r="AD155" s="493">
        <f t="shared" si="301"/>
        <v>0.33333333333333331</v>
      </c>
      <c r="AE155" s="479">
        <f t="shared" si="302"/>
        <v>0.33300000000000002</v>
      </c>
      <c r="AF155" s="480">
        <f t="shared" si="314"/>
        <v>1</v>
      </c>
      <c r="AG155" s="480">
        <f>+'1.Informe Seguimiento POA 2022'!U81</f>
        <v>1</v>
      </c>
      <c r="AH155" s="480">
        <f>IFERROR(AVERAGE('1.Informe Seguimiento POA 2022'!O81,'1.Informe Seguimiento POA 2022'!Q81,'1.Informe Seguimiento POA 2022'!S81,'1.Informe Seguimiento POA 2022'!U81),0)</f>
        <v>1</v>
      </c>
      <c r="AI155" s="480">
        <f>+'1.Informe Seguimiento POA 2022'!V81</f>
        <v>0</v>
      </c>
      <c r="AJ155" s="480">
        <f>IFERROR(AVERAGE('1.Informe Seguimiento POA 2022'!P81,'1.Informe Seguimiento POA 2022'!R81,'1.Informe Seguimiento POA 2022'!T81,'1.Informe Seguimiento POA 2022'!V81),0)</f>
        <v>0.25</v>
      </c>
      <c r="AK155" s="480">
        <f t="shared" si="315"/>
        <v>0.25</v>
      </c>
      <c r="AL155" s="493">
        <f t="shared" si="303"/>
        <v>0</v>
      </c>
      <c r="AM155" s="493">
        <f t="shared" si="304"/>
        <v>0.25</v>
      </c>
      <c r="AN155" s="479">
        <f t="shared" si="305"/>
        <v>0.25</v>
      </c>
      <c r="AO155" s="483" t="str">
        <f>+'Rango indicadores'!H80</f>
        <v>Mayor o igual A:</v>
      </c>
      <c r="AP155" s="478">
        <f>+'Rango indicadores'!I80</f>
        <v>100</v>
      </c>
      <c r="AQ155" s="478" t="str">
        <f>+'Rango indicadores'!J80</f>
        <v>Desde (&gt;):</v>
      </c>
      <c r="AR155" s="478">
        <f>+'Rango indicadores'!K80</f>
        <v>90</v>
      </c>
      <c r="AS155" s="478" t="str">
        <f>+'Rango indicadores'!L80</f>
        <v>Hasta (&lt;):</v>
      </c>
      <c r="AT155" s="478">
        <f>+'Rango indicadores'!M80</f>
        <v>100</v>
      </c>
      <c r="AU155" s="478" t="str">
        <f>+'Rango indicadores'!N80</f>
        <v>Menor o Igual A:</v>
      </c>
      <c r="AV155" s="478">
        <f>+'Rango indicadores'!O80</f>
        <v>90</v>
      </c>
      <c r="AW155" s="582" t="s">
        <v>1177</v>
      </c>
      <c r="AY155" s="656"/>
    </row>
    <row r="156" spans="2:53" ht="97.8" customHeight="1">
      <c r="B156" s="475">
        <f t="shared" si="316"/>
        <v>80</v>
      </c>
      <c r="C156" s="476" t="str">
        <f>+'Rango indicadores'!D81</f>
        <v>13-RI-04</v>
      </c>
      <c r="D156" s="476" t="str">
        <f>+'Rango indicadores'!E81</f>
        <v>Porcentaje de reportes de la base de datos de sanciones disciplinarias registrados</v>
      </c>
      <c r="E156" s="480">
        <f>+'Rango indicadores'!Q81</f>
        <v>1</v>
      </c>
      <c r="F156" s="508">
        <f>'1.Informe Seguimiento POA 2022'!O82</f>
        <v>1</v>
      </c>
      <c r="G156" s="508">
        <f>'1.Informe Seguimiento POA 2022'!O82</f>
        <v>1</v>
      </c>
      <c r="H156" s="945">
        <f>'1.Informe Seguimiento POA 2022'!P82</f>
        <v>1</v>
      </c>
      <c r="I156" s="945">
        <f>'1.Informe Seguimiento POA 2022'!P82</f>
        <v>1</v>
      </c>
      <c r="J156" s="945">
        <f t="shared" si="294"/>
        <v>1</v>
      </c>
      <c r="K156" s="493">
        <f t="shared" si="306"/>
        <v>1</v>
      </c>
      <c r="L156" s="493">
        <f t="shared" si="307"/>
        <v>1</v>
      </c>
      <c r="M156" s="479">
        <f t="shared" si="308"/>
        <v>0.25</v>
      </c>
      <c r="N156" s="480">
        <f t="shared" si="309"/>
        <v>1</v>
      </c>
      <c r="O156" s="945">
        <f>+'1.Informe Seguimiento POA 2022'!Q82</f>
        <v>1</v>
      </c>
      <c r="P156" s="1084">
        <f t="shared" si="310"/>
        <v>1</v>
      </c>
      <c r="Q156" s="945">
        <f>'1.Informe Seguimiento POA 2022'!R82</f>
        <v>0</v>
      </c>
      <c r="R156" s="480">
        <f>IFERROR(AVERAGE('1.Informe Seguimiento POA 2022'!P82,'1.Informe Seguimiento POA 2022'!R82),0)</f>
        <v>0.5</v>
      </c>
      <c r="S156" s="480">
        <f t="shared" si="311"/>
        <v>0.5</v>
      </c>
      <c r="T156" s="493">
        <f t="shared" si="297"/>
        <v>0</v>
      </c>
      <c r="U156" s="493">
        <f t="shared" si="298"/>
        <v>0.5</v>
      </c>
      <c r="V156" s="479">
        <f t="shared" si="299"/>
        <v>0.5</v>
      </c>
      <c r="W156" s="480">
        <f t="shared" si="312"/>
        <v>1</v>
      </c>
      <c r="X156" s="508">
        <f>+'1.Informe Seguimiento POA 2022'!S82</f>
        <v>1</v>
      </c>
      <c r="Y156" s="480">
        <f>IFERROR(AVERAGE('1.Informe Seguimiento POA 2022'!O82,'1.Informe Seguimiento POA 2022'!Q82,'1.Informe Seguimiento POA 2022'!S82),0)</f>
        <v>1</v>
      </c>
      <c r="Z156" s="480">
        <f>+'1.Informe Seguimiento POA 2022'!T82</f>
        <v>0</v>
      </c>
      <c r="AA156" s="480">
        <f>IFERROR(AVERAGE('1.Informe Seguimiento POA 2022'!R82,'1.Informe Seguimiento POA 2022'!P82,'1.Informe Seguimiento POA 2022'!T82),0)</f>
        <v>0.33333333333333331</v>
      </c>
      <c r="AB156" s="480">
        <f t="shared" si="313"/>
        <v>0.33300000000000002</v>
      </c>
      <c r="AC156" s="493">
        <f t="shared" si="300"/>
        <v>0</v>
      </c>
      <c r="AD156" s="493">
        <f t="shared" si="301"/>
        <v>0.33333333333333331</v>
      </c>
      <c r="AE156" s="479">
        <f t="shared" si="302"/>
        <v>0.33300000000000002</v>
      </c>
      <c r="AF156" s="480">
        <f t="shared" si="314"/>
        <v>1</v>
      </c>
      <c r="AG156" s="480">
        <f>+'1.Informe Seguimiento POA 2022'!U82</f>
        <v>1</v>
      </c>
      <c r="AH156" s="480">
        <f>IFERROR(AVERAGE('1.Informe Seguimiento POA 2022'!O82,'1.Informe Seguimiento POA 2022'!Q82,'1.Informe Seguimiento POA 2022'!S82,'1.Informe Seguimiento POA 2022'!U82),0)</f>
        <v>1</v>
      </c>
      <c r="AI156" s="480">
        <f>+'1.Informe Seguimiento POA 2022'!V82</f>
        <v>0</v>
      </c>
      <c r="AJ156" s="480">
        <f>IFERROR(AVERAGE('1.Informe Seguimiento POA 2022'!P82,'1.Informe Seguimiento POA 2022'!R82,'1.Informe Seguimiento POA 2022'!T82,'1.Informe Seguimiento POA 2022'!V82),0)</f>
        <v>0.25</v>
      </c>
      <c r="AK156" s="480">
        <f t="shared" si="315"/>
        <v>0.25</v>
      </c>
      <c r="AL156" s="493">
        <f t="shared" si="303"/>
        <v>0</v>
      </c>
      <c r="AM156" s="493">
        <f t="shared" si="304"/>
        <v>0.25</v>
      </c>
      <c r="AN156" s="479">
        <f t="shared" si="305"/>
        <v>0.25</v>
      </c>
      <c r="AO156" s="483" t="str">
        <f>+'Rango indicadores'!H81</f>
        <v>Mayor o igual A:</v>
      </c>
      <c r="AP156" s="478">
        <f>+'Rango indicadores'!I81</f>
        <v>100</v>
      </c>
      <c r="AQ156" s="478" t="str">
        <f>+'Rango indicadores'!J81</f>
        <v>Desde (&gt;):</v>
      </c>
      <c r="AR156" s="478">
        <f>+'Rango indicadores'!K81</f>
        <v>90</v>
      </c>
      <c r="AS156" s="478" t="str">
        <f>+'Rango indicadores'!L81</f>
        <v>Hasta (&lt;):</v>
      </c>
      <c r="AT156" s="478">
        <f>+'Rango indicadores'!M81</f>
        <v>100</v>
      </c>
      <c r="AU156" s="478" t="str">
        <f>+'Rango indicadores'!N81</f>
        <v>Menor o Igual A:</v>
      </c>
      <c r="AV156" s="478">
        <f>+'Rango indicadores'!O81</f>
        <v>90</v>
      </c>
      <c r="AW156" s="582" t="s">
        <v>1177</v>
      </c>
      <c r="AY156" s="656"/>
    </row>
    <row r="157" spans="2:53" ht="97.8" customHeight="1">
      <c r="B157" s="475">
        <f t="shared" si="316"/>
        <v>81</v>
      </c>
      <c r="C157" s="476" t="str">
        <f>+'Rango indicadores'!D82</f>
        <v>13-RI-05</v>
      </c>
      <c r="D157" s="476" t="str">
        <f>+'Rango indicadores'!E82</f>
        <v>Porcentaje de antecedentes disciplinarios expedidos</v>
      </c>
      <c r="E157" s="480">
        <f>+'Rango indicadores'!Q82</f>
        <v>1</v>
      </c>
      <c r="F157" s="508">
        <f>'1.Informe Seguimiento POA 2022'!O83</f>
        <v>1</v>
      </c>
      <c r="G157" s="508">
        <f>'1.Informe Seguimiento POA 2022'!O83</f>
        <v>1</v>
      </c>
      <c r="H157" s="945">
        <f>'1.Informe Seguimiento POA 2022'!P83</f>
        <v>1</v>
      </c>
      <c r="I157" s="945">
        <f>'1.Informe Seguimiento POA 2022'!P83</f>
        <v>1</v>
      </c>
      <c r="J157" s="945">
        <f t="shared" si="294"/>
        <v>1</v>
      </c>
      <c r="K157" s="493">
        <f t="shared" si="306"/>
        <v>1</v>
      </c>
      <c r="L157" s="493">
        <f t="shared" si="307"/>
        <v>1</v>
      </c>
      <c r="M157" s="479">
        <f t="shared" si="308"/>
        <v>0.25</v>
      </c>
      <c r="N157" s="480">
        <f t="shared" si="309"/>
        <v>1</v>
      </c>
      <c r="O157" s="945">
        <f>+'1.Informe Seguimiento POA 2022'!Q83</f>
        <v>1</v>
      </c>
      <c r="P157" s="1084">
        <f t="shared" si="310"/>
        <v>1</v>
      </c>
      <c r="Q157" s="945">
        <f>'1.Informe Seguimiento POA 2022'!R83</f>
        <v>0</v>
      </c>
      <c r="R157" s="480">
        <f>IFERROR(AVERAGE('1.Informe Seguimiento POA 2022'!P83,'1.Informe Seguimiento POA 2022'!R83),0)</f>
        <v>0.5</v>
      </c>
      <c r="S157" s="480">
        <f t="shared" si="311"/>
        <v>0.5</v>
      </c>
      <c r="T157" s="493">
        <f t="shared" si="297"/>
        <v>0</v>
      </c>
      <c r="U157" s="493">
        <f t="shared" si="298"/>
        <v>0.5</v>
      </c>
      <c r="V157" s="479">
        <f t="shared" si="299"/>
        <v>0.5</v>
      </c>
      <c r="W157" s="480">
        <f t="shared" si="312"/>
        <v>1</v>
      </c>
      <c r="X157" s="508">
        <f>+'1.Informe Seguimiento POA 2022'!S83</f>
        <v>1</v>
      </c>
      <c r="Y157" s="480">
        <f>IFERROR(AVERAGE('1.Informe Seguimiento POA 2022'!O83,'1.Informe Seguimiento POA 2022'!Q83,'1.Informe Seguimiento POA 2022'!S83),0)</f>
        <v>1</v>
      </c>
      <c r="Z157" s="480">
        <f>+'1.Informe Seguimiento POA 2022'!T83</f>
        <v>0</v>
      </c>
      <c r="AA157" s="480">
        <f>IFERROR(AVERAGE('1.Informe Seguimiento POA 2022'!R83,'1.Informe Seguimiento POA 2022'!P83,'1.Informe Seguimiento POA 2022'!T83),0)</f>
        <v>0.33333333333333331</v>
      </c>
      <c r="AB157" s="480">
        <f t="shared" si="313"/>
        <v>0.33300000000000002</v>
      </c>
      <c r="AC157" s="493">
        <f t="shared" si="300"/>
        <v>0</v>
      </c>
      <c r="AD157" s="493">
        <f t="shared" si="301"/>
        <v>0.33333333333333331</v>
      </c>
      <c r="AE157" s="479">
        <f t="shared" si="302"/>
        <v>0.33300000000000002</v>
      </c>
      <c r="AF157" s="480">
        <f t="shared" si="314"/>
        <v>1</v>
      </c>
      <c r="AG157" s="480">
        <f>+'1.Informe Seguimiento POA 2022'!U83</f>
        <v>1</v>
      </c>
      <c r="AH157" s="480">
        <f>IFERROR(AVERAGE('1.Informe Seguimiento POA 2022'!O83,'1.Informe Seguimiento POA 2022'!Q83,'1.Informe Seguimiento POA 2022'!S83,'1.Informe Seguimiento POA 2022'!U83),0)</f>
        <v>1</v>
      </c>
      <c r="AI157" s="480">
        <f>+'1.Informe Seguimiento POA 2022'!V83</f>
        <v>0</v>
      </c>
      <c r="AJ157" s="480">
        <f>IFERROR(AVERAGE('1.Informe Seguimiento POA 2022'!P83,'1.Informe Seguimiento POA 2022'!R83,'1.Informe Seguimiento POA 2022'!T83,'1.Informe Seguimiento POA 2022'!V83),0)</f>
        <v>0.25</v>
      </c>
      <c r="AK157" s="480">
        <f t="shared" si="315"/>
        <v>0.25</v>
      </c>
      <c r="AL157" s="493">
        <f t="shared" si="303"/>
        <v>0</v>
      </c>
      <c r="AM157" s="493">
        <f t="shared" si="304"/>
        <v>0.25</v>
      </c>
      <c r="AN157" s="479">
        <f t="shared" si="305"/>
        <v>0.25</v>
      </c>
      <c r="AO157" s="483" t="str">
        <f>+'Rango indicadores'!H82</f>
        <v>Mayor o igual A:</v>
      </c>
      <c r="AP157" s="478">
        <f>+'Rango indicadores'!I82</f>
        <v>100</v>
      </c>
      <c r="AQ157" s="478" t="str">
        <f>+'Rango indicadores'!J82</f>
        <v>Desde (&gt;):</v>
      </c>
      <c r="AR157" s="478">
        <f>+'Rango indicadores'!K82</f>
        <v>90</v>
      </c>
      <c r="AS157" s="478" t="str">
        <f>+'Rango indicadores'!L82</f>
        <v>Hasta (&lt;):</v>
      </c>
      <c r="AT157" s="478">
        <f>+'Rango indicadores'!M82</f>
        <v>100</v>
      </c>
      <c r="AU157" s="478" t="str">
        <f>+'Rango indicadores'!N82</f>
        <v>Menor o Igual A:</v>
      </c>
      <c r="AV157" s="478">
        <f>+'Rango indicadores'!O82</f>
        <v>90</v>
      </c>
      <c r="AW157" s="582" t="s">
        <v>1177</v>
      </c>
      <c r="AY157" s="656"/>
    </row>
    <row r="158" spans="2:53" ht="15.6">
      <c r="C158" s="1474" t="s">
        <v>873</v>
      </c>
      <c r="D158" s="1475"/>
      <c r="E158" s="1475"/>
      <c r="F158" s="1475"/>
      <c r="G158" s="1475"/>
      <c r="H158" s="1475"/>
      <c r="I158" s="1475"/>
      <c r="J158" s="1475"/>
      <c r="K158" s="481">
        <f>IFERROR(AVERAGE(K153:K157),0)</f>
        <v>1</v>
      </c>
      <c r="L158" s="481">
        <f>IFERROR(AVERAGE(L153:L157),0)</f>
        <v>1</v>
      </c>
      <c r="M158" s="481">
        <f>IFERROR(AVERAGE(M153:M157),0)</f>
        <v>0.25</v>
      </c>
      <c r="N158" s="1085"/>
      <c r="O158" s="1085"/>
      <c r="P158" s="1085"/>
      <c r="Q158" s="1085"/>
      <c r="R158" s="1085"/>
      <c r="S158" s="1085"/>
      <c r="T158" s="481">
        <f>IFERROR(AVERAGE(T153:T157),0)</f>
        <v>0</v>
      </c>
      <c r="U158" s="481">
        <f>IFERROR(AVERAGE(U153:U157),0)</f>
        <v>0.5</v>
      </c>
      <c r="V158" s="481">
        <f>IFERROR(AVERAGE(V153:V157),0)</f>
        <v>0.5</v>
      </c>
      <c r="W158" s="1085"/>
      <c r="X158" s="1085"/>
      <c r="Y158" s="1085"/>
      <c r="Z158" s="1085"/>
      <c r="AA158" s="1085"/>
      <c r="AB158" s="1085"/>
      <c r="AC158" s="481">
        <f>IFERROR(AVERAGE(AC153:AC157),0)</f>
        <v>0</v>
      </c>
      <c r="AD158" s="481">
        <f>IFERROR(AVERAGE(AD153:AD157),0)</f>
        <v>0.33333333333333331</v>
      </c>
      <c r="AE158" s="481">
        <f>IFERROR(AVERAGE(AE153:AE157),0)</f>
        <v>0.33300000000000002</v>
      </c>
      <c r="AF158" s="1085"/>
      <c r="AG158" s="1085"/>
      <c r="AH158" s="1085"/>
      <c r="AI158" s="1085"/>
      <c r="AJ158" s="1085"/>
      <c r="AK158" s="1086"/>
      <c r="AL158" s="481">
        <f>IFERROR(AVERAGE(AL153:AL157),0)</f>
        <v>0</v>
      </c>
      <c r="AM158" s="481">
        <f>IFERROR(AVERAGE(AM153:AM157),0)</f>
        <v>0.25</v>
      </c>
      <c r="AN158" s="481">
        <f>IFERROR(AVERAGE(AN153:AN157),0)</f>
        <v>0.25</v>
      </c>
      <c r="AO158" s="488"/>
      <c r="AP158" s="488"/>
      <c r="AQ158" s="488"/>
      <c r="AR158" s="488"/>
      <c r="AS158" s="488"/>
      <c r="AT158" s="488"/>
      <c r="AU158" s="488"/>
      <c r="AV158" s="488"/>
      <c r="AW158" s="583"/>
      <c r="AY158" s="656"/>
    </row>
    <row r="159" spans="2:53" ht="25.2" customHeight="1" thickBot="1">
      <c r="C159" s="500"/>
      <c r="D159" s="507"/>
      <c r="E159" s="500"/>
      <c r="F159" s="500"/>
      <c r="G159" s="500"/>
      <c r="H159" s="500"/>
      <c r="I159" s="500"/>
      <c r="J159" s="500"/>
      <c r="K159" s="500"/>
      <c r="L159" s="500"/>
      <c r="M159" s="500"/>
      <c r="N159" s="500"/>
      <c r="O159" s="500"/>
      <c r="P159" s="500"/>
      <c r="Q159" s="500"/>
      <c r="R159" s="500"/>
      <c r="S159" s="500"/>
      <c r="T159" s="500"/>
      <c r="U159" s="500"/>
      <c r="V159" s="500"/>
      <c r="W159" s="500"/>
      <c r="X159" s="500"/>
      <c r="Y159" s="500"/>
      <c r="Z159" s="500"/>
      <c r="AA159" s="500"/>
      <c r="AB159" s="500"/>
      <c r="AC159" s="500"/>
      <c r="AD159" s="500"/>
      <c r="AE159" s="500"/>
      <c r="AF159" s="500"/>
      <c r="AG159" s="500"/>
      <c r="AH159" s="500"/>
      <c r="AI159" s="500"/>
      <c r="AJ159" s="500"/>
      <c r="AK159" s="500"/>
      <c r="AL159" s="470"/>
      <c r="AM159" s="470"/>
      <c r="AN159" s="488"/>
      <c r="AO159" s="488"/>
      <c r="AP159" s="488"/>
      <c r="AQ159" s="488"/>
      <c r="AR159" s="488"/>
      <c r="AS159" s="488"/>
      <c r="AT159" s="488"/>
      <c r="AU159" s="488"/>
      <c r="AV159" s="488"/>
      <c r="AW159" s="583"/>
      <c r="AY159" s="656"/>
    </row>
    <row r="160" spans="2:53" s="471" customFormat="1" ht="16.2" thickBot="1">
      <c r="C160" s="474" t="s">
        <v>887</v>
      </c>
      <c r="D160" s="504"/>
      <c r="E160" s="1446" t="s">
        <v>1144</v>
      </c>
      <c r="F160" s="1447"/>
      <c r="G160" s="1447"/>
      <c r="H160" s="1447"/>
      <c r="I160" s="1447"/>
      <c r="J160" s="1447"/>
      <c r="K160" s="1447"/>
      <c r="L160" s="1447"/>
      <c r="M160" s="1448"/>
      <c r="N160" s="1449" t="s">
        <v>1145</v>
      </c>
      <c r="O160" s="1450"/>
      <c r="P160" s="1450"/>
      <c r="Q160" s="1450"/>
      <c r="R160" s="1450"/>
      <c r="S160" s="1450"/>
      <c r="T160" s="1450"/>
      <c r="U160" s="1450"/>
      <c r="V160" s="1451"/>
      <c r="W160" s="1443" t="s">
        <v>1146</v>
      </c>
      <c r="X160" s="1444"/>
      <c r="Y160" s="1444"/>
      <c r="Z160" s="1444"/>
      <c r="AA160" s="1444"/>
      <c r="AB160" s="1444"/>
      <c r="AC160" s="1444"/>
      <c r="AD160" s="1444"/>
      <c r="AE160" s="1445"/>
      <c r="AF160" s="1449" t="s">
        <v>1056</v>
      </c>
      <c r="AG160" s="1450"/>
      <c r="AH160" s="1450"/>
      <c r="AI160" s="1450"/>
      <c r="AJ160" s="1450"/>
      <c r="AK160" s="1450"/>
      <c r="AL160" s="1450"/>
      <c r="AM160" s="1450"/>
      <c r="AN160" s="1451"/>
      <c r="AW160" s="473"/>
      <c r="AY160" s="656"/>
    </row>
    <row r="161" spans="2:52" ht="27" customHeight="1">
      <c r="C161" s="1440" t="str">
        <f>+$C$10</f>
        <v>Identifificación del Indicador</v>
      </c>
      <c r="D161" s="1460" t="s">
        <v>868</v>
      </c>
      <c r="E161" s="1436" t="s">
        <v>869</v>
      </c>
      <c r="F161" s="1437"/>
      <c r="G161" s="1438"/>
      <c r="H161" s="1439" t="s">
        <v>1148</v>
      </c>
      <c r="I161" s="1441" t="s">
        <v>1152</v>
      </c>
      <c r="J161" s="1439" t="s">
        <v>870</v>
      </c>
      <c r="K161" s="1439" t="s">
        <v>864</v>
      </c>
      <c r="L161" s="1439"/>
      <c r="M161" s="1439"/>
      <c r="N161" s="1436" t="s">
        <v>869</v>
      </c>
      <c r="O161" s="1437"/>
      <c r="P161" s="1438"/>
      <c r="Q161" s="1439" t="s">
        <v>1158</v>
      </c>
      <c r="R161" s="1441" t="s">
        <v>1149</v>
      </c>
      <c r="S161" s="1439" t="s">
        <v>870</v>
      </c>
      <c r="T161" s="1439" t="s">
        <v>864</v>
      </c>
      <c r="U161" s="1439"/>
      <c r="V161" s="1439"/>
      <c r="W161" s="1436" t="s">
        <v>869</v>
      </c>
      <c r="X161" s="1437"/>
      <c r="Y161" s="1438"/>
      <c r="Z161" s="1439" t="s">
        <v>1159</v>
      </c>
      <c r="AA161" s="1441" t="s">
        <v>1154</v>
      </c>
      <c r="AB161" s="1439" t="s">
        <v>870</v>
      </c>
      <c r="AC161" s="1439" t="s">
        <v>864</v>
      </c>
      <c r="AD161" s="1439"/>
      <c r="AE161" s="1439"/>
      <c r="AF161" s="1436" t="s">
        <v>869</v>
      </c>
      <c r="AG161" s="1437"/>
      <c r="AH161" s="1438"/>
      <c r="AI161" s="1439" t="s">
        <v>1160</v>
      </c>
      <c r="AJ161" s="1441" t="s">
        <v>1156</v>
      </c>
      <c r="AK161" s="1439" t="s">
        <v>870</v>
      </c>
      <c r="AL161" s="1439" t="s">
        <v>864</v>
      </c>
      <c r="AM161" s="1439"/>
      <c r="AN161" s="1439"/>
      <c r="AO161" s="1452" t="s">
        <v>716</v>
      </c>
      <c r="AP161" s="1452"/>
      <c r="AQ161" s="1452"/>
      <c r="AR161" s="1452"/>
      <c r="AS161" s="1452"/>
      <c r="AT161" s="1452"/>
      <c r="AU161" s="1452"/>
      <c r="AV161" s="1452"/>
      <c r="AW161" s="1440" t="s">
        <v>890</v>
      </c>
      <c r="AY161" s="656"/>
    </row>
    <row r="162" spans="2:52" ht="46.2" customHeight="1">
      <c r="C162" s="1440"/>
      <c r="D162" s="1460"/>
      <c r="E162" s="1041" t="s">
        <v>1161</v>
      </c>
      <c r="F162" s="1041" t="str">
        <f>+E160</f>
        <v>Primer Trimestre</v>
      </c>
      <c r="G162" s="1042" t="s">
        <v>1151</v>
      </c>
      <c r="H162" s="1440"/>
      <c r="I162" s="1442"/>
      <c r="J162" s="1440"/>
      <c r="K162" s="1041" t="str">
        <f>+$D$6</f>
        <v>Primer Trimestre</v>
      </c>
      <c r="L162" s="1042" t="str">
        <f>+G162</f>
        <v>Acumulado
Corte 
31/03/2022</v>
      </c>
      <c r="M162" s="1043" t="s">
        <v>761</v>
      </c>
      <c r="N162" s="1041" t="s">
        <v>1161</v>
      </c>
      <c r="O162" s="1041" t="str">
        <f>+N160</f>
        <v>Segundo Trimestre</v>
      </c>
      <c r="P162" s="1042" t="s">
        <v>1150</v>
      </c>
      <c r="Q162" s="1440"/>
      <c r="R162" s="1442"/>
      <c r="S162" s="1440"/>
      <c r="T162" s="1041" t="str">
        <f>+O162</f>
        <v>Segundo Trimestre</v>
      </c>
      <c r="U162" s="1042" t="str">
        <f>+P162</f>
        <v>Acumulado Corte 
30/06/2022</v>
      </c>
      <c r="V162" s="1043" t="s">
        <v>761</v>
      </c>
      <c r="W162" s="1041" t="s">
        <v>1161</v>
      </c>
      <c r="X162" s="1041" t="str">
        <f>+W160</f>
        <v>Tercer Trimestre</v>
      </c>
      <c r="Y162" s="1042" t="s">
        <v>1153</v>
      </c>
      <c r="Z162" s="1440"/>
      <c r="AA162" s="1442"/>
      <c r="AB162" s="1440"/>
      <c r="AC162" s="1041" t="str">
        <f>+X162</f>
        <v>Tercer Trimestre</v>
      </c>
      <c r="AD162" s="1042" t="str">
        <f>+Y162</f>
        <v>Acumulado Corte 
30/09/2022</v>
      </c>
      <c r="AE162" s="1043" t="s">
        <v>761</v>
      </c>
      <c r="AF162" s="1041" t="s">
        <v>1161</v>
      </c>
      <c r="AG162" s="1041" t="str">
        <f>+AF160</f>
        <v>Cuarto Trimestre</v>
      </c>
      <c r="AH162" s="1042" t="s">
        <v>1155</v>
      </c>
      <c r="AI162" s="1440"/>
      <c r="AJ162" s="1442"/>
      <c r="AK162" s="1440"/>
      <c r="AL162" s="1041" t="str">
        <f>+AG162</f>
        <v>Cuarto Trimestre</v>
      </c>
      <c r="AM162" s="1042" t="str">
        <f>+AH162</f>
        <v>Acumulado Corte 
31/12/2022</v>
      </c>
      <c r="AN162" s="1043" t="s">
        <v>761</v>
      </c>
      <c r="AO162" s="1453" t="s">
        <v>871</v>
      </c>
      <c r="AP162" s="1454"/>
      <c r="AQ162" s="1455" t="s">
        <v>872</v>
      </c>
      <c r="AR162" s="1456"/>
      <c r="AS162" s="1456"/>
      <c r="AT162" s="1457"/>
      <c r="AU162" s="1458" t="s">
        <v>724</v>
      </c>
      <c r="AV162" s="1459"/>
      <c r="AW162" s="1440"/>
      <c r="AY162" s="656"/>
    </row>
    <row r="163" spans="2:52" ht="102.6" customHeight="1">
      <c r="B163" s="475">
        <f>+B157+1</f>
        <v>82</v>
      </c>
      <c r="C163" s="476" t="str">
        <f>+'Rango indicadores'!D86</f>
        <v>15-RI-01</v>
      </c>
      <c r="D163" s="476" t="str">
        <f>+'Rango indicadores'!E86</f>
        <v>Medidas de preservación del orden interno emitidas</v>
      </c>
      <c r="E163" s="501">
        <f>+'Rango indicadores'!Q86</f>
        <v>24</v>
      </c>
      <c r="F163" s="490">
        <f>'1.Informe Seguimiento POA 2022'!O87</f>
        <v>6</v>
      </c>
      <c r="G163" s="490">
        <f>'1.Informe Seguimiento POA 2022'!O87</f>
        <v>6</v>
      </c>
      <c r="H163" s="490">
        <f>'1.Informe Seguimiento POA 2022'!P87</f>
        <v>26</v>
      </c>
      <c r="I163" s="490">
        <f>'1.Informe Seguimiento POA 2022'!P87</f>
        <v>26</v>
      </c>
      <c r="J163" s="490">
        <f t="shared" ref="J163:J165" si="317">I163</f>
        <v>26</v>
      </c>
      <c r="K163" s="493">
        <f t="shared" ref="K163" si="318">IF(AND(F163&gt;0),H163/F163,"No programado")</f>
        <v>4.333333333333333</v>
      </c>
      <c r="L163" s="493">
        <f t="shared" ref="L163" si="319">IF(AND(G163&gt;0),I163/G163,"No programado")</f>
        <v>4.333333333333333</v>
      </c>
      <c r="M163" s="479">
        <f t="shared" ref="M163" si="320">IF(AND(E163&gt;0,$J163&gt;0),J163/$E163,0)</f>
        <v>1.0833333333333333</v>
      </c>
      <c r="N163" s="501">
        <f>E163</f>
        <v>24</v>
      </c>
      <c r="O163" s="490">
        <f>+'1.Informe Seguimiento POA 2022'!Q87</f>
        <v>6</v>
      </c>
      <c r="P163" s="490">
        <f>+'1.Informe Seguimiento POA 2022'!O87+'1.Informe Seguimiento POA 2022'!Q87</f>
        <v>12</v>
      </c>
      <c r="Q163" s="490">
        <f>+'1.Informe Seguimiento POA 2022'!R87</f>
        <v>0</v>
      </c>
      <c r="R163" s="490">
        <f>+'1.Informe Seguimiento POA 2022'!P87+'1.Informe Seguimiento POA 2022'!R87</f>
        <v>26</v>
      </c>
      <c r="S163" s="490">
        <f t="shared" ref="S163" si="321">H163+Q163</f>
        <v>26</v>
      </c>
      <c r="T163" s="493">
        <f t="shared" ref="T163:T165" si="322">IF(AND(O163&gt;0),Q163/O163,"No programado")</f>
        <v>0</v>
      </c>
      <c r="U163" s="493">
        <f t="shared" ref="U163:U165" si="323">IF(AND(P163&gt;0),R163/P163,"No programado")</f>
        <v>2.1666666666666665</v>
      </c>
      <c r="V163" s="479">
        <f t="shared" ref="V163:V165" si="324">IF(AND(N163&gt;0,$J163&gt;0),S163/$E163,0)</f>
        <v>1.0833333333333333</v>
      </c>
      <c r="W163" s="501">
        <f>N163</f>
        <v>24</v>
      </c>
      <c r="X163" s="490">
        <f>+'1.Informe Seguimiento POA 2022'!S87</f>
        <v>6</v>
      </c>
      <c r="Y163" s="490">
        <f>+'1.Informe Seguimiento POA 2022'!O87+'1.Informe Seguimiento POA 2022'!Q87+'1.Informe Seguimiento POA 2022'!S87</f>
        <v>18</v>
      </c>
      <c r="Z163" s="490">
        <f>+'1.Informe Seguimiento POA 2022'!T87</f>
        <v>0</v>
      </c>
      <c r="AA163" s="490">
        <f>+'1.Informe Seguimiento POA 2022'!R87+'1.Informe Seguimiento POA 2022'!T87+'1.Informe Seguimiento POA 2022'!P87</f>
        <v>26</v>
      </c>
      <c r="AB163" s="490">
        <f t="shared" ref="AB163" si="325">H163+Q163+Z163</f>
        <v>26</v>
      </c>
      <c r="AC163" s="493">
        <f t="shared" ref="AC163:AC165" si="326">IF(AND(X163&gt;0),Z163/X163,"No programado")</f>
        <v>0</v>
      </c>
      <c r="AD163" s="493">
        <f t="shared" ref="AD163:AD165" si="327">IF(AND(Y163&gt;0),AA163/Y163,"No programado")</f>
        <v>1.4444444444444444</v>
      </c>
      <c r="AE163" s="479">
        <f t="shared" ref="AE163:AE165" si="328">IF(AND(W163&gt;0,$J163&gt;0),AB163/$E163,0)</f>
        <v>1.0833333333333333</v>
      </c>
      <c r="AF163" s="501">
        <f>W163</f>
        <v>24</v>
      </c>
      <c r="AG163" s="501">
        <f>+'1.Informe Seguimiento POA 2022'!U87</f>
        <v>6</v>
      </c>
      <c r="AH163" s="501">
        <f>+'1.Informe Seguimiento POA 2022'!O87+'1.Informe Seguimiento POA 2022'!Q87+'1.Informe Seguimiento POA 2022'!S87+'1.Informe Seguimiento POA 2022'!U87</f>
        <v>24</v>
      </c>
      <c r="AI163" s="501">
        <f>+'1.Informe Seguimiento POA 2022'!V87</f>
        <v>0</v>
      </c>
      <c r="AJ163" s="501">
        <f>+'1.Informe Seguimiento POA 2022'!P87+'1.Informe Seguimiento POA 2022'!R87+'1.Informe Seguimiento POA 2022'!T87+'1.Informe Seguimiento POA 2022'!V87</f>
        <v>26</v>
      </c>
      <c r="AK163" s="490">
        <f t="shared" ref="AK163:AK165" si="329">H163+Q163+Z163+AI163</f>
        <v>26</v>
      </c>
      <c r="AL163" s="493">
        <f t="shared" ref="AL163:AL165" si="330">IF(AND(AG163&gt;0),AI163/AG163,"No programado")</f>
        <v>0</v>
      </c>
      <c r="AM163" s="493">
        <f t="shared" ref="AM163:AM165" si="331">IF(AND(AH163&gt;0),AJ163/AH163,"No programado")</f>
        <v>1.0833333333333333</v>
      </c>
      <c r="AN163" s="479">
        <f t="shared" ref="AN163:AN165" si="332">IF(AND(AF163&gt;0,$J163&gt;0),AK163/$E163,0)</f>
        <v>1.0833333333333333</v>
      </c>
      <c r="AO163" s="483" t="str">
        <f>+'Rango indicadores'!H86</f>
        <v>Mayor o igual A:</v>
      </c>
      <c r="AP163" s="478">
        <f>+'Rango indicadores'!I86</f>
        <v>100</v>
      </c>
      <c r="AQ163" s="478" t="str">
        <f>+'Rango indicadores'!J86</f>
        <v>Desde (&gt;):</v>
      </c>
      <c r="AR163" s="478">
        <f>+'Rango indicadores'!K86</f>
        <v>79</v>
      </c>
      <c r="AS163" s="478" t="str">
        <f>+'Rango indicadores'!L86</f>
        <v>Hasta (&lt;):</v>
      </c>
      <c r="AT163" s="478">
        <f>+'Rango indicadores'!M86</f>
        <v>100</v>
      </c>
      <c r="AU163" s="478" t="str">
        <f>+'Rango indicadores'!N86</f>
        <v>Menor o Igual A:</v>
      </c>
      <c r="AV163" s="478">
        <f>+'Rango indicadores'!O86</f>
        <v>79</v>
      </c>
      <c r="AW163" s="582" t="s">
        <v>1213</v>
      </c>
      <c r="AX163" s="688"/>
      <c r="AY163" s="656"/>
      <c r="AZ163" s="581"/>
    </row>
    <row r="164" spans="2:52" ht="97.8" customHeight="1">
      <c r="B164" s="475">
        <f>B163+1</f>
        <v>83</v>
      </c>
      <c r="C164" s="476" t="str">
        <f>+'Rango indicadores'!D87</f>
        <v>15-RI-02</v>
      </c>
      <c r="D164" s="476" t="str">
        <f>+'Rango indicadores'!E87</f>
        <v>Jornadas de sensibilización realizadas</v>
      </c>
      <c r="E164" s="501">
        <f>+'Rango indicadores'!Q87</f>
        <v>6</v>
      </c>
      <c r="F164" s="490">
        <f>'1.Informe Seguimiento POA 2022'!O88</f>
        <v>0</v>
      </c>
      <c r="G164" s="490">
        <f>'1.Informe Seguimiento POA 2022'!O88</f>
        <v>0</v>
      </c>
      <c r="H164" s="490">
        <f>'1.Informe Seguimiento POA 2022'!P88</f>
        <v>1</v>
      </c>
      <c r="I164" s="490">
        <f>'1.Informe Seguimiento POA 2022'!P88</f>
        <v>1</v>
      </c>
      <c r="J164" s="490">
        <f t="shared" si="317"/>
        <v>1</v>
      </c>
      <c r="K164" s="493" t="str">
        <f t="shared" ref="K164:K165" si="333">IF(AND(F164&gt;0),H164/F164,"No programado")</f>
        <v>No programado</v>
      </c>
      <c r="L164" s="493" t="str">
        <f t="shared" ref="L164:L165" si="334">IF(AND(G164&gt;0),I164/G164,"No programado")</f>
        <v>No programado</v>
      </c>
      <c r="M164" s="479">
        <f t="shared" ref="M164:M165" si="335">IF(AND(E164&gt;0,$J164&gt;0),J164/$E164,0)</f>
        <v>0.16666666666666666</v>
      </c>
      <c r="N164" s="501">
        <f t="shared" ref="N164:N165" si="336">E164</f>
        <v>6</v>
      </c>
      <c r="O164" s="490">
        <f>+'1.Informe Seguimiento POA 2022'!Q88</f>
        <v>2</v>
      </c>
      <c r="P164" s="490">
        <f>+'1.Informe Seguimiento POA 2022'!O88+'1.Informe Seguimiento POA 2022'!Q88</f>
        <v>2</v>
      </c>
      <c r="Q164" s="490">
        <f>+'1.Informe Seguimiento POA 2022'!R88</f>
        <v>0</v>
      </c>
      <c r="R164" s="490">
        <f>+'1.Informe Seguimiento POA 2022'!P88+'1.Informe Seguimiento POA 2022'!R88</f>
        <v>1</v>
      </c>
      <c r="S164" s="490">
        <f t="shared" ref="S164:S165" si="337">H164+Q164</f>
        <v>1</v>
      </c>
      <c r="T164" s="493">
        <f t="shared" si="322"/>
        <v>0</v>
      </c>
      <c r="U164" s="493">
        <f t="shared" si="323"/>
        <v>0.5</v>
      </c>
      <c r="V164" s="479">
        <f t="shared" si="324"/>
        <v>0.16666666666666666</v>
      </c>
      <c r="W164" s="501">
        <f t="shared" ref="W164:W165" si="338">N164</f>
        <v>6</v>
      </c>
      <c r="X164" s="490">
        <f>+'1.Informe Seguimiento POA 2022'!S88</f>
        <v>3</v>
      </c>
      <c r="Y164" s="490">
        <f>+'1.Informe Seguimiento POA 2022'!O88+'1.Informe Seguimiento POA 2022'!Q88+'1.Informe Seguimiento POA 2022'!S88</f>
        <v>5</v>
      </c>
      <c r="Z164" s="490">
        <f>+'1.Informe Seguimiento POA 2022'!T88</f>
        <v>0</v>
      </c>
      <c r="AA164" s="490">
        <f>+'1.Informe Seguimiento POA 2022'!R88+'1.Informe Seguimiento POA 2022'!T88+'1.Informe Seguimiento POA 2022'!P88</f>
        <v>1</v>
      </c>
      <c r="AB164" s="490">
        <f t="shared" ref="AB164:AB165" si="339">H164+Q164+Z164</f>
        <v>1</v>
      </c>
      <c r="AC164" s="493">
        <f t="shared" si="326"/>
        <v>0</v>
      </c>
      <c r="AD164" s="493">
        <f t="shared" si="327"/>
        <v>0.2</v>
      </c>
      <c r="AE164" s="479">
        <f t="shared" si="328"/>
        <v>0.16666666666666666</v>
      </c>
      <c r="AF164" s="501">
        <f t="shared" ref="AF164:AF165" si="340">W164</f>
        <v>6</v>
      </c>
      <c r="AG164" s="501">
        <f>+'1.Informe Seguimiento POA 2022'!U88</f>
        <v>1</v>
      </c>
      <c r="AH164" s="501">
        <f>+'1.Informe Seguimiento POA 2022'!O88+'1.Informe Seguimiento POA 2022'!Q88+'1.Informe Seguimiento POA 2022'!S88+'1.Informe Seguimiento POA 2022'!U88</f>
        <v>6</v>
      </c>
      <c r="AI164" s="501">
        <f>+'1.Informe Seguimiento POA 2022'!V88</f>
        <v>0</v>
      </c>
      <c r="AJ164" s="501">
        <f>+'1.Informe Seguimiento POA 2022'!P88+'1.Informe Seguimiento POA 2022'!R88+'1.Informe Seguimiento POA 2022'!T88+'1.Informe Seguimiento POA 2022'!V88</f>
        <v>1</v>
      </c>
      <c r="AK164" s="490">
        <f t="shared" si="329"/>
        <v>1</v>
      </c>
      <c r="AL164" s="493">
        <f t="shared" si="330"/>
        <v>0</v>
      </c>
      <c r="AM164" s="493">
        <f t="shared" si="331"/>
        <v>0.16666666666666666</v>
      </c>
      <c r="AN164" s="479">
        <f t="shared" si="332"/>
        <v>0.16666666666666666</v>
      </c>
      <c r="AO164" s="483" t="str">
        <f>+'Rango indicadores'!H87</f>
        <v>Mayor o igual A:</v>
      </c>
      <c r="AP164" s="478">
        <f>+'Rango indicadores'!I87</f>
        <v>100</v>
      </c>
      <c r="AQ164" s="478" t="str">
        <f>+'Rango indicadores'!J87</f>
        <v>Desde (&gt;):</v>
      </c>
      <c r="AR164" s="478">
        <f>+'Rango indicadores'!K87</f>
        <v>99</v>
      </c>
      <c r="AS164" s="478" t="str">
        <f>+'Rango indicadores'!L87</f>
        <v>Hasta (&lt;):</v>
      </c>
      <c r="AT164" s="478">
        <f>+'Rango indicadores'!M87</f>
        <v>100</v>
      </c>
      <c r="AU164" s="478" t="str">
        <f>+'Rango indicadores'!N87</f>
        <v>Menor o Igual A:</v>
      </c>
      <c r="AV164" s="478">
        <f>+'Rango indicadores'!O87</f>
        <v>99</v>
      </c>
      <c r="AW164" s="582" t="s">
        <v>1214</v>
      </c>
      <c r="AX164" s="581"/>
      <c r="AY164" s="656"/>
      <c r="AZ164" s="581"/>
    </row>
    <row r="165" spans="2:52" ht="105.6">
      <c r="B165" s="475">
        <f t="shared" ref="B165" si="341">B164+1</f>
        <v>84</v>
      </c>
      <c r="C165" s="476" t="str">
        <f>+'Rango indicadores'!D88</f>
        <v>15-RI-03</v>
      </c>
      <c r="D165" s="476" t="str">
        <f>+'Rango indicadores'!E88</f>
        <v>Procesos disciplinarios con decisión de fondo proferida</v>
      </c>
      <c r="E165" s="501">
        <f>+'Rango indicadores'!Q88</f>
        <v>100</v>
      </c>
      <c r="F165" s="490">
        <f>'1.Informe Seguimiento POA 2022'!O89</f>
        <v>23</v>
      </c>
      <c r="G165" s="490">
        <f>'1.Informe Seguimiento POA 2022'!O89</f>
        <v>23</v>
      </c>
      <c r="H165" s="490">
        <f>'1.Informe Seguimiento POA 2022'!P89</f>
        <v>30</v>
      </c>
      <c r="I165" s="490">
        <f>'1.Informe Seguimiento POA 2022'!P89</f>
        <v>30</v>
      </c>
      <c r="J165" s="490">
        <f t="shared" si="317"/>
        <v>30</v>
      </c>
      <c r="K165" s="493">
        <f t="shared" si="333"/>
        <v>1.3043478260869565</v>
      </c>
      <c r="L165" s="493">
        <f t="shared" si="334"/>
        <v>1.3043478260869565</v>
      </c>
      <c r="M165" s="479">
        <f t="shared" si="335"/>
        <v>0.3</v>
      </c>
      <c r="N165" s="501">
        <f t="shared" si="336"/>
        <v>100</v>
      </c>
      <c r="O165" s="490">
        <f>+'1.Informe Seguimiento POA 2022'!Q89</f>
        <v>30</v>
      </c>
      <c r="P165" s="490">
        <f>+'1.Informe Seguimiento POA 2022'!O89+'1.Informe Seguimiento POA 2022'!Q89</f>
        <v>53</v>
      </c>
      <c r="Q165" s="490">
        <f>+'1.Informe Seguimiento POA 2022'!R89</f>
        <v>0</v>
      </c>
      <c r="R165" s="490">
        <f>+'1.Informe Seguimiento POA 2022'!P89+'1.Informe Seguimiento POA 2022'!R89</f>
        <v>30</v>
      </c>
      <c r="S165" s="490">
        <f t="shared" si="337"/>
        <v>30</v>
      </c>
      <c r="T165" s="493">
        <f t="shared" si="322"/>
        <v>0</v>
      </c>
      <c r="U165" s="493">
        <f t="shared" si="323"/>
        <v>0.56603773584905659</v>
      </c>
      <c r="V165" s="479">
        <f t="shared" si="324"/>
        <v>0.3</v>
      </c>
      <c r="W165" s="501">
        <f t="shared" si="338"/>
        <v>100</v>
      </c>
      <c r="X165" s="490">
        <f>+'1.Informe Seguimiento POA 2022'!S89</f>
        <v>30</v>
      </c>
      <c r="Y165" s="490">
        <f>+'1.Informe Seguimiento POA 2022'!O89+'1.Informe Seguimiento POA 2022'!Q89+'1.Informe Seguimiento POA 2022'!S89</f>
        <v>83</v>
      </c>
      <c r="Z165" s="490">
        <f>+'1.Informe Seguimiento POA 2022'!T89</f>
        <v>0</v>
      </c>
      <c r="AA165" s="490">
        <f>+'1.Informe Seguimiento POA 2022'!R89+'1.Informe Seguimiento POA 2022'!T89+'1.Informe Seguimiento POA 2022'!P89</f>
        <v>30</v>
      </c>
      <c r="AB165" s="490">
        <f t="shared" si="339"/>
        <v>30</v>
      </c>
      <c r="AC165" s="493">
        <f t="shared" si="326"/>
        <v>0</v>
      </c>
      <c r="AD165" s="493">
        <f t="shared" si="327"/>
        <v>0.36144578313253012</v>
      </c>
      <c r="AE165" s="479">
        <f t="shared" si="328"/>
        <v>0.3</v>
      </c>
      <c r="AF165" s="501">
        <f t="shared" si="340"/>
        <v>100</v>
      </c>
      <c r="AG165" s="501">
        <f>+'1.Informe Seguimiento POA 2022'!U89</f>
        <v>17</v>
      </c>
      <c r="AH165" s="501">
        <f>+'1.Informe Seguimiento POA 2022'!O89+'1.Informe Seguimiento POA 2022'!Q89+'1.Informe Seguimiento POA 2022'!S89+'1.Informe Seguimiento POA 2022'!U89</f>
        <v>100</v>
      </c>
      <c r="AI165" s="501">
        <f>+'1.Informe Seguimiento POA 2022'!V89</f>
        <v>0</v>
      </c>
      <c r="AJ165" s="501">
        <f>+'1.Informe Seguimiento POA 2022'!P89+'1.Informe Seguimiento POA 2022'!R89+'1.Informe Seguimiento POA 2022'!T89+'1.Informe Seguimiento POA 2022'!V89</f>
        <v>30</v>
      </c>
      <c r="AK165" s="490">
        <f t="shared" si="329"/>
        <v>30</v>
      </c>
      <c r="AL165" s="493">
        <f t="shared" si="330"/>
        <v>0</v>
      </c>
      <c r="AM165" s="493">
        <f t="shared" si="331"/>
        <v>0.3</v>
      </c>
      <c r="AN165" s="479">
        <f t="shared" si="332"/>
        <v>0.3</v>
      </c>
      <c r="AO165" s="483" t="str">
        <f>+'Rango indicadores'!H88</f>
        <v>Mayor o igual A:</v>
      </c>
      <c r="AP165" s="478">
        <f>+'Rango indicadores'!I88</f>
        <v>100</v>
      </c>
      <c r="AQ165" s="478" t="str">
        <f>+'Rango indicadores'!J88</f>
        <v>Desde (&gt;):</v>
      </c>
      <c r="AR165" s="478">
        <f>+'Rango indicadores'!K88</f>
        <v>70</v>
      </c>
      <c r="AS165" s="478" t="str">
        <f>+'Rango indicadores'!L88</f>
        <v>Hasta (&lt;):</v>
      </c>
      <c r="AT165" s="478">
        <f>+'Rango indicadores'!M88</f>
        <v>100</v>
      </c>
      <c r="AU165" s="478" t="str">
        <f>+'Rango indicadores'!N88</f>
        <v>Menor o Igual A:</v>
      </c>
      <c r="AV165" s="478">
        <f>+'Rango indicadores'!O88</f>
        <v>70</v>
      </c>
      <c r="AW165" s="1103" t="s">
        <v>1215</v>
      </c>
      <c r="AX165" s="581"/>
      <c r="AY165" s="656"/>
      <c r="AZ165" s="581"/>
    </row>
    <row r="166" spans="2:52" ht="15.6">
      <c r="C166" s="1474" t="s">
        <v>873</v>
      </c>
      <c r="D166" s="1475"/>
      <c r="E166" s="1475"/>
      <c r="F166" s="1475"/>
      <c r="G166" s="1475"/>
      <c r="H166" s="1475"/>
      <c r="I166" s="1475"/>
      <c r="J166" s="1475"/>
      <c r="K166" s="481">
        <f>IFERROR(AVERAGE(K163:K165),0)</f>
        <v>2.8188405797101446</v>
      </c>
      <c r="L166" s="481">
        <f>IFERROR(AVERAGE(L163:L165),0)</f>
        <v>2.8188405797101446</v>
      </c>
      <c r="M166" s="481">
        <f>IFERROR(AVERAGE(M163:M165),0)</f>
        <v>0.51666666666666672</v>
      </c>
      <c r="N166" s="1085"/>
      <c r="O166" s="1085"/>
      <c r="P166" s="1085"/>
      <c r="Q166" s="1085"/>
      <c r="R166" s="1085"/>
      <c r="S166" s="1085"/>
      <c r="T166" s="481">
        <f>IFERROR(AVERAGE(T163:T165),0)</f>
        <v>0</v>
      </c>
      <c r="U166" s="481">
        <f>IFERROR(AVERAGE(U163:U165),0)</f>
        <v>1.0775681341719077</v>
      </c>
      <c r="V166" s="481">
        <f>IFERROR(AVERAGE(V163:V165),0)</f>
        <v>0.51666666666666672</v>
      </c>
      <c r="W166" s="1085"/>
      <c r="X166" s="1085"/>
      <c r="Y166" s="1085"/>
      <c r="Z166" s="1085"/>
      <c r="AA166" s="1085"/>
      <c r="AB166" s="1085"/>
      <c r="AC166" s="481">
        <f>IFERROR(AVERAGE(AC163:AC165),0)</f>
        <v>0</v>
      </c>
      <c r="AD166" s="481">
        <f>IFERROR(AVERAGE(AD163:AD165),0)</f>
        <v>0.66863007585899148</v>
      </c>
      <c r="AE166" s="481">
        <f>IFERROR(AVERAGE(AE163:AE165),0)</f>
        <v>0.51666666666666672</v>
      </c>
      <c r="AF166" s="1085"/>
      <c r="AG166" s="1085"/>
      <c r="AH166" s="1085"/>
      <c r="AI166" s="1085"/>
      <c r="AJ166" s="1085"/>
      <c r="AK166" s="1086"/>
      <c r="AL166" s="481">
        <f>IFERROR(AVERAGE(AL163:AL165),0)</f>
        <v>0</v>
      </c>
      <c r="AM166" s="481">
        <f>IFERROR(AVERAGE(AM163:AM165),0)</f>
        <v>0.51666666666666672</v>
      </c>
      <c r="AN166" s="481">
        <f>IFERROR(AVERAGE(AN163:AN165),0)</f>
        <v>0.51666666666666672</v>
      </c>
      <c r="AO166" s="488"/>
      <c r="AP166" s="488"/>
      <c r="AQ166" s="488"/>
      <c r="AR166" s="488"/>
      <c r="AS166" s="488"/>
      <c r="AT166" s="488"/>
      <c r="AU166" s="488"/>
      <c r="AV166" s="488"/>
      <c r="AW166" s="583"/>
      <c r="AY166" s="656"/>
    </row>
    <row r="167" spans="2:52" s="471" customFormat="1" ht="23.4" customHeight="1" thickBot="1">
      <c r="D167" s="473"/>
      <c r="AW167" s="473"/>
      <c r="AY167" s="656"/>
    </row>
    <row r="168" spans="2:52" s="471" customFormat="1" ht="16.2" thickBot="1">
      <c r="C168" s="474" t="s">
        <v>888</v>
      </c>
      <c r="D168" s="504"/>
      <c r="E168" s="1446" t="s">
        <v>1144</v>
      </c>
      <c r="F168" s="1447"/>
      <c r="G168" s="1447"/>
      <c r="H168" s="1447"/>
      <c r="I168" s="1447"/>
      <c r="J168" s="1447"/>
      <c r="K168" s="1447"/>
      <c r="L168" s="1447"/>
      <c r="M168" s="1448"/>
      <c r="N168" s="1449" t="s">
        <v>1145</v>
      </c>
      <c r="O168" s="1450"/>
      <c r="P168" s="1450"/>
      <c r="Q168" s="1450"/>
      <c r="R168" s="1450"/>
      <c r="S168" s="1450"/>
      <c r="T168" s="1450"/>
      <c r="U168" s="1450"/>
      <c r="V168" s="1451"/>
      <c r="W168" s="1443" t="s">
        <v>1146</v>
      </c>
      <c r="X168" s="1444"/>
      <c r="Y168" s="1444"/>
      <c r="Z168" s="1444"/>
      <c r="AA168" s="1444"/>
      <c r="AB168" s="1444"/>
      <c r="AC168" s="1444"/>
      <c r="AD168" s="1444"/>
      <c r="AE168" s="1445"/>
      <c r="AF168" s="1449" t="s">
        <v>1056</v>
      </c>
      <c r="AG168" s="1450"/>
      <c r="AH168" s="1450"/>
      <c r="AI168" s="1450"/>
      <c r="AJ168" s="1450"/>
      <c r="AK168" s="1450"/>
      <c r="AL168" s="1450"/>
      <c r="AM168" s="1450"/>
      <c r="AN168" s="1451"/>
      <c r="AW168" s="473"/>
      <c r="AY168" s="656"/>
    </row>
    <row r="169" spans="2:52" ht="24.6" customHeight="1">
      <c r="C169" s="1440" t="str">
        <f>+$C$10</f>
        <v>Identifificación del Indicador</v>
      </c>
      <c r="D169" s="1460" t="s">
        <v>868</v>
      </c>
      <c r="E169" s="1436" t="s">
        <v>869</v>
      </c>
      <c r="F169" s="1437"/>
      <c r="G169" s="1438"/>
      <c r="H169" s="1439" t="s">
        <v>1148</v>
      </c>
      <c r="I169" s="1441" t="s">
        <v>1152</v>
      </c>
      <c r="J169" s="1439" t="s">
        <v>870</v>
      </c>
      <c r="K169" s="1439" t="s">
        <v>864</v>
      </c>
      <c r="L169" s="1439"/>
      <c r="M169" s="1439"/>
      <c r="N169" s="1436" t="s">
        <v>869</v>
      </c>
      <c r="O169" s="1437"/>
      <c r="P169" s="1438"/>
      <c r="Q169" s="1439" t="s">
        <v>1158</v>
      </c>
      <c r="R169" s="1441" t="s">
        <v>1149</v>
      </c>
      <c r="S169" s="1439" t="s">
        <v>870</v>
      </c>
      <c r="T169" s="1439" t="s">
        <v>864</v>
      </c>
      <c r="U169" s="1439"/>
      <c r="V169" s="1439"/>
      <c r="W169" s="1436" t="s">
        <v>869</v>
      </c>
      <c r="X169" s="1437"/>
      <c r="Y169" s="1438"/>
      <c r="Z169" s="1439" t="s">
        <v>1159</v>
      </c>
      <c r="AA169" s="1441" t="s">
        <v>1154</v>
      </c>
      <c r="AB169" s="1439" t="s">
        <v>870</v>
      </c>
      <c r="AC169" s="1439" t="s">
        <v>864</v>
      </c>
      <c r="AD169" s="1439"/>
      <c r="AE169" s="1439"/>
      <c r="AF169" s="1436" t="s">
        <v>869</v>
      </c>
      <c r="AG169" s="1437"/>
      <c r="AH169" s="1438"/>
      <c r="AI169" s="1439" t="s">
        <v>1160</v>
      </c>
      <c r="AJ169" s="1441" t="s">
        <v>1156</v>
      </c>
      <c r="AK169" s="1439" t="s">
        <v>870</v>
      </c>
      <c r="AL169" s="1439" t="s">
        <v>864</v>
      </c>
      <c r="AM169" s="1439"/>
      <c r="AN169" s="1439"/>
      <c r="AO169" s="1452" t="s">
        <v>716</v>
      </c>
      <c r="AP169" s="1452"/>
      <c r="AQ169" s="1452"/>
      <c r="AR169" s="1452"/>
      <c r="AS169" s="1452"/>
      <c r="AT169" s="1452"/>
      <c r="AU169" s="1452"/>
      <c r="AV169" s="1452"/>
      <c r="AW169" s="1440" t="s">
        <v>890</v>
      </c>
      <c r="AY169" s="656"/>
    </row>
    <row r="170" spans="2:52" ht="50.4" customHeight="1">
      <c r="C170" s="1440"/>
      <c r="D170" s="1460"/>
      <c r="E170" s="1041" t="s">
        <v>1161</v>
      </c>
      <c r="F170" s="1041" t="str">
        <f>+E168</f>
        <v>Primer Trimestre</v>
      </c>
      <c r="G170" s="1042" t="s">
        <v>1151</v>
      </c>
      <c r="H170" s="1440"/>
      <c r="I170" s="1442"/>
      <c r="J170" s="1440"/>
      <c r="K170" s="1041" t="str">
        <f>+$D$6</f>
        <v>Primer Trimestre</v>
      </c>
      <c r="L170" s="1042" t="str">
        <f>+G170</f>
        <v>Acumulado
Corte 
31/03/2022</v>
      </c>
      <c r="M170" s="1043" t="s">
        <v>761</v>
      </c>
      <c r="N170" s="1041" t="s">
        <v>1161</v>
      </c>
      <c r="O170" s="1041" t="str">
        <f>+N168</f>
        <v>Segundo Trimestre</v>
      </c>
      <c r="P170" s="1042" t="s">
        <v>1150</v>
      </c>
      <c r="Q170" s="1440"/>
      <c r="R170" s="1442"/>
      <c r="S170" s="1440"/>
      <c r="T170" s="1041" t="str">
        <f>+O170</f>
        <v>Segundo Trimestre</v>
      </c>
      <c r="U170" s="1042" t="str">
        <f>+P170</f>
        <v>Acumulado Corte 
30/06/2022</v>
      </c>
      <c r="V170" s="1043" t="s">
        <v>761</v>
      </c>
      <c r="W170" s="1041" t="s">
        <v>1161</v>
      </c>
      <c r="X170" s="1041" t="str">
        <f>+W168</f>
        <v>Tercer Trimestre</v>
      </c>
      <c r="Y170" s="1042" t="s">
        <v>1153</v>
      </c>
      <c r="Z170" s="1440"/>
      <c r="AA170" s="1442"/>
      <c r="AB170" s="1440"/>
      <c r="AC170" s="1041" t="str">
        <f>+X170</f>
        <v>Tercer Trimestre</v>
      </c>
      <c r="AD170" s="1042" t="str">
        <f>+Y170</f>
        <v>Acumulado Corte 
30/09/2022</v>
      </c>
      <c r="AE170" s="1043" t="s">
        <v>761</v>
      </c>
      <c r="AF170" s="1041" t="s">
        <v>1161</v>
      </c>
      <c r="AG170" s="1041" t="str">
        <f>+AF168</f>
        <v>Cuarto Trimestre</v>
      </c>
      <c r="AH170" s="1042" t="s">
        <v>1155</v>
      </c>
      <c r="AI170" s="1440"/>
      <c r="AJ170" s="1442"/>
      <c r="AK170" s="1440"/>
      <c r="AL170" s="1041" t="str">
        <f>+AG170</f>
        <v>Cuarto Trimestre</v>
      </c>
      <c r="AM170" s="1042" t="str">
        <f>+AH170</f>
        <v>Acumulado Corte 
31/12/2022</v>
      </c>
      <c r="AN170" s="1043" t="s">
        <v>761</v>
      </c>
      <c r="AO170" s="1453" t="s">
        <v>871</v>
      </c>
      <c r="AP170" s="1454"/>
      <c r="AQ170" s="1455" t="s">
        <v>872</v>
      </c>
      <c r="AR170" s="1456"/>
      <c r="AS170" s="1456"/>
      <c r="AT170" s="1457"/>
      <c r="AU170" s="1458" t="s">
        <v>724</v>
      </c>
      <c r="AV170" s="1459"/>
      <c r="AW170" s="1440"/>
      <c r="AY170" s="656"/>
    </row>
    <row r="171" spans="2:52" ht="79.2">
      <c r="B171" s="475">
        <f>+B165+1</f>
        <v>85</v>
      </c>
      <c r="C171" s="476" t="str">
        <f>+'Rango indicadores'!D89</f>
        <v>16-RI-01</v>
      </c>
      <c r="D171" s="476" t="str">
        <f>+'Rango indicadores'!E89</f>
        <v>Programa anual de auditorías ejecutado.</v>
      </c>
      <c r="E171" s="501">
        <f>+'Rango indicadores'!Q89</f>
        <v>1</v>
      </c>
      <c r="F171" s="516">
        <f>'1.Informe Seguimiento POA 2022'!O90</f>
        <v>0.35</v>
      </c>
      <c r="G171" s="516">
        <f>'1.Informe Seguimiento POA 2022'!O90</f>
        <v>0.35</v>
      </c>
      <c r="H171" s="516">
        <f>'1.Informe Seguimiento POA 2022'!P90</f>
        <v>0.35</v>
      </c>
      <c r="I171" s="516">
        <f>'1.Informe Seguimiento POA 2022'!P90</f>
        <v>0.35</v>
      </c>
      <c r="J171" s="516">
        <f t="shared" ref="J171:J173" si="342">I171</f>
        <v>0.35</v>
      </c>
      <c r="K171" s="493">
        <f t="shared" ref="K171" si="343">IF(AND(F171&gt;0),H171/F171,"No programado")</f>
        <v>1</v>
      </c>
      <c r="L171" s="493">
        <f t="shared" ref="L171" si="344">IF(AND(G171&gt;0),I171/G171,"No programado")</f>
        <v>1</v>
      </c>
      <c r="M171" s="479">
        <f t="shared" ref="M171" si="345">IF(AND(E171&gt;0,$J171&gt;0),J171/$E171,0)</f>
        <v>0.35</v>
      </c>
      <c r="N171" s="501">
        <f t="shared" ref="N171" si="346">E171</f>
        <v>1</v>
      </c>
      <c r="O171" s="516">
        <f>+'1.Informe Seguimiento POA 2022'!Q90</f>
        <v>0.15</v>
      </c>
      <c r="P171" s="516">
        <f>+'1.Informe Seguimiento POA 2022'!O90+'1.Informe Seguimiento POA 2022'!Q90</f>
        <v>0.5</v>
      </c>
      <c r="Q171" s="516">
        <f>+'1.Informe Seguimiento POA 2022'!R90</f>
        <v>0</v>
      </c>
      <c r="R171" s="516">
        <f>+'1.Informe Seguimiento POA 2022'!P90+'1.Informe Seguimiento POA 2022'!R90</f>
        <v>0.35</v>
      </c>
      <c r="S171" s="516">
        <f t="shared" ref="S171" si="347">H171+Q171</f>
        <v>0.35</v>
      </c>
      <c r="T171" s="493">
        <f t="shared" ref="T171:T173" si="348">IF(AND(O171&gt;0),Q171/O171,"No programado")</f>
        <v>0</v>
      </c>
      <c r="U171" s="493">
        <f t="shared" ref="U171:U173" si="349">IF(AND(P171&gt;0),R171/P171,"No programado")</f>
        <v>0.7</v>
      </c>
      <c r="V171" s="479">
        <f t="shared" ref="V171:V173" si="350">IF(AND(N171&gt;0,$J171&gt;0),S171/$E171,0)</f>
        <v>0.35</v>
      </c>
      <c r="W171" s="501">
        <f t="shared" ref="W171:W173" si="351">N171</f>
        <v>1</v>
      </c>
      <c r="X171" s="516">
        <f>+'1.Informe Seguimiento POA 2022'!S90</f>
        <v>0.44000000000000006</v>
      </c>
      <c r="Y171" s="516">
        <f>+'1.Informe Seguimiento POA 2022'!O90+'1.Informe Seguimiento POA 2022'!Q90+'1.Informe Seguimiento POA 2022'!S90</f>
        <v>0.94000000000000006</v>
      </c>
      <c r="Z171" s="516">
        <f>+'1.Informe Seguimiento POA 2022'!T90</f>
        <v>0</v>
      </c>
      <c r="AA171" s="516">
        <f>+'1.Informe Seguimiento POA 2022'!R90+'1.Informe Seguimiento POA 2022'!T90+'1.Informe Seguimiento POA 2022'!P90</f>
        <v>0.35</v>
      </c>
      <c r="AB171" s="516">
        <f t="shared" ref="AB171" si="352">H171+Q171+Z171</f>
        <v>0.35</v>
      </c>
      <c r="AC171" s="493">
        <f t="shared" ref="AC171:AC173" si="353">IF(AND(X171&gt;0),Z171/X171,"No programado")</f>
        <v>0</v>
      </c>
      <c r="AD171" s="493">
        <f t="shared" ref="AD171:AD173" si="354">IF(AND(Y171&gt;0),AA171/Y171,"No programado")</f>
        <v>0.37234042553191482</v>
      </c>
      <c r="AE171" s="479">
        <f t="shared" ref="AE171:AE173" si="355">IF(AND(W171&gt;0,$J171&gt;0),AB171/$E171,0)</f>
        <v>0.35</v>
      </c>
      <c r="AF171" s="501">
        <f t="shared" ref="AF171:AF173" si="356">W171</f>
        <v>1</v>
      </c>
      <c r="AG171" s="516">
        <f>+'1.Informe Seguimiento POA 2022'!U90</f>
        <v>0.06</v>
      </c>
      <c r="AH171" s="516">
        <f>+'1.Informe Seguimiento POA 2022'!O90+'1.Informe Seguimiento POA 2022'!Q90+'1.Informe Seguimiento POA 2022'!S90+'1.Informe Seguimiento POA 2022'!U90</f>
        <v>1</v>
      </c>
      <c r="AI171" s="516">
        <f>+'1.Informe Seguimiento POA 2022'!V90</f>
        <v>0</v>
      </c>
      <c r="AJ171" s="516">
        <f>+'1.Informe Seguimiento POA 2022'!P90+'1.Informe Seguimiento POA 2022'!R90+'1.Informe Seguimiento POA 2022'!T90+'1.Informe Seguimiento POA 2022'!V90</f>
        <v>0.35</v>
      </c>
      <c r="AK171" s="490">
        <f t="shared" ref="AK171:AK173" si="357">H171+Q171+Z171+AI171</f>
        <v>0.35</v>
      </c>
      <c r="AL171" s="483">
        <f t="shared" ref="AL171:AM173" si="358">IF(AND(AG171&gt;0),AI171/AG171,"No programado")</f>
        <v>0</v>
      </c>
      <c r="AM171" s="483">
        <f>IF(AND(AH171&gt;0),AJ171/AH171,"No programado")</f>
        <v>0.35</v>
      </c>
      <c r="AN171" s="479">
        <f t="shared" ref="AN171:AN173" si="359">IF(AND(AF171&gt;0,$J171&gt;0),AK171/$E171,0)</f>
        <v>0.35</v>
      </c>
      <c r="AO171" s="483" t="str">
        <f>+'Rango indicadores'!H89</f>
        <v>Mayor o igual A:</v>
      </c>
      <c r="AP171" s="478">
        <f>+'Rango indicadores'!I89</f>
        <v>90</v>
      </c>
      <c r="AQ171" s="478" t="str">
        <f>+'Rango indicadores'!J89</f>
        <v>Desde (&gt;):</v>
      </c>
      <c r="AR171" s="478">
        <f>+'Rango indicadores'!K89</f>
        <v>69</v>
      </c>
      <c r="AS171" s="478" t="str">
        <f>+'Rango indicadores'!L89</f>
        <v>Hasta (&lt;):</v>
      </c>
      <c r="AT171" s="478">
        <f>+'Rango indicadores'!M89</f>
        <v>90</v>
      </c>
      <c r="AU171" s="478" t="str">
        <f>+'Rango indicadores'!N89</f>
        <v>Menor o Igual A:</v>
      </c>
      <c r="AV171" s="478">
        <f>+'Rango indicadores'!O89</f>
        <v>69</v>
      </c>
      <c r="AW171" s="574" t="s">
        <v>1211</v>
      </c>
      <c r="AX171" s="581"/>
      <c r="AY171" s="656"/>
      <c r="AZ171" s="581"/>
    </row>
    <row r="172" spans="2:52" ht="38.4" customHeight="1">
      <c r="B172" s="475">
        <f>B171+1</f>
        <v>86</v>
      </c>
      <c r="C172" s="476" t="str">
        <f>+'Rango indicadores'!D90</f>
        <v>16-RI-02</v>
      </c>
      <c r="D172" s="476" t="str">
        <f>+'Rango indicadores'!E90</f>
        <v>Estrategia de Sensibilización acerca de la Cultura del Control realizada</v>
      </c>
      <c r="E172" s="501">
        <f>+'Rango indicadores'!Q90</f>
        <v>1</v>
      </c>
      <c r="F172" s="516">
        <f>'1.Informe Seguimiento POA 2022'!O91</f>
        <v>0</v>
      </c>
      <c r="G172" s="516">
        <f>'1.Informe Seguimiento POA 2022'!O91</f>
        <v>0</v>
      </c>
      <c r="H172" s="516">
        <f>'1.Informe Seguimiento POA 2022'!P91</f>
        <v>0</v>
      </c>
      <c r="I172" s="516">
        <f>'1.Informe Seguimiento POA 2022'!P91</f>
        <v>0</v>
      </c>
      <c r="J172" s="516">
        <f t="shared" si="342"/>
        <v>0</v>
      </c>
      <c r="K172" s="493" t="str">
        <f t="shared" ref="K172:K173" si="360">IF(AND(F172&gt;0),H172/F172,"No programado")</f>
        <v>No programado</v>
      </c>
      <c r="L172" s="493" t="str">
        <f t="shared" ref="L172:L173" si="361">IF(AND(G172&gt;0),I172/G172,"No programado")</f>
        <v>No programado</v>
      </c>
      <c r="M172" s="479">
        <f t="shared" ref="M172:M173" si="362">IF(AND(E172&gt;0,$J172&gt;0),J172/$E172,0)</f>
        <v>0</v>
      </c>
      <c r="N172" s="501">
        <f t="shared" ref="N172:N173" si="363">E172</f>
        <v>1</v>
      </c>
      <c r="O172" s="516">
        <f>+'1.Informe Seguimiento POA 2022'!Q91</f>
        <v>0</v>
      </c>
      <c r="P172" s="516">
        <f>+'1.Informe Seguimiento POA 2022'!O91+'1.Informe Seguimiento POA 2022'!Q91</f>
        <v>0</v>
      </c>
      <c r="Q172" s="516">
        <f>+'1.Informe Seguimiento POA 2022'!R91</f>
        <v>0</v>
      </c>
      <c r="R172" s="516">
        <f>+'1.Informe Seguimiento POA 2022'!P91+'1.Informe Seguimiento POA 2022'!R91</f>
        <v>0</v>
      </c>
      <c r="S172" s="516">
        <f t="shared" ref="S172:S173" si="364">H172+Q172</f>
        <v>0</v>
      </c>
      <c r="T172" s="493" t="str">
        <f t="shared" si="348"/>
        <v>No programado</v>
      </c>
      <c r="U172" s="493" t="str">
        <f t="shared" si="349"/>
        <v>No programado</v>
      </c>
      <c r="V172" s="479">
        <f t="shared" si="350"/>
        <v>0</v>
      </c>
      <c r="W172" s="501">
        <f t="shared" si="351"/>
        <v>1</v>
      </c>
      <c r="X172" s="516">
        <f>+'1.Informe Seguimiento POA 2022'!S91</f>
        <v>0</v>
      </c>
      <c r="Y172" s="516">
        <f>+'1.Informe Seguimiento POA 2022'!O91+'1.Informe Seguimiento POA 2022'!Q91+'1.Informe Seguimiento POA 2022'!S91</f>
        <v>0</v>
      </c>
      <c r="Z172" s="516">
        <f>+'1.Informe Seguimiento POA 2022'!T91</f>
        <v>0</v>
      </c>
      <c r="AA172" s="516">
        <f>+'1.Informe Seguimiento POA 2022'!R91+'1.Informe Seguimiento POA 2022'!T91+'1.Informe Seguimiento POA 2022'!P91</f>
        <v>0</v>
      </c>
      <c r="AB172" s="516">
        <f t="shared" ref="AB172:AB173" si="365">H172+Q172+Z172</f>
        <v>0</v>
      </c>
      <c r="AC172" s="493" t="str">
        <f t="shared" si="353"/>
        <v>No programado</v>
      </c>
      <c r="AD172" s="493" t="str">
        <f t="shared" si="354"/>
        <v>No programado</v>
      </c>
      <c r="AE172" s="479">
        <f t="shared" si="355"/>
        <v>0</v>
      </c>
      <c r="AF172" s="501">
        <f t="shared" si="356"/>
        <v>1</v>
      </c>
      <c r="AG172" s="516">
        <f>+'1.Informe Seguimiento POA 2022'!U91</f>
        <v>1</v>
      </c>
      <c r="AH172" s="516">
        <f>+'1.Informe Seguimiento POA 2022'!O91+'1.Informe Seguimiento POA 2022'!Q91+'1.Informe Seguimiento POA 2022'!S91+'1.Informe Seguimiento POA 2022'!U91</f>
        <v>1</v>
      </c>
      <c r="AI172" s="516">
        <f>+'1.Informe Seguimiento POA 2022'!V91</f>
        <v>0</v>
      </c>
      <c r="AJ172" s="516">
        <f>+'1.Informe Seguimiento POA 2022'!P91+'1.Informe Seguimiento POA 2022'!R91+'1.Informe Seguimiento POA 2022'!T91+'1.Informe Seguimiento POA 2022'!V91</f>
        <v>0</v>
      </c>
      <c r="AK172" s="490">
        <f t="shared" si="357"/>
        <v>0</v>
      </c>
      <c r="AL172" s="484">
        <f t="shared" si="358"/>
        <v>0</v>
      </c>
      <c r="AM172" s="484">
        <f t="shared" si="358"/>
        <v>0</v>
      </c>
      <c r="AN172" s="479">
        <f t="shared" si="359"/>
        <v>0</v>
      </c>
      <c r="AO172" s="483" t="str">
        <f>+'Rango indicadores'!H90</f>
        <v>Mayor o igual A:</v>
      </c>
      <c r="AP172" s="478">
        <f>+'Rango indicadores'!I90</f>
        <v>90</v>
      </c>
      <c r="AQ172" s="478" t="str">
        <f>+'Rango indicadores'!J90</f>
        <v>Desde (&gt;):</v>
      </c>
      <c r="AR172" s="478">
        <f>+'Rango indicadores'!K90</f>
        <v>69</v>
      </c>
      <c r="AS172" s="478" t="str">
        <f>+'Rango indicadores'!L90</f>
        <v>Hasta (&lt;):</v>
      </c>
      <c r="AT172" s="478">
        <f>+'Rango indicadores'!M90</f>
        <v>90</v>
      </c>
      <c r="AU172" s="478" t="str">
        <f>+'Rango indicadores'!N90</f>
        <v>Menor o Igual A:</v>
      </c>
      <c r="AV172" s="478">
        <f>+'Rango indicadores'!O90</f>
        <v>69</v>
      </c>
      <c r="AW172" s="582" t="s">
        <v>1173</v>
      </c>
      <c r="AX172" s="581"/>
      <c r="AY172" s="656"/>
      <c r="AZ172" s="581"/>
    </row>
    <row r="173" spans="2:52" ht="38.4" customHeight="1">
      <c r="B173" s="475">
        <f t="shared" ref="B173" si="366">B172+1</f>
        <v>87</v>
      </c>
      <c r="C173" s="476" t="str">
        <f>+'Rango indicadores'!D91</f>
        <v>16-RI-03</v>
      </c>
      <c r="D173" s="476" t="str">
        <f>+'Rango indicadores'!E91</f>
        <v>Sensibilización a Directivos y Referentes de Gestión sobre la Séptima Dimensión del MIPG realizada</v>
      </c>
      <c r="E173" s="501">
        <f>+'Rango indicadores'!Q91</f>
        <v>1</v>
      </c>
      <c r="F173" s="516">
        <f>'1.Informe Seguimiento POA 2022'!O92</f>
        <v>0</v>
      </c>
      <c r="G173" s="516">
        <f>'1.Informe Seguimiento POA 2022'!O92</f>
        <v>0</v>
      </c>
      <c r="H173" s="516">
        <f>'1.Informe Seguimiento POA 2022'!P92</f>
        <v>0</v>
      </c>
      <c r="I173" s="516">
        <f>'1.Informe Seguimiento POA 2022'!P92</f>
        <v>0</v>
      </c>
      <c r="J173" s="516">
        <f t="shared" si="342"/>
        <v>0</v>
      </c>
      <c r="K173" s="493" t="str">
        <f t="shared" si="360"/>
        <v>No programado</v>
      </c>
      <c r="L173" s="493" t="str">
        <f t="shared" si="361"/>
        <v>No programado</v>
      </c>
      <c r="M173" s="479">
        <f t="shared" si="362"/>
        <v>0</v>
      </c>
      <c r="N173" s="501">
        <f t="shared" si="363"/>
        <v>1</v>
      </c>
      <c r="O173" s="516">
        <f>+'1.Informe Seguimiento POA 2022'!Q92</f>
        <v>1</v>
      </c>
      <c r="P173" s="516">
        <f>+'1.Informe Seguimiento POA 2022'!O92+'1.Informe Seguimiento POA 2022'!Q92</f>
        <v>1</v>
      </c>
      <c r="Q173" s="516">
        <f>+'1.Informe Seguimiento POA 2022'!R92</f>
        <v>0</v>
      </c>
      <c r="R173" s="516">
        <f>+'1.Informe Seguimiento POA 2022'!P92+'1.Informe Seguimiento POA 2022'!R92</f>
        <v>0</v>
      </c>
      <c r="S173" s="516">
        <f t="shared" si="364"/>
        <v>0</v>
      </c>
      <c r="T173" s="493">
        <f t="shared" si="348"/>
        <v>0</v>
      </c>
      <c r="U173" s="493">
        <f t="shared" si="349"/>
        <v>0</v>
      </c>
      <c r="V173" s="479">
        <f t="shared" si="350"/>
        <v>0</v>
      </c>
      <c r="W173" s="501">
        <f t="shared" si="351"/>
        <v>1</v>
      </c>
      <c r="X173" s="516">
        <f>+'1.Informe Seguimiento POA 2022'!S92</f>
        <v>0</v>
      </c>
      <c r="Y173" s="516">
        <f>+'1.Informe Seguimiento POA 2022'!O92+'1.Informe Seguimiento POA 2022'!Q92+'1.Informe Seguimiento POA 2022'!S92</f>
        <v>1</v>
      </c>
      <c r="Z173" s="516">
        <f>+'1.Informe Seguimiento POA 2022'!T92</f>
        <v>0</v>
      </c>
      <c r="AA173" s="516">
        <f>+'1.Informe Seguimiento POA 2022'!R92+'1.Informe Seguimiento POA 2022'!T92+'1.Informe Seguimiento POA 2022'!P92</f>
        <v>0</v>
      </c>
      <c r="AB173" s="516">
        <f t="shared" si="365"/>
        <v>0</v>
      </c>
      <c r="AC173" s="493" t="str">
        <f t="shared" si="353"/>
        <v>No programado</v>
      </c>
      <c r="AD173" s="493">
        <f t="shared" si="354"/>
        <v>0</v>
      </c>
      <c r="AE173" s="479">
        <f t="shared" si="355"/>
        <v>0</v>
      </c>
      <c r="AF173" s="501">
        <f t="shared" si="356"/>
        <v>1</v>
      </c>
      <c r="AG173" s="516">
        <f>+'1.Informe Seguimiento POA 2022'!U92</f>
        <v>0</v>
      </c>
      <c r="AH173" s="516">
        <f>+'1.Informe Seguimiento POA 2022'!O92+'1.Informe Seguimiento POA 2022'!Q92+'1.Informe Seguimiento POA 2022'!S92+'1.Informe Seguimiento POA 2022'!U92</f>
        <v>1</v>
      </c>
      <c r="AI173" s="516">
        <f>+'1.Informe Seguimiento POA 2022'!V92</f>
        <v>0</v>
      </c>
      <c r="AJ173" s="516">
        <f>+'1.Informe Seguimiento POA 2022'!P92+'1.Informe Seguimiento POA 2022'!R92+'1.Informe Seguimiento POA 2022'!T92+'1.Informe Seguimiento POA 2022'!V92</f>
        <v>0</v>
      </c>
      <c r="AK173" s="490">
        <f t="shared" si="357"/>
        <v>0</v>
      </c>
      <c r="AL173" s="484" t="str">
        <f t="shared" si="358"/>
        <v>No programado</v>
      </c>
      <c r="AM173" s="484">
        <f t="shared" si="358"/>
        <v>0</v>
      </c>
      <c r="AN173" s="479">
        <f t="shared" si="359"/>
        <v>0</v>
      </c>
      <c r="AO173" s="483" t="str">
        <f>+'Rango indicadores'!H91</f>
        <v>Mayor o igual A:</v>
      </c>
      <c r="AP173" s="478">
        <f>+'Rango indicadores'!I91</f>
        <v>90</v>
      </c>
      <c r="AQ173" s="478" t="str">
        <f>+'Rango indicadores'!J91</f>
        <v>Desde (&gt;):</v>
      </c>
      <c r="AR173" s="478">
        <f>+'Rango indicadores'!K91</f>
        <v>69</v>
      </c>
      <c r="AS173" s="478" t="str">
        <f>+'Rango indicadores'!L91</f>
        <v>Hasta (&lt;):</v>
      </c>
      <c r="AT173" s="478">
        <f>+'Rango indicadores'!M91</f>
        <v>90</v>
      </c>
      <c r="AU173" s="478" t="str">
        <f>+'Rango indicadores'!N91</f>
        <v>Menor o Igual A:</v>
      </c>
      <c r="AV173" s="478">
        <f>+'Rango indicadores'!O91</f>
        <v>69</v>
      </c>
      <c r="AW173" s="582" t="s">
        <v>1212</v>
      </c>
      <c r="AX173" s="581"/>
      <c r="AY173" s="656"/>
      <c r="AZ173" s="581"/>
    </row>
    <row r="174" spans="2:52" ht="15.6">
      <c r="C174" s="1474" t="s">
        <v>873</v>
      </c>
      <c r="D174" s="1475"/>
      <c r="E174" s="1475"/>
      <c r="F174" s="1475"/>
      <c r="G174" s="1475"/>
      <c r="H174" s="1475"/>
      <c r="I174" s="1475"/>
      <c r="J174" s="1475"/>
      <c r="K174" s="481">
        <f>IFERROR(AVERAGE(K171:K173),0)</f>
        <v>1</v>
      </c>
      <c r="L174" s="481">
        <f>IFERROR(AVERAGE(L171:L173),0)</f>
        <v>1</v>
      </c>
      <c r="M174" s="481">
        <f>IFERROR(AVERAGE(M171:M173),0)</f>
        <v>0.11666666666666665</v>
      </c>
      <c r="N174" s="1085"/>
      <c r="O174" s="1085"/>
      <c r="P174" s="1085"/>
      <c r="Q174" s="1085"/>
      <c r="R174" s="1085"/>
      <c r="S174" s="1085"/>
      <c r="T174" s="481">
        <f>IFERROR(AVERAGE(T171:T173),0)</f>
        <v>0</v>
      </c>
      <c r="U174" s="481">
        <f>IFERROR(AVERAGE(U171:U173),0)</f>
        <v>0.35</v>
      </c>
      <c r="V174" s="481">
        <f>IFERROR(AVERAGE(V171:V173),0)</f>
        <v>0.11666666666666665</v>
      </c>
      <c r="W174" s="1085"/>
      <c r="X174" s="1085"/>
      <c r="Y174" s="1085"/>
      <c r="Z174" s="1085"/>
      <c r="AA174" s="1085"/>
      <c r="AB174" s="1085"/>
      <c r="AC174" s="481">
        <f>IFERROR(AVERAGE(AC171:AC173),0)</f>
        <v>0</v>
      </c>
      <c r="AD174" s="481">
        <f>IFERROR(AVERAGE(AD171:AD173),0)</f>
        <v>0.18617021276595741</v>
      </c>
      <c r="AE174" s="481">
        <f>IFERROR(AVERAGE(AE171:AE173),0)</f>
        <v>0.11666666666666665</v>
      </c>
      <c r="AF174" s="1085"/>
      <c r="AG174" s="1085"/>
      <c r="AH174" s="1085"/>
      <c r="AI174" s="1085"/>
      <c r="AJ174" s="1085"/>
      <c r="AK174" s="1086"/>
      <c r="AL174" s="481">
        <f>IFERROR(AVERAGE(AL171:AL173),0)</f>
        <v>0</v>
      </c>
      <c r="AM174" s="481">
        <f>IFERROR(AVERAGE(AM171:AM173),0)</f>
        <v>0.11666666666666665</v>
      </c>
      <c r="AN174" s="481">
        <f>IFERROR(AVERAGE(AN171:AN173),0)</f>
        <v>0.11666666666666665</v>
      </c>
      <c r="AO174" s="488"/>
      <c r="AP174" s="488"/>
      <c r="AQ174" s="488"/>
      <c r="AR174" s="488"/>
      <c r="AS174" s="488"/>
      <c r="AT174" s="488"/>
      <c r="AU174" s="488"/>
      <c r="AV174" s="488"/>
      <c r="AW174" s="583"/>
    </row>
    <row r="175" spans="2:52" s="471" customFormat="1">
      <c r="D175" s="473"/>
      <c r="AW175" s="473"/>
    </row>
    <row r="176" spans="2:52">
      <c r="E176" s="456"/>
      <c r="F176" s="456"/>
      <c r="G176" s="456"/>
      <c r="H176" s="456"/>
      <c r="I176" s="456"/>
      <c r="J176" s="456"/>
      <c r="K176" s="456"/>
      <c r="L176" s="456"/>
      <c r="M176" s="456"/>
      <c r="N176" s="456"/>
      <c r="O176" s="456"/>
      <c r="P176" s="456"/>
      <c r="Q176" s="456"/>
      <c r="R176" s="456"/>
      <c r="S176" s="456"/>
      <c r="T176" s="456"/>
      <c r="U176" s="456"/>
      <c r="V176" s="456"/>
      <c r="W176" s="456"/>
      <c r="X176" s="456"/>
      <c r="Y176" s="456"/>
      <c r="Z176" s="456"/>
      <c r="AA176" s="456"/>
      <c r="AB176" s="456"/>
      <c r="AC176" s="456"/>
      <c r="AD176" s="456"/>
      <c r="AE176" s="456"/>
      <c r="AF176" s="456"/>
    </row>
    <row r="177" spans="5:32"/>
    <row r="178" spans="5:32">
      <c r="E178" s="456"/>
      <c r="F178" s="456"/>
      <c r="G178" s="456"/>
      <c r="H178" s="456"/>
      <c r="I178" s="456"/>
      <c r="J178" s="456"/>
      <c r="K178" s="456"/>
      <c r="L178" s="456"/>
      <c r="M178" s="456"/>
      <c r="N178" s="456"/>
      <c r="O178" s="456"/>
      <c r="P178" s="456"/>
      <c r="Q178" s="456"/>
      <c r="R178" s="456"/>
      <c r="S178" s="456"/>
      <c r="T178" s="456"/>
      <c r="U178" s="456"/>
      <c r="V178" s="456"/>
      <c r="W178" s="456"/>
      <c r="X178" s="456"/>
      <c r="Y178" s="456"/>
      <c r="Z178" s="456"/>
      <c r="AA178" s="456"/>
      <c r="AB178" s="456"/>
      <c r="AC178" s="456"/>
      <c r="AD178" s="456"/>
      <c r="AE178" s="456"/>
      <c r="AF178" s="456"/>
    </row>
    <row r="179" spans="5:32">
      <c r="E179" s="456"/>
      <c r="F179" s="456"/>
      <c r="G179" s="456"/>
      <c r="H179" s="456"/>
      <c r="I179" s="456"/>
      <c r="J179" s="456"/>
      <c r="K179" s="456"/>
      <c r="L179" s="456"/>
      <c r="M179" s="456"/>
      <c r="N179" s="456"/>
      <c r="O179" s="456"/>
      <c r="P179" s="456"/>
      <c r="Q179" s="456"/>
      <c r="R179" s="456"/>
      <c r="S179" s="456"/>
      <c r="T179" s="456"/>
      <c r="U179" s="456"/>
      <c r="V179" s="456"/>
      <c r="W179" s="456"/>
      <c r="X179" s="456"/>
      <c r="Y179" s="456"/>
      <c r="Z179" s="456"/>
      <c r="AA179" s="456"/>
      <c r="AB179" s="456"/>
      <c r="AC179" s="456"/>
      <c r="AD179" s="456"/>
      <c r="AE179" s="456"/>
      <c r="AF179" s="456"/>
    </row>
    <row r="180" spans="5:32">
      <c r="E180" s="456"/>
      <c r="F180" s="456"/>
      <c r="G180" s="456"/>
      <c r="H180" s="456"/>
      <c r="I180" s="456"/>
      <c r="J180" s="456"/>
      <c r="K180" s="456"/>
      <c r="L180" s="456"/>
      <c r="M180" s="456"/>
      <c r="N180" s="456"/>
      <c r="O180" s="456"/>
      <c r="P180" s="456"/>
      <c r="Q180" s="456"/>
      <c r="R180" s="456"/>
      <c r="S180" s="456"/>
      <c r="T180" s="456"/>
      <c r="U180" s="456"/>
      <c r="V180" s="456"/>
      <c r="W180" s="456"/>
      <c r="X180" s="456"/>
      <c r="Y180" s="456"/>
      <c r="Z180" s="456"/>
      <c r="AA180" s="456"/>
      <c r="AB180" s="456"/>
      <c r="AC180" s="456"/>
      <c r="AD180" s="456"/>
      <c r="AE180" s="456"/>
      <c r="AF180" s="456"/>
    </row>
    <row r="181" spans="5:32">
      <c r="E181" s="456"/>
      <c r="F181" s="456"/>
      <c r="G181" s="456"/>
      <c r="H181" s="456"/>
      <c r="I181" s="456"/>
      <c r="J181" s="456"/>
      <c r="K181" s="456"/>
      <c r="L181" s="456"/>
      <c r="M181" s="456"/>
      <c r="N181" s="456"/>
      <c r="O181" s="456"/>
      <c r="P181" s="456"/>
      <c r="Q181" s="456"/>
      <c r="R181" s="456"/>
      <c r="S181" s="456"/>
      <c r="T181" s="456"/>
      <c r="U181" s="456"/>
      <c r="V181" s="456"/>
      <c r="W181" s="456"/>
      <c r="X181" s="456"/>
      <c r="Y181" s="456"/>
      <c r="Z181" s="456"/>
      <c r="AA181" s="456"/>
      <c r="AB181" s="456"/>
      <c r="AC181" s="456"/>
      <c r="AD181" s="456"/>
      <c r="AE181" s="456"/>
      <c r="AF181" s="456"/>
    </row>
    <row r="182" spans="5:32">
      <c r="E182" s="456"/>
      <c r="F182" s="456"/>
      <c r="G182" s="456"/>
      <c r="H182" s="456"/>
      <c r="I182" s="456"/>
      <c r="J182" s="456"/>
      <c r="K182" s="456"/>
      <c r="L182" s="456"/>
      <c r="M182" s="456"/>
      <c r="N182" s="456"/>
      <c r="O182" s="456"/>
      <c r="P182" s="456"/>
      <c r="Q182" s="456"/>
      <c r="R182" s="456"/>
      <c r="S182" s="456"/>
      <c r="T182" s="456"/>
      <c r="U182" s="456"/>
      <c r="V182" s="456"/>
      <c r="W182" s="456"/>
      <c r="X182" s="456"/>
      <c r="Y182" s="456"/>
      <c r="Z182" s="456"/>
      <c r="AA182" s="456"/>
      <c r="AB182" s="456"/>
      <c r="AC182" s="456"/>
      <c r="AD182" s="456"/>
      <c r="AE182" s="456"/>
      <c r="AF182" s="456"/>
    </row>
    <row r="183" spans="5:32">
      <c r="E183" s="456"/>
      <c r="F183" s="456"/>
      <c r="G183" s="456"/>
      <c r="H183" s="456"/>
      <c r="I183" s="456"/>
      <c r="J183" s="456"/>
      <c r="K183" s="456"/>
      <c r="L183" s="456"/>
      <c r="M183" s="456"/>
      <c r="N183" s="456"/>
      <c r="O183" s="456"/>
      <c r="P183" s="456"/>
      <c r="Q183" s="456"/>
      <c r="R183" s="456"/>
      <c r="S183" s="456"/>
      <c r="T183" s="456"/>
      <c r="U183" s="456"/>
      <c r="V183" s="456"/>
      <c r="W183" s="456"/>
      <c r="X183" s="456"/>
      <c r="Y183" s="456"/>
      <c r="Z183" s="456"/>
      <c r="AA183" s="456"/>
      <c r="AB183" s="456"/>
      <c r="AC183" s="456"/>
      <c r="AD183" s="456"/>
      <c r="AE183" s="456"/>
      <c r="AF183" s="456"/>
    </row>
    <row r="184" spans="5:32">
      <c r="E184" s="456"/>
      <c r="F184" s="456"/>
      <c r="G184" s="456"/>
      <c r="H184" s="456"/>
      <c r="I184" s="456"/>
      <c r="J184" s="456"/>
      <c r="K184" s="456"/>
      <c r="L184" s="456"/>
      <c r="M184" s="456"/>
      <c r="N184" s="456"/>
      <c r="O184" s="456"/>
      <c r="P184" s="456"/>
      <c r="Q184" s="456"/>
      <c r="R184" s="456"/>
      <c r="S184" s="456"/>
      <c r="T184" s="456"/>
      <c r="U184" s="456"/>
      <c r="V184" s="456"/>
      <c r="W184" s="456"/>
      <c r="X184" s="456"/>
      <c r="Y184" s="456"/>
      <c r="Z184" s="456"/>
      <c r="AA184" s="456"/>
      <c r="AB184" s="456"/>
      <c r="AC184" s="456"/>
      <c r="AD184" s="456"/>
      <c r="AE184" s="456"/>
      <c r="AF184" s="456"/>
    </row>
    <row r="185" spans="5:32"/>
    <row r="186" spans="5:32"/>
    <row r="187" spans="5:32"/>
    <row r="188" spans="5:32"/>
    <row r="189" spans="5:32"/>
    <row r="190" spans="5:32"/>
    <row r="191" spans="5:32"/>
    <row r="192" spans="5:3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sheetData>
  <sheetProtection algorithmName="SHA-512" hashValue="/isFGPE9KrzbdxPK53TJKlLaUJ7OYbUu3+C/qoa936YumlObjcJaTh/8qb9AL1xSYLSzHo3vysZ+b7HFRn3pFg==" saltValue="NHiT0CZBvIkbe/tMW3TDsQ==" spinCount="100000" sheet="1" objects="1" scenarios="1"/>
  <mergeCells count="518">
    <mergeCell ref="C122:J122"/>
    <mergeCell ref="C130:J130"/>
    <mergeCell ref="C139:J139"/>
    <mergeCell ref="C148:J148"/>
    <mergeCell ref="C158:J158"/>
    <mergeCell ref="C166:J166"/>
    <mergeCell ref="C174:J174"/>
    <mergeCell ref="C16:J16"/>
    <mergeCell ref="C25:J25"/>
    <mergeCell ref="C37:J37"/>
    <mergeCell ref="C44:J44"/>
    <mergeCell ref="C52:J52"/>
    <mergeCell ref="C77:J77"/>
    <mergeCell ref="C89:J89"/>
    <mergeCell ref="C102:J102"/>
    <mergeCell ref="C115:J115"/>
    <mergeCell ref="E18:M18"/>
    <mergeCell ref="E27:M27"/>
    <mergeCell ref="E46:M46"/>
    <mergeCell ref="E54:M54"/>
    <mergeCell ref="E79:M79"/>
    <mergeCell ref="E91:M91"/>
    <mergeCell ref="E104:M104"/>
    <mergeCell ref="E117:M117"/>
    <mergeCell ref="E39:M39"/>
    <mergeCell ref="N39:V39"/>
    <mergeCell ref="W39:AE39"/>
    <mergeCell ref="AF39:AN39"/>
    <mergeCell ref="E40:G40"/>
    <mergeCell ref="H40:H41"/>
    <mergeCell ref="I40:I41"/>
    <mergeCell ref="J40:J41"/>
    <mergeCell ref="K40:M40"/>
    <mergeCell ref="N40:P40"/>
    <mergeCell ref="Q40:Q41"/>
    <mergeCell ref="R40:R41"/>
    <mergeCell ref="S40:S41"/>
    <mergeCell ref="T40:V40"/>
    <mergeCell ref="W40:Y40"/>
    <mergeCell ref="Z40:Z41"/>
    <mergeCell ref="AA40:AA41"/>
    <mergeCell ref="AB40:AB41"/>
    <mergeCell ref="AC40:AE40"/>
    <mergeCell ref="AF40:AH40"/>
    <mergeCell ref="AC118:AE118"/>
    <mergeCell ref="AF118:AH118"/>
    <mergeCell ref="N117:V117"/>
    <mergeCell ref="W117:AE117"/>
    <mergeCell ref="AF117:AN117"/>
    <mergeCell ref="S125:S126"/>
    <mergeCell ref="T125:V125"/>
    <mergeCell ref="W125:Y125"/>
    <mergeCell ref="Z125:Z126"/>
    <mergeCell ref="AA125:AA126"/>
    <mergeCell ref="AB125:AB126"/>
    <mergeCell ref="AC125:AE125"/>
    <mergeCell ref="AF125:AH125"/>
    <mergeCell ref="AL118:AN118"/>
    <mergeCell ref="AF92:AH92"/>
    <mergeCell ref="N91:V91"/>
    <mergeCell ref="W91:AE91"/>
    <mergeCell ref="AF91:AN91"/>
    <mergeCell ref="S105:S106"/>
    <mergeCell ref="T105:V105"/>
    <mergeCell ref="W105:Y105"/>
    <mergeCell ref="Z105:Z106"/>
    <mergeCell ref="AA105:AA106"/>
    <mergeCell ref="AB105:AB106"/>
    <mergeCell ref="AC105:AE105"/>
    <mergeCell ref="AF105:AH105"/>
    <mergeCell ref="AK92:AK93"/>
    <mergeCell ref="AL92:AN92"/>
    <mergeCell ref="N104:V104"/>
    <mergeCell ref="W104:AE104"/>
    <mergeCell ref="AF104:AN104"/>
    <mergeCell ref="AC55:AE55"/>
    <mergeCell ref="AF55:AH55"/>
    <mergeCell ref="N54:V54"/>
    <mergeCell ref="W54:AE54"/>
    <mergeCell ref="AF54:AN54"/>
    <mergeCell ref="S80:S81"/>
    <mergeCell ref="T80:V80"/>
    <mergeCell ref="W80:Y80"/>
    <mergeCell ref="Z80:Z81"/>
    <mergeCell ref="AA80:AA81"/>
    <mergeCell ref="AB80:AB81"/>
    <mergeCell ref="AC80:AE80"/>
    <mergeCell ref="AF80:AH80"/>
    <mergeCell ref="AL55:AN55"/>
    <mergeCell ref="N79:V79"/>
    <mergeCell ref="W79:AE79"/>
    <mergeCell ref="AF79:AN79"/>
    <mergeCell ref="AC28:AE28"/>
    <mergeCell ref="AF28:AH28"/>
    <mergeCell ref="N27:V27"/>
    <mergeCell ref="W27:AE27"/>
    <mergeCell ref="AF27:AN27"/>
    <mergeCell ref="S47:S48"/>
    <mergeCell ref="T47:V47"/>
    <mergeCell ref="W47:Y47"/>
    <mergeCell ref="Z47:Z48"/>
    <mergeCell ref="AA47:AA48"/>
    <mergeCell ref="AB47:AB48"/>
    <mergeCell ref="AC47:AE47"/>
    <mergeCell ref="AF47:AH47"/>
    <mergeCell ref="AL28:AN28"/>
    <mergeCell ref="AL40:AN40"/>
    <mergeCell ref="N46:V46"/>
    <mergeCell ref="W46:AE46"/>
    <mergeCell ref="AF46:AN46"/>
    <mergeCell ref="D10:D11"/>
    <mergeCell ref="AL10:AN10"/>
    <mergeCell ref="C2:C6"/>
    <mergeCell ref="AO10:AV10"/>
    <mergeCell ref="AW10:AW11"/>
    <mergeCell ref="AO11:AP11"/>
    <mergeCell ref="AQ11:AT11"/>
    <mergeCell ref="AU11:AV11"/>
    <mergeCell ref="C10:C11"/>
    <mergeCell ref="AI10:AI11"/>
    <mergeCell ref="AJ10:AJ11"/>
    <mergeCell ref="AK10:AK11"/>
    <mergeCell ref="D2:AK2"/>
    <mergeCell ref="D3:AK3"/>
    <mergeCell ref="D5:AK5"/>
    <mergeCell ref="D6:AK6"/>
    <mergeCell ref="E10:G10"/>
    <mergeCell ref="N10:P10"/>
    <mergeCell ref="D4:AK4"/>
    <mergeCell ref="W10:Y10"/>
    <mergeCell ref="AF9:AN9"/>
    <mergeCell ref="K10:M10"/>
    <mergeCell ref="E9:M9"/>
    <mergeCell ref="N9:V9"/>
    <mergeCell ref="AO19:AV19"/>
    <mergeCell ref="AW19:AW20"/>
    <mergeCell ref="AO20:AP20"/>
    <mergeCell ref="AQ20:AT20"/>
    <mergeCell ref="AU20:AV20"/>
    <mergeCell ref="C19:C20"/>
    <mergeCell ref="AI19:AI20"/>
    <mergeCell ref="AJ19:AJ20"/>
    <mergeCell ref="AK19:AK20"/>
    <mergeCell ref="D19:D20"/>
    <mergeCell ref="S19:S20"/>
    <mergeCell ref="T19:V19"/>
    <mergeCell ref="W19:Y19"/>
    <mergeCell ref="Z19:Z20"/>
    <mergeCell ref="AA19:AA20"/>
    <mergeCell ref="AB19:AB20"/>
    <mergeCell ref="AC19:AE19"/>
    <mergeCell ref="AF19:AH19"/>
    <mergeCell ref="N18:V18"/>
    <mergeCell ref="W18:AE18"/>
    <mergeCell ref="AF18:AN18"/>
    <mergeCell ref="E19:G19"/>
    <mergeCell ref="H19:H20"/>
    <mergeCell ref="I19:I20"/>
    <mergeCell ref="J19:J20"/>
    <mergeCell ref="K19:M19"/>
    <mergeCell ref="N19:P19"/>
    <mergeCell ref="Q19:Q20"/>
    <mergeCell ref="R19:R20"/>
    <mergeCell ref="AL19:AN19"/>
    <mergeCell ref="AO28:AV28"/>
    <mergeCell ref="AW28:AW29"/>
    <mergeCell ref="AO29:AP29"/>
    <mergeCell ref="AQ29:AT29"/>
    <mergeCell ref="AU29:AV29"/>
    <mergeCell ref="C28:C29"/>
    <mergeCell ref="AI28:AI29"/>
    <mergeCell ref="AJ28:AJ29"/>
    <mergeCell ref="AK28:AK29"/>
    <mergeCell ref="D28:D29"/>
    <mergeCell ref="E28:G28"/>
    <mergeCell ref="H28:H29"/>
    <mergeCell ref="I28:I29"/>
    <mergeCell ref="J28:J29"/>
    <mergeCell ref="K28:M28"/>
    <mergeCell ref="N28:P28"/>
    <mergeCell ref="Q28:Q29"/>
    <mergeCell ref="R28:R29"/>
    <mergeCell ref="S28:S29"/>
    <mergeCell ref="T28:V28"/>
    <mergeCell ref="W28:Y28"/>
    <mergeCell ref="Z28:Z29"/>
    <mergeCell ref="AA28:AA29"/>
    <mergeCell ref="AB28:AB29"/>
    <mergeCell ref="AO40:AV40"/>
    <mergeCell ref="AW40:AW41"/>
    <mergeCell ref="AO41:AP41"/>
    <mergeCell ref="AQ41:AT41"/>
    <mergeCell ref="AU41:AV41"/>
    <mergeCell ref="C40:C41"/>
    <mergeCell ref="AI40:AI41"/>
    <mergeCell ref="AJ40:AJ41"/>
    <mergeCell ref="AK40:AK41"/>
    <mergeCell ref="D40:D41"/>
    <mergeCell ref="AO47:AV47"/>
    <mergeCell ref="AW47:AW48"/>
    <mergeCell ref="AO48:AP48"/>
    <mergeCell ref="AQ48:AT48"/>
    <mergeCell ref="AU48:AV48"/>
    <mergeCell ref="C47:C48"/>
    <mergeCell ref="AI47:AI48"/>
    <mergeCell ref="AJ47:AJ48"/>
    <mergeCell ref="AK47:AK48"/>
    <mergeCell ref="D47:D48"/>
    <mergeCell ref="E47:G47"/>
    <mergeCell ref="H47:H48"/>
    <mergeCell ref="I47:I48"/>
    <mergeCell ref="J47:J48"/>
    <mergeCell ref="K47:M47"/>
    <mergeCell ref="N47:P47"/>
    <mergeCell ref="Q47:Q48"/>
    <mergeCell ref="R47:R48"/>
    <mergeCell ref="AL47:AN47"/>
    <mergeCell ref="AO55:AV55"/>
    <mergeCell ref="AW55:AW56"/>
    <mergeCell ref="AO56:AP56"/>
    <mergeCell ref="AQ56:AT56"/>
    <mergeCell ref="AU56:AV56"/>
    <mergeCell ref="C55:C56"/>
    <mergeCell ref="AI55:AI56"/>
    <mergeCell ref="AJ55:AJ56"/>
    <mergeCell ref="AK55:AK56"/>
    <mergeCell ref="D55:D56"/>
    <mergeCell ref="E55:G55"/>
    <mergeCell ref="H55:H56"/>
    <mergeCell ref="I55:I56"/>
    <mergeCell ref="J55:J56"/>
    <mergeCell ref="K55:M55"/>
    <mergeCell ref="N55:P55"/>
    <mergeCell ref="Q55:Q56"/>
    <mergeCell ref="R55:R56"/>
    <mergeCell ref="S55:S56"/>
    <mergeCell ref="T55:V55"/>
    <mergeCell ref="W55:Y55"/>
    <mergeCell ref="Z55:Z56"/>
    <mergeCell ref="AA55:AA56"/>
    <mergeCell ref="AB55:AB56"/>
    <mergeCell ref="AO80:AV80"/>
    <mergeCell ref="AW80:AW81"/>
    <mergeCell ref="AO81:AP81"/>
    <mergeCell ref="AQ81:AT81"/>
    <mergeCell ref="AU81:AV81"/>
    <mergeCell ref="C80:C81"/>
    <mergeCell ref="AI80:AI81"/>
    <mergeCell ref="AJ80:AJ81"/>
    <mergeCell ref="D80:D81"/>
    <mergeCell ref="E80:G80"/>
    <mergeCell ref="H80:H81"/>
    <mergeCell ref="I80:I81"/>
    <mergeCell ref="J80:J81"/>
    <mergeCell ref="K80:M80"/>
    <mergeCell ref="N80:P80"/>
    <mergeCell ref="Q80:Q81"/>
    <mergeCell ref="R80:R81"/>
    <mergeCell ref="AK80:AK81"/>
    <mergeCell ref="AL80:AN80"/>
    <mergeCell ref="AO92:AV92"/>
    <mergeCell ref="AW92:AW93"/>
    <mergeCell ref="AO93:AP93"/>
    <mergeCell ref="AQ93:AT93"/>
    <mergeCell ref="AU93:AV93"/>
    <mergeCell ref="C92:C93"/>
    <mergeCell ref="AI92:AI93"/>
    <mergeCell ref="AJ92:AJ93"/>
    <mergeCell ref="D92:D93"/>
    <mergeCell ref="E92:G92"/>
    <mergeCell ref="H92:H93"/>
    <mergeCell ref="I92:I93"/>
    <mergeCell ref="J92:J93"/>
    <mergeCell ref="K92:M92"/>
    <mergeCell ref="N92:P92"/>
    <mergeCell ref="Q92:Q93"/>
    <mergeCell ref="R92:R93"/>
    <mergeCell ref="S92:S93"/>
    <mergeCell ref="T92:V92"/>
    <mergeCell ref="W92:Y92"/>
    <mergeCell ref="Z92:Z93"/>
    <mergeCell ref="AA92:AA93"/>
    <mergeCell ref="AB92:AB93"/>
    <mergeCell ref="AC92:AE92"/>
    <mergeCell ref="AO105:AV105"/>
    <mergeCell ref="AW105:AW106"/>
    <mergeCell ref="AO106:AP106"/>
    <mergeCell ref="AQ106:AT106"/>
    <mergeCell ref="AU106:AV106"/>
    <mergeCell ref="C105:C106"/>
    <mergeCell ref="AI105:AI106"/>
    <mergeCell ref="AJ105:AJ106"/>
    <mergeCell ref="AK105:AK106"/>
    <mergeCell ref="D105:D106"/>
    <mergeCell ref="E105:G105"/>
    <mergeCell ref="H105:H106"/>
    <mergeCell ref="I105:I106"/>
    <mergeCell ref="J105:J106"/>
    <mergeCell ref="K105:M105"/>
    <mergeCell ref="N105:P105"/>
    <mergeCell ref="Q105:Q106"/>
    <mergeCell ref="R105:R106"/>
    <mergeCell ref="AL105:AN105"/>
    <mergeCell ref="AO118:AV118"/>
    <mergeCell ref="AW118:AW119"/>
    <mergeCell ref="AO119:AP119"/>
    <mergeCell ref="AQ119:AT119"/>
    <mergeCell ref="AU119:AV119"/>
    <mergeCell ref="C118:C119"/>
    <mergeCell ref="AI118:AI119"/>
    <mergeCell ref="AJ118:AJ119"/>
    <mergeCell ref="AK118:AK119"/>
    <mergeCell ref="D118:D119"/>
    <mergeCell ref="E118:G118"/>
    <mergeCell ref="H118:H119"/>
    <mergeCell ref="I118:I119"/>
    <mergeCell ref="J118:J119"/>
    <mergeCell ref="K118:M118"/>
    <mergeCell ref="N118:P118"/>
    <mergeCell ref="Q118:Q119"/>
    <mergeCell ref="R118:R119"/>
    <mergeCell ref="S118:S119"/>
    <mergeCell ref="T118:V118"/>
    <mergeCell ref="W118:Y118"/>
    <mergeCell ref="Z118:Z119"/>
    <mergeCell ref="AA118:AA119"/>
    <mergeCell ref="AB118:AB119"/>
    <mergeCell ref="AO125:AV125"/>
    <mergeCell ref="AW125:AW126"/>
    <mergeCell ref="AO126:AP126"/>
    <mergeCell ref="AQ126:AT126"/>
    <mergeCell ref="AU126:AV126"/>
    <mergeCell ref="C125:C126"/>
    <mergeCell ref="AI125:AI126"/>
    <mergeCell ref="AJ125:AJ126"/>
    <mergeCell ref="AK125:AK126"/>
    <mergeCell ref="D125:D126"/>
    <mergeCell ref="E124:M124"/>
    <mergeCell ref="N124:V124"/>
    <mergeCell ref="W124:AE124"/>
    <mergeCell ref="AF124:AN124"/>
    <mergeCell ref="E125:G125"/>
    <mergeCell ref="H125:H126"/>
    <mergeCell ref="I125:I126"/>
    <mergeCell ref="J125:J126"/>
    <mergeCell ref="K125:M125"/>
    <mergeCell ref="N125:P125"/>
    <mergeCell ref="Q125:Q126"/>
    <mergeCell ref="R125:R126"/>
    <mergeCell ref="AL125:AN125"/>
    <mergeCell ref="AO133:AV133"/>
    <mergeCell ref="AW133:AW134"/>
    <mergeCell ref="AO134:AP134"/>
    <mergeCell ref="AQ134:AT134"/>
    <mergeCell ref="AU134:AV134"/>
    <mergeCell ref="C133:C134"/>
    <mergeCell ref="AI133:AI134"/>
    <mergeCell ref="AJ133:AJ134"/>
    <mergeCell ref="AK133:AK134"/>
    <mergeCell ref="D133:D134"/>
    <mergeCell ref="R133:R134"/>
    <mergeCell ref="S133:S134"/>
    <mergeCell ref="T133:V133"/>
    <mergeCell ref="W133:Y133"/>
    <mergeCell ref="Z133:Z134"/>
    <mergeCell ref="AA133:AA134"/>
    <mergeCell ref="AB133:AB134"/>
    <mergeCell ref="AC133:AE133"/>
    <mergeCell ref="AF133:AH133"/>
    <mergeCell ref="E132:M132"/>
    <mergeCell ref="N132:V132"/>
    <mergeCell ref="W132:AE132"/>
    <mergeCell ref="AF132:AN132"/>
    <mergeCell ref="E133:G133"/>
    <mergeCell ref="H133:H134"/>
    <mergeCell ref="I133:I134"/>
    <mergeCell ref="J133:J134"/>
    <mergeCell ref="K133:M133"/>
    <mergeCell ref="N133:P133"/>
    <mergeCell ref="Q133:Q134"/>
    <mergeCell ref="AL133:AN133"/>
    <mergeCell ref="AO142:AV142"/>
    <mergeCell ref="AW142:AW143"/>
    <mergeCell ref="AO143:AP143"/>
    <mergeCell ref="AQ143:AT143"/>
    <mergeCell ref="AU143:AV143"/>
    <mergeCell ref="C142:C143"/>
    <mergeCell ref="AI142:AI143"/>
    <mergeCell ref="AJ142:AJ143"/>
    <mergeCell ref="AK142:AK143"/>
    <mergeCell ref="D142:D143"/>
    <mergeCell ref="S142:S143"/>
    <mergeCell ref="T142:V142"/>
    <mergeCell ref="W142:Y142"/>
    <mergeCell ref="Z142:Z143"/>
    <mergeCell ref="AA142:AA143"/>
    <mergeCell ref="AB142:AB143"/>
    <mergeCell ref="AC142:AE142"/>
    <mergeCell ref="AF142:AH142"/>
    <mergeCell ref="E141:M141"/>
    <mergeCell ref="N141:V141"/>
    <mergeCell ref="W141:AE141"/>
    <mergeCell ref="AF141:AN141"/>
    <mergeCell ref="E142:G142"/>
    <mergeCell ref="H142:H143"/>
    <mergeCell ref="I142:I143"/>
    <mergeCell ref="J142:J143"/>
    <mergeCell ref="K142:M142"/>
    <mergeCell ref="N142:P142"/>
    <mergeCell ref="Q142:Q143"/>
    <mergeCell ref="R142:R143"/>
    <mergeCell ref="AL142:AN142"/>
    <mergeCell ref="AO151:AV151"/>
    <mergeCell ref="AW151:AW152"/>
    <mergeCell ref="AO152:AP152"/>
    <mergeCell ref="AQ152:AT152"/>
    <mergeCell ref="AU152:AV152"/>
    <mergeCell ref="C151:C152"/>
    <mergeCell ref="AI151:AI152"/>
    <mergeCell ref="AJ151:AJ152"/>
    <mergeCell ref="AK151:AK152"/>
    <mergeCell ref="D151:D152"/>
    <mergeCell ref="S151:S152"/>
    <mergeCell ref="T151:V151"/>
    <mergeCell ref="W151:Y151"/>
    <mergeCell ref="Z151:Z152"/>
    <mergeCell ref="AA151:AA152"/>
    <mergeCell ref="AB151:AB152"/>
    <mergeCell ref="AC151:AE151"/>
    <mergeCell ref="AF151:AH151"/>
    <mergeCell ref="E150:M150"/>
    <mergeCell ref="N150:V150"/>
    <mergeCell ref="W150:AE150"/>
    <mergeCell ref="AF150:AN150"/>
    <mergeCell ref="E151:G151"/>
    <mergeCell ref="H151:H152"/>
    <mergeCell ref="I151:I152"/>
    <mergeCell ref="J151:J152"/>
    <mergeCell ref="K151:M151"/>
    <mergeCell ref="N151:P151"/>
    <mergeCell ref="Q151:Q152"/>
    <mergeCell ref="R151:R152"/>
    <mergeCell ref="AL151:AN151"/>
    <mergeCell ref="AO161:AV161"/>
    <mergeCell ref="AW161:AW162"/>
    <mergeCell ref="AO162:AP162"/>
    <mergeCell ref="AQ162:AT162"/>
    <mergeCell ref="AU162:AV162"/>
    <mergeCell ref="C161:C162"/>
    <mergeCell ref="AI161:AI162"/>
    <mergeCell ref="AJ161:AJ162"/>
    <mergeCell ref="AK161:AK162"/>
    <mergeCell ref="D161:D162"/>
    <mergeCell ref="AF161:AH161"/>
    <mergeCell ref="R161:R162"/>
    <mergeCell ref="S161:S162"/>
    <mergeCell ref="T161:V161"/>
    <mergeCell ref="W161:Y161"/>
    <mergeCell ref="Z161:Z162"/>
    <mergeCell ref="AA161:AA162"/>
    <mergeCell ref="AB161:AB162"/>
    <mergeCell ref="AC161:AE161"/>
    <mergeCell ref="E160:M160"/>
    <mergeCell ref="N160:V160"/>
    <mergeCell ref="W160:AE160"/>
    <mergeCell ref="AF160:AN160"/>
    <mergeCell ref="E161:G161"/>
    <mergeCell ref="H161:H162"/>
    <mergeCell ref="I161:I162"/>
    <mergeCell ref="J161:J162"/>
    <mergeCell ref="K161:M161"/>
    <mergeCell ref="N161:P161"/>
    <mergeCell ref="Q161:Q162"/>
    <mergeCell ref="AL161:AN161"/>
    <mergeCell ref="AO169:AV169"/>
    <mergeCell ref="AW169:AW170"/>
    <mergeCell ref="AO170:AP170"/>
    <mergeCell ref="AQ170:AT170"/>
    <mergeCell ref="AU170:AV170"/>
    <mergeCell ref="C169:C170"/>
    <mergeCell ref="AI169:AI170"/>
    <mergeCell ref="AJ169:AJ170"/>
    <mergeCell ref="AK169:AK170"/>
    <mergeCell ref="D169:D170"/>
    <mergeCell ref="W169:Y169"/>
    <mergeCell ref="Z169:Z170"/>
    <mergeCell ref="AA169:AA170"/>
    <mergeCell ref="AB169:AB170"/>
    <mergeCell ref="AC169:AE169"/>
    <mergeCell ref="AF169:AH169"/>
    <mergeCell ref="Q169:Q170"/>
    <mergeCell ref="R169:R170"/>
    <mergeCell ref="S169:S170"/>
    <mergeCell ref="E168:M168"/>
    <mergeCell ref="N168:V168"/>
    <mergeCell ref="W168:AE168"/>
    <mergeCell ref="AF168:AN168"/>
    <mergeCell ref="E169:G169"/>
    <mergeCell ref="H169:H170"/>
    <mergeCell ref="I169:I170"/>
    <mergeCell ref="J169:J170"/>
    <mergeCell ref="K169:M169"/>
    <mergeCell ref="N169:P169"/>
    <mergeCell ref="T169:V169"/>
    <mergeCell ref="AL169:AN169"/>
    <mergeCell ref="AF10:AH10"/>
    <mergeCell ref="H10:H11"/>
    <mergeCell ref="I10:I11"/>
    <mergeCell ref="J10:J11"/>
    <mergeCell ref="Q10:Q11"/>
    <mergeCell ref="R10:R11"/>
    <mergeCell ref="S10:S11"/>
    <mergeCell ref="T10:V10"/>
    <mergeCell ref="W9:AE9"/>
    <mergeCell ref="Z10:Z11"/>
    <mergeCell ref="AA10:AA11"/>
    <mergeCell ref="AB10:AB11"/>
    <mergeCell ref="AC10:AE10"/>
  </mergeCells>
  <conditionalFormatting sqref="AL21:AM24">
    <cfRule type="cellIs" dxfId="933" priority="964" operator="equal">
      <formula>"No programado"</formula>
    </cfRule>
    <cfRule type="cellIs" dxfId="932" priority="1088" operator="lessThanOrEqual">
      <formula>0.6</formula>
    </cfRule>
    <cfRule type="cellIs" dxfId="931" priority="1089" operator="between">
      <formula>0.600000000001</formula>
      <formula>0.99999999999999</formula>
    </cfRule>
    <cfRule type="cellIs" dxfId="930" priority="1090" operator="equal">
      <formula>1</formula>
    </cfRule>
  </conditionalFormatting>
  <conditionalFormatting sqref="AL49:AM51">
    <cfRule type="cellIs" dxfId="929" priority="961" operator="equal">
      <formula>"No programado"</formula>
    </cfRule>
    <cfRule type="cellIs" dxfId="928" priority="1073" operator="between">
      <formula>0.7</formula>
      <formula>0.8999999999999</formula>
    </cfRule>
    <cfRule type="cellIs" dxfId="927" priority="1074" operator="lessThan">
      <formula>0.7</formula>
    </cfRule>
    <cfRule type="cellIs" dxfId="926" priority="1075" operator="between">
      <formula>0.90000000000001</formula>
      <formula>1</formula>
    </cfRule>
    <cfRule type="cellIs" dxfId="925" priority="1076" operator="greaterThan">
      <formula>1</formula>
    </cfRule>
  </conditionalFormatting>
  <conditionalFormatting sqref="AL13:AM13">
    <cfRule type="cellIs" dxfId="924" priority="1094" operator="between">
      <formula>0.95001</formula>
      <formula>1</formula>
    </cfRule>
  </conditionalFormatting>
  <conditionalFormatting sqref="AL42:AM43">
    <cfRule type="cellIs" dxfId="923" priority="962" operator="equal">
      <formula>"No programado"</formula>
    </cfRule>
    <cfRule type="cellIs" dxfId="922" priority="1077" operator="lessThan">
      <formula>0.75</formula>
    </cfRule>
    <cfRule type="cellIs" dxfId="921" priority="1078" operator="between">
      <formula>0.75</formula>
      <formula>0.899999999999</formula>
    </cfRule>
    <cfRule type="cellIs" dxfId="920" priority="1079" operator="between">
      <formula>0.90000000000001</formula>
      <formula>1</formula>
    </cfRule>
    <cfRule type="cellIs" dxfId="919" priority="1080" operator="greaterThan">
      <formula>1</formula>
    </cfRule>
  </conditionalFormatting>
  <conditionalFormatting sqref="AL12:AM15">
    <cfRule type="cellIs" dxfId="918" priority="1087" operator="equal">
      <formula>"No programado"</formula>
    </cfRule>
    <cfRule type="cellIs" dxfId="917" priority="1096" operator="greaterThan">
      <formula>1</formula>
    </cfRule>
  </conditionalFormatting>
  <conditionalFormatting sqref="AL12:AM13">
    <cfRule type="cellIs" dxfId="916" priority="971" operator="between">
      <formula>0.8</formula>
      <formula>0.95</formula>
    </cfRule>
    <cfRule type="cellIs" dxfId="915" priority="1093" operator="lessThan">
      <formula>0.8</formula>
    </cfRule>
  </conditionalFormatting>
  <conditionalFormatting sqref="AL14:AM14">
    <cfRule type="cellIs" dxfId="914" priority="969" operator="between">
      <formula>0.95</formula>
      <formula>1</formula>
    </cfRule>
    <cfRule type="cellIs" dxfId="913" priority="972" operator="lessThanOrEqual">
      <formula>0.85</formula>
    </cfRule>
    <cfRule type="cellIs" dxfId="912" priority="1095" operator="between">
      <formula>0.85000000000001</formula>
      <formula>0.94999999999</formula>
    </cfRule>
  </conditionalFormatting>
  <conditionalFormatting sqref="AL12:AM12">
    <cfRule type="cellIs" dxfId="911" priority="970" operator="between">
      <formula>0.9500000001</formula>
      <formula>1</formula>
    </cfRule>
  </conditionalFormatting>
  <conditionalFormatting sqref="AL15:AM15">
    <cfRule type="cellIs" dxfId="910" priority="966" operator="lessThanOrEqual">
      <formula>0.8</formula>
    </cfRule>
    <cfRule type="cellIs" dxfId="909" priority="967" operator="between">
      <formula>0.800000000001</formula>
      <formula>0.999999999999999</formula>
    </cfRule>
    <cfRule type="cellIs" dxfId="908" priority="968" operator="equal">
      <formula>1</formula>
    </cfRule>
  </conditionalFormatting>
  <conditionalFormatting sqref="AL21:AM24">
    <cfRule type="cellIs" dxfId="907" priority="1091" operator="greaterThan">
      <formula>1</formula>
    </cfRule>
  </conditionalFormatting>
  <conditionalFormatting sqref="AL30:AM36">
    <cfRule type="cellIs" dxfId="906" priority="963" operator="equal">
      <formula>"No programado"</formula>
    </cfRule>
    <cfRule type="cellIs" dxfId="905" priority="973" operator="lessThanOrEqual">
      <formula>0.85</formula>
    </cfRule>
    <cfRule type="cellIs" dxfId="904" priority="974" operator="between">
      <formula>0.850000000001</formula>
      <formula>0.899999999999</formula>
    </cfRule>
    <cfRule type="cellIs" dxfId="903" priority="975" operator="between">
      <formula>0.9</formula>
      <formula>1</formula>
    </cfRule>
    <cfRule type="cellIs" dxfId="902" priority="976" operator="greaterThan">
      <formula>1</formula>
    </cfRule>
  </conditionalFormatting>
  <conditionalFormatting sqref="AL171:AM173">
    <cfRule type="cellIs" dxfId="901" priority="1005" operator="equal">
      <formula>"No programado"</formula>
    </cfRule>
    <cfRule type="cellIs" dxfId="900" priority="1006" operator="between">
      <formula>0.690001</formula>
      <formula>0.899999</formula>
    </cfRule>
    <cfRule type="cellIs" dxfId="899" priority="1007" operator="lessThanOrEqual">
      <formula>0.69</formula>
    </cfRule>
    <cfRule type="cellIs" dxfId="898" priority="1008" operator="between">
      <formula>0.9</formula>
      <formula>1</formula>
    </cfRule>
  </conditionalFormatting>
  <conditionalFormatting sqref="AC21:AD24">
    <cfRule type="cellIs" dxfId="897" priority="833" operator="equal">
      <formula>"No programado"</formula>
    </cfRule>
    <cfRule type="cellIs" dxfId="896" priority="834" operator="lessThanOrEqual">
      <formula>0.6</formula>
    </cfRule>
    <cfRule type="cellIs" dxfId="895" priority="835" operator="between">
      <formula>0.600000000001</formula>
      <formula>0.99999999999999</formula>
    </cfRule>
    <cfRule type="cellIs" dxfId="894" priority="836" operator="equal">
      <formula>1</formula>
    </cfRule>
  </conditionalFormatting>
  <conditionalFormatting sqref="AC21:AD24">
    <cfRule type="cellIs" dxfId="893" priority="837" operator="greaterThan">
      <formula>1</formula>
    </cfRule>
  </conditionalFormatting>
  <conditionalFormatting sqref="T21:U24">
    <cfRule type="cellIs" dxfId="892" priority="828" operator="equal">
      <formula>"No programado"</formula>
    </cfRule>
    <cfRule type="cellIs" dxfId="891" priority="829" operator="lessThanOrEqual">
      <formula>0.6</formula>
    </cfRule>
    <cfRule type="cellIs" dxfId="890" priority="830" operator="between">
      <formula>0.600000000001</formula>
      <formula>0.99999999999999</formula>
    </cfRule>
    <cfRule type="cellIs" dxfId="889" priority="831" operator="equal">
      <formula>1</formula>
    </cfRule>
  </conditionalFormatting>
  <conditionalFormatting sqref="T21:U24">
    <cfRule type="cellIs" dxfId="888" priority="832" operator="greaterThan">
      <formula>1</formula>
    </cfRule>
  </conditionalFormatting>
  <conditionalFormatting sqref="T30:U36 AC30:AD36 K30:L36">
    <cfRule type="cellIs" dxfId="887" priority="813" operator="equal">
      <formula>"No programado"</formula>
    </cfRule>
    <cfRule type="cellIs" dxfId="886" priority="814" operator="lessThanOrEqual">
      <formula>0.85</formula>
    </cfRule>
    <cfRule type="cellIs" dxfId="885" priority="815" operator="between">
      <formula>0.850000000001</formula>
      <formula>0.899999999999</formula>
    </cfRule>
    <cfRule type="cellIs" dxfId="884" priority="816" operator="between">
      <formula>0.9</formula>
      <formula>1</formula>
    </cfRule>
    <cfRule type="cellIs" dxfId="883" priority="817" operator="greaterThan">
      <formula>1</formula>
    </cfRule>
  </conditionalFormatting>
  <conditionalFormatting sqref="AC42:AD43 T42:U43 K42:L43">
    <cfRule type="cellIs" dxfId="882" priority="808" operator="equal">
      <formula>"No programado"</formula>
    </cfRule>
    <cfRule type="cellIs" dxfId="881" priority="809" operator="lessThan">
      <formula>0.75</formula>
    </cfRule>
    <cfRule type="cellIs" dxfId="880" priority="810" operator="between">
      <formula>0.75</formula>
      <formula>0.899999999999</formula>
    </cfRule>
    <cfRule type="cellIs" dxfId="879" priority="811" operator="between">
      <formula>0.90000000000001</formula>
      <formula>1</formula>
    </cfRule>
    <cfRule type="cellIs" dxfId="878" priority="812" operator="greaterThan">
      <formula>1</formula>
    </cfRule>
  </conditionalFormatting>
  <conditionalFormatting sqref="K13:M13 M12:M15">
    <cfRule type="cellIs" dxfId="877" priority="805" operator="between">
      <formula>0.95001</formula>
      <formula>1</formula>
    </cfRule>
  </conditionalFormatting>
  <conditionalFormatting sqref="K12:M15">
    <cfRule type="cellIs" dxfId="876" priority="803" operator="equal">
      <formula>"No programado"</formula>
    </cfRule>
    <cfRule type="cellIs" dxfId="875" priority="807" operator="greaterThan">
      <formula>1</formula>
    </cfRule>
  </conditionalFormatting>
  <conditionalFormatting sqref="K12:M13 M13:M15">
    <cfRule type="cellIs" dxfId="874" priority="801" operator="between">
      <formula>0.8</formula>
      <formula>0.95</formula>
    </cfRule>
    <cfRule type="cellIs" dxfId="873" priority="804" operator="lessThan">
      <formula>0.8</formula>
    </cfRule>
  </conditionalFormatting>
  <conditionalFormatting sqref="K14:M14">
    <cfRule type="cellIs" dxfId="872" priority="799" operator="between">
      <formula>0.95</formula>
      <formula>1</formula>
    </cfRule>
    <cfRule type="cellIs" dxfId="871" priority="802" operator="lessThanOrEqual">
      <formula>0.85</formula>
    </cfRule>
    <cfRule type="cellIs" dxfId="870" priority="806" operator="between">
      <formula>0.85000000000001</formula>
      <formula>0.94999999999</formula>
    </cfRule>
  </conditionalFormatting>
  <conditionalFormatting sqref="K12:L12">
    <cfRule type="cellIs" dxfId="869" priority="800" operator="between">
      <formula>0.9500000001</formula>
      <formula>1</formula>
    </cfRule>
  </conditionalFormatting>
  <conditionalFormatting sqref="K15:M15">
    <cfRule type="cellIs" dxfId="868" priority="796" operator="lessThanOrEqual">
      <formula>0.8</formula>
    </cfRule>
    <cfRule type="cellIs" dxfId="867" priority="797" operator="between">
      <formula>0.800000000001</formula>
      <formula>0.999999999999999</formula>
    </cfRule>
    <cfRule type="cellIs" dxfId="866" priority="798" operator="equal">
      <formula>1</formula>
    </cfRule>
  </conditionalFormatting>
  <conditionalFormatting sqref="T13:U13">
    <cfRule type="cellIs" dxfId="865" priority="793" operator="between">
      <formula>0.95001</formula>
      <formula>1</formula>
    </cfRule>
  </conditionalFormatting>
  <conditionalFormatting sqref="T12:U15">
    <cfRule type="cellIs" dxfId="864" priority="791" operator="equal">
      <formula>"No programado"</formula>
    </cfRule>
    <cfRule type="cellIs" dxfId="863" priority="795" operator="greaterThan">
      <formula>1</formula>
    </cfRule>
  </conditionalFormatting>
  <conditionalFormatting sqref="T12:U13">
    <cfRule type="cellIs" dxfId="862" priority="789" operator="between">
      <formula>0.8</formula>
      <formula>0.95</formula>
    </cfRule>
    <cfRule type="cellIs" dxfId="861" priority="792" operator="lessThan">
      <formula>0.8</formula>
    </cfRule>
  </conditionalFormatting>
  <conditionalFormatting sqref="T14:U14">
    <cfRule type="cellIs" dxfId="860" priority="787" operator="between">
      <formula>0.95</formula>
      <formula>1</formula>
    </cfRule>
    <cfRule type="cellIs" dxfId="859" priority="790" operator="lessThanOrEqual">
      <formula>0.85</formula>
    </cfRule>
    <cfRule type="cellIs" dxfId="858" priority="794" operator="between">
      <formula>0.85000000000001</formula>
      <formula>0.94999999999</formula>
    </cfRule>
  </conditionalFormatting>
  <conditionalFormatting sqref="T12:U12">
    <cfRule type="cellIs" dxfId="857" priority="788" operator="between">
      <formula>0.9500000001</formula>
      <formula>1</formula>
    </cfRule>
  </conditionalFormatting>
  <conditionalFormatting sqref="T15:U15">
    <cfRule type="cellIs" dxfId="856" priority="784" operator="lessThanOrEqual">
      <formula>0.8</formula>
    </cfRule>
    <cfRule type="cellIs" dxfId="855" priority="785" operator="between">
      <formula>0.800000000001</formula>
      <formula>0.999999999999999</formula>
    </cfRule>
    <cfRule type="cellIs" dxfId="854" priority="786" operator="equal">
      <formula>1</formula>
    </cfRule>
  </conditionalFormatting>
  <conditionalFormatting sqref="AC13:AD13">
    <cfRule type="cellIs" dxfId="853" priority="781" operator="between">
      <formula>0.95001</formula>
      <formula>1</formula>
    </cfRule>
  </conditionalFormatting>
  <conditionalFormatting sqref="AC12:AD15">
    <cfRule type="cellIs" dxfId="852" priority="779" operator="equal">
      <formula>"No programado"</formula>
    </cfRule>
    <cfRule type="cellIs" dxfId="851" priority="783" operator="greaterThan">
      <formula>1</formula>
    </cfRule>
  </conditionalFormatting>
  <conditionalFormatting sqref="AC12:AD13">
    <cfRule type="cellIs" dxfId="850" priority="777" operator="between">
      <formula>0.8</formula>
      <formula>0.95</formula>
    </cfRule>
    <cfRule type="cellIs" dxfId="849" priority="780" operator="lessThan">
      <formula>0.8</formula>
    </cfRule>
  </conditionalFormatting>
  <conditionalFormatting sqref="AC14:AD14">
    <cfRule type="cellIs" dxfId="848" priority="775" operator="between">
      <formula>0.95</formula>
      <formula>1</formula>
    </cfRule>
    <cfRule type="cellIs" dxfId="847" priority="778" operator="lessThanOrEqual">
      <formula>0.85</formula>
    </cfRule>
    <cfRule type="cellIs" dxfId="846" priority="782" operator="between">
      <formula>0.85000000000001</formula>
      <formula>0.94999999999</formula>
    </cfRule>
  </conditionalFormatting>
  <conditionalFormatting sqref="AC12:AD12">
    <cfRule type="cellIs" dxfId="845" priority="776" operator="between">
      <formula>0.9500000001</formula>
      <formula>1</formula>
    </cfRule>
  </conditionalFormatting>
  <conditionalFormatting sqref="AC15:AD15">
    <cfRule type="cellIs" dxfId="844" priority="772" operator="lessThanOrEqual">
      <formula>0.8</formula>
    </cfRule>
    <cfRule type="cellIs" dxfId="843" priority="773" operator="between">
      <formula>0.800000000001</formula>
      <formula>0.999999999999999</formula>
    </cfRule>
    <cfRule type="cellIs" dxfId="842" priority="774" operator="equal">
      <formula>1</formula>
    </cfRule>
  </conditionalFormatting>
  <conditionalFormatting sqref="K21:L24">
    <cfRule type="cellIs" dxfId="841" priority="767" operator="equal">
      <formula>"No programado"</formula>
    </cfRule>
    <cfRule type="cellIs" dxfId="840" priority="768" operator="lessThanOrEqual">
      <formula>0.6</formula>
    </cfRule>
    <cfRule type="cellIs" dxfId="839" priority="769" operator="between">
      <formula>0.600000000001</formula>
      <formula>0.99999999999999</formula>
    </cfRule>
    <cfRule type="cellIs" dxfId="838" priority="770" operator="equal">
      <formula>1</formula>
    </cfRule>
  </conditionalFormatting>
  <conditionalFormatting sqref="K21:L24">
    <cfRule type="cellIs" dxfId="837" priority="771" operator="greaterThan">
      <formula>1</formula>
    </cfRule>
  </conditionalFormatting>
  <conditionalFormatting sqref="AC49:AD51">
    <cfRule type="cellIs" dxfId="836" priority="762" operator="equal">
      <formula>"No programado"</formula>
    </cfRule>
    <cfRule type="cellIs" dxfId="835" priority="763" operator="between">
      <formula>0.7</formula>
      <formula>0.8999999999999</formula>
    </cfRule>
    <cfRule type="cellIs" dxfId="834" priority="764" operator="lessThan">
      <formula>0.7</formula>
    </cfRule>
    <cfRule type="cellIs" dxfId="833" priority="765" operator="between">
      <formula>0.90000000000001</formula>
      <formula>1</formula>
    </cfRule>
    <cfRule type="cellIs" dxfId="832" priority="766" operator="greaterThan">
      <formula>1</formula>
    </cfRule>
  </conditionalFormatting>
  <conditionalFormatting sqref="T49:U51">
    <cfRule type="cellIs" dxfId="831" priority="757" operator="equal">
      <formula>"No programado"</formula>
    </cfRule>
    <cfRule type="cellIs" dxfId="830" priority="758" operator="between">
      <formula>0.7</formula>
      <formula>0.8999999999999</formula>
    </cfRule>
    <cfRule type="cellIs" dxfId="829" priority="759" operator="lessThan">
      <formula>0.7</formula>
    </cfRule>
    <cfRule type="cellIs" dxfId="828" priority="760" operator="between">
      <formula>0.90000000000001</formula>
      <formula>1</formula>
    </cfRule>
    <cfRule type="cellIs" dxfId="827" priority="761" operator="greaterThan">
      <formula>1</formula>
    </cfRule>
  </conditionalFormatting>
  <conditionalFormatting sqref="K49:L51">
    <cfRule type="cellIs" dxfId="826" priority="752" operator="equal">
      <formula>"No programado"</formula>
    </cfRule>
    <cfRule type="cellIs" dxfId="825" priority="753" operator="between">
      <formula>0.7</formula>
      <formula>0.8999999999999</formula>
    </cfRule>
    <cfRule type="cellIs" dxfId="824" priority="754" operator="lessThan">
      <formula>0.7</formula>
    </cfRule>
    <cfRule type="cellIs" dxfId="823" priority="755" operator="between">
      <formula>0.90000000000001</formula>
      <formula>1</formula>
    </cfRule>
    <cfRule type="cellIs" dxfId="822" priority="756" operator="greaterThan">
      <formula>1</formula>
    </cfRule>
  </conditionalFormatting>
  <conditionalFormatting sqref="L69 K70:L76 K57:L68">
    <cfRule type="cellIs" dxfId="821" priority="742" operator="equal">
      <formula>"No programado"</formula>
    </cfRule>
    <cfRule type="cellIs" dxfId="820" priority="745" operator="greaterThan">
      <formula>1</formula>
    </cfRule>
  </conditionalFormatting>
  <conditionalFormatting sqref="K59:L59">
    <cfRule type="cellIs" dxfId="819" priority="747" operator="between">
      <formula>0.7</formula>
      <formula>0.8</formula>
    </cfRule>
    <cfRule type="cellIs" dxfId="818" priority="749" operator="lessThan">
      <formula>0.7</formula>
    </cfRule>
    <cfRule type="cellIs" dxfId="817" priority="750" operator="between">
      <formula>0.80000000000001</formula>
      <formula>1</formula>
    </cfRule>
  </conditionalFormatting>
  <conditionalFormatting sqref="K63:L67">
    <cfRule type="cellIs" dxfId="816" priority="746" operator="between">
      <formula>0.95</formula>
      <formula>1</formula>
    </cfRule>
    <cfRule type="cellIs" dxfId="815" priority="748" operator="between">
      <formula>0.90000000001</formula>
      <formula>0.94999999999</formula>
    </cfRule>
    <cfRule type="cellIs" dxfId="814" priority="751" operator="lessThanOrEqual">
      <formula>90</formula>
    </cfRule>
  </conditionalFormatting>
  <conditionalFormatting sqref="K68:L68 L69 K70:L76">
    <cfRule type="cellIs" dxfId="813" priority="741" operator="between">
      <formula>0.8</formula>
      <formula>0.85</formula>
    </cfRule>
    <cfRule type="cellIs" dxfId="812" priority="743" operator="lessThan">
      <formula>0.8</formula>
    </cfRule>
    <cfRule type="cellIs" dxfId="811" priority="744" operator="between">
      <formula>0.850000000001</formula>
      <formula>1</formula>
    </cfRule>
  </conditionalFormatting>
  <conditionalFormatting sqref="K58:L58 K60:L62">
    <cfRule type="cellIs" dxfId="810" priority="738" operator="lessThan">
      <formula>0.8</formula>
    </cfRule>
    <cfRule type="cellIs" dxfId="809" priority="739" operator="between">
      <formula>0.8</formula>
      <formula>0.85</formula>
    </cfRule>
    <cfRule type="cellIs" dxfId="808" priority="740" operator="between">
      <formula>0.85000000001</formula>
      <formula>1</formula>
    </cfRule>
  </conditionalFormatting>
  <conditionalFormatting sqref="K57:L57">
    <cfRule type="cellIs" dxfId="807" priority="735" operator="between">
      <formula>0.8000000001</formula>
      <formula>0.84999999999999</formula>
    </cfRule>
    <cfRule type="cellIs" dxfId="806" priority="736" operator="between">
      <formula>0.850000001</formula>
      <formula>1</formula>
    </cfRule>
    <cfRule type="cellIs" dxfId="805" priority="737" operator="lessThan">
      <formula>0.8</formula>
    </cfRule>
  </conditionalFormatting>
  <conditionalFormatting sqref="K69">
    <cfRule type="cellIs" dxfId="804" priority="731" operator="equal">
      <formula>"No programado"</formula>
    </cfRule>
    <cfRule type="cellIs" dxfId="803" priority="734" operator="greaterThan">
      <formula>1</formula>
    </cfRule>
  </conditionalFormatting>
  <conditionalFormatting sqref="K69">
    <cfRule type="cellIs" dxfId="802" priority="730" operator="between">
      <formula>0.8</formula>
      <formula>0.85</formula>
    </cfRule>
    <cfRule type="cellIs" dxfId="801" priority="732" operator="lessThan">
      <formula>0.8</formula>
    </cfRule>
    <cfRule type="cellIs" dxfId="800" priority="733" operator="between">
      <formula>0.850000000001</formula>
      <formula>1</formula>
    </cfRule>
  </conditionalFormatting>
  <conditionalFormatting sqref="V12:V15">
    <cfRule type="cellIs" dxfId="799" priority="727" operator="between">
      <formula>0.95001</formula>
      <formula>1</formula>
    </cfRule>
  </conditionalFormatting>
  <conditionalFormatting sqref="V12:V15">
    <cfRule type="cellIs" dxfId="798" priority="725" operator="equal">
      <formula>"No programado"</formula>
    </cfRule>
    <cfRule type="cellIs" dxfId="797" priority="729" operator="greaterThan">
      <formula>1</formula>
    </cfRule>
  </conditionalFormatting>
  <conditionalFormatting sqref="V12:V15">
    <cfRule type="cellIs" dxfId="796" priority="723" operator="between">
      <formula>0.8</formula>
      <formula>0.95</formula>
    </cfRule>
    <cfRule type="cellIs" dxfId="795" priority="726" operator="lessThan">
      <formula>0.8</formula>
    </cfRule>
  </conditionalFormatting>
  <conditionalFormatting sqref="V14">
    <cfRule type="cellIs" dxfId="794" priority="722" operator="between">
      <formula>0.95</formula>
      <formula>1</formula>
    </cfRule>
    <cfRule type="cellIs" dxfId="793" priority="724" operator="lessThanOrEqual">
      <formula>0.85</formula>
    </cfRule>
    <cfRule type="cellIs" dxfId="792" priority="728" operator="between">
      <formula>0.85000000000001</formula>
      <formula>0.94999999999</formula>
    </cfRule>
  </conditionalFormatting>
  <conditionalFormatting sqref="V15">
    <cfRule type="cellIs" dxfId="791" priority="719" operator="lessThanOrEqual">
      <formula>0.8</formula>
    </cfRule>
    <cfRule type="cellIs" dxfId="790" priority="720" operator="between">
      <formula>0.800000000001</formula>
      <formula>0.999999999999999</formula>
    </cfRule>
    <cfRule type="cellIs" dxfId="789" priority="721" operator="equal">
      <formula>1</formula>
    </cfRule>
  </conditionalFormatting>
  <conditionalFormatting sqref="AE12:AE15">
    <cfRule type="cellIs" dxfId="788" priority="716" operator="between">
      <formula>0.95001</formula>
      <formula>1</formula>
    </cfRule>
  </conditionalFormatting>
  <conditionalFormatting sqref="AE12:AE15">
    <cfRule type="cellIs" dxfId="787" priority="714" operator="equal">
      <formula>"No programado"</formula>
    </cfRule>
    <cfRule type="cellIs" dxfId="786" priority="718" operator="greaterThan">
      <formula>1</formula>
    </cfRule>
  </conditionalFormatting>
  <conditionalFormatting sqref="AE12:AE15">
    <cfRule type="cellIs" dxfId="785" priority="712" operator="between">
      <formula>0.8</formula>
      <formula>0.95</formula>
    </cfRule>
    <cfRule type="cellIs" dxfId="784" priority="715" operator="lessThan">
      <formula>0.8</formula>
    </cfRule>
  </conditionalFormatting>
  <conditionalFormatting sqref="AE14">
    <cfRule type="cellIs" dxfId="783" priority="711" operator="between">
      <formula>0.95</formula>
      <formula>1</formula>
    </cfRule>
    <cfRule type="cellIs" dxfId="782" priority="713" operator="lessThanOrEqual">
      <formula>0.85</formula>
    </cfRule>
    <cfRule type="cellIs" dxfId="781" priority="717" operator="between">
      <formula>0.85000000000001</formula>
      <formula>0.94999999999</formula>
    </cfRule>
  </conditionalFormatting>
  <conditionalFormatting sqref="AE15">
    <cfRule type="cellIs" dxfId="780" priority="708" operator="lessThanOrEqual">
      <formula>0.8</formula>
    </cfRule>
    <cfRule type="cellIs" dxfId="779" priority="709" operator="between">
      <formula>0.800000000001</formula>
      <formula>0.999999999999999</formula>
    </cfRule>
    <cfRule type="cellIs" dxfId="778" priority="710" operator="equal">
      <formula>1</formula>
    </cfRule>
  </conditionalFormatting>
  <conditionalFormatting sqref="AN12:AN15">
    <cfRule type="cellIs" dxfId="777" priority="705" operator="between">
      <formula>0.95001</formula>
      <formula>1</formula>
    </cfRule>
  </conditionalFormatting>
  <conditionalFormatting sqref="AN12:AN15">
    <cfRule type="cellIs" dxfId="776" priority="703" operator="equal">
      <formula>"No programado"</formula>
    </cfRule>
    <cfRule type="cellIs" dxfId="775" priority="707" operator="greaterThan">
      <formula>1</formula>
    </cfRule>
  </conditionalFormatting>
  <conditionalFormatting sqref="AN12:AN15">
    <cfRule type="cellIs" dxfId="774" priority="701" operator="between">
      <formula>0.8</formula>
      <formula>0.95</formula>
    </cfRule>
    <cfRule type="cellIs" dxfId="773" priority="704" operator="lessThan">
      <formula>0.8</formula>
    </cfRule>
  </conditionalFormatting>
  <conditionalFormatting sqref="AN14">
    <cfRule type="cellIs" dxfId="772" priority="700" operator="between">
      <formula>0.95</formula>
      <formula>1</formula>
    </cfRule>
    <cfRule type="cellIs" dxfId="771" priority="702" operator="lessThanOrEqual">
      <formula>0.85</formula>
    </cfRule>
    <cfRule type="cellIs" dxfId="770" priority="706" operator="between">
      <formula>0.85000000000001</formula>
      <formula>0.94999999999</formula>
    </cfRule>
  </conditionalFormatting>
  <conditionalFormatting sqref="AN15">
    <cfRule type="cellIs" dxfId="769" priority="697" operator="lessThanOrEqual">
      <formula>0.8</formula>
    </cfRule>
    <cfRule type="cellIs" dxfId="768" priority="698" operator="between">
      <formula>0.800000000001</formula>
      <formula>0.999999999999999</formula>
    </cfRule>
    <cfRule type="cellIs" dxfId="767" priority="699" operator="equal">
      <formula>1</formula>
    </cfRule>
  </conditionalFormatting>
  <conditionalFormatting sqref="M21:M24">
    <cfRule type="cellIs" dxfId="766" priority="695" operator="between">
      <formula>0.95001</formula>
      <formula>1</formula>
    </cfRule>
  </conditionalFormatting>
  <conditionalFormatting sqref="M21:M24">
    <cfRule type="cellIs" dxfId="765" priority="693" operator="equal">
      <formula>"No programado"</formula>
    </cfRule>
    <cfRule type="cellIs" dxfId="764" priority="696" operator="greaterThan">
      <formula>1</formula>
    </cfRule>
  </conditionalFormatting>
  <conditionalFormatting sqref="M21:M24">
    <cfRule type="cellIs" dxfId="763" priority="692" operator="between">
      <formula>0.8</formula>
      <formula>0.95</formula>
    </cfRule>
    <cfRule type="cellIs" dxfId="762" priority="694" operator="lessThan">
      <formula>0.8</formula>
    </cfRule>
  </conditionalFormatting>
  <conditionalFormatting sqref="M21:M24">
    <cfRule type="cellIs" dxfId="761" priority="689" operator="lessThanOrEqual">
      <formula>0.8</formula>
    </cfRule>
    <cfRule type="cellIs" dxfId="760" priority="690" operator="between">
      <formula>0.800000000001</formula>
      <formula>0.999999999999999</formula>
    </cfRule>
    <cfRule type="cellIs" dxfId="759" priority="691" operator="equal">
      <formula>1</formula>
    </cfRule>
  </conditionalFormatting>
  <conditionalFormatting sqref="V21:V24">
    <cfRule type="cellIs" dxfId="758" priority="687" operator="between">
      <formula>0.95001</formula>
      <formula>1</formula>
    </cfRule>
  </conditionalFormatting>
  <conditionalFormatting sqref="V21:V24">
    <cfRule type="cellIs" dxfId="757" priority="685" operator="equal">
      <formula>"No programado"</formula>
    </cfRule>
    <cfRule type="cellIs" dxfId="756" priority="688" operator="greaterThan">
      <formula>1</formula>
    </cfRule>
  </conditionalFormatting>
  <conditionalFormatting sqref="V21:V24">
    <cfRule type="cellIs" dxfId="755" priority="684" operator="between">
      <formula>0.8</formula>
      <formula>0.95</formula>
    </cfRule>
    <cfRule type="cellIs" dxfId="754" priority="686" operator="lessThan">
      <formula>0.8</formula>
    </cfRule>
  </conditionalFormatting>
  <conditionalFormatting sqref="V21:V24">
    <cfRule type="cellIs" dxfId="753" priority="681" operator="lessThanOrEqual">
      <formula>0.8</formula>
    </cfRule>
    <cfRule type="cellIs" dxfId="752" priority="682" operator="between">
      <formula>0.800000000001</formula>
      <formula>0.999999999999999</formula>
    </cfRule>
    <cfRule type="cellIs" dxfId="751" priority="683" operator="equal">
      <formula>1</formula>
    </cfRule>
  </conditionalFormatting>
  <conditionalFormatting sqref="AE21:AE24">
    <cfRule type="cellIs" dxfId="750" priority="679" operator="between">
      <formula>0.95001</formula>
      <formula>1</formula>
    </cfRule>
  </conditionalFormatting>
  <conditionalFormatting sqref="AE21:AE24">
    <cfRule type="cellIs" dxfId="749" priority="677" operator="equal">
      <formula>"No programado"</formula>
    </cfRule>
    <cfRule type="cellIs" dxfId="748" priority="680" operator="greaterThan">
      <formula>1</formula>
    </cfRule>
  </conditionalFormatting>
  <conditionalFormatting sqref="AE21:AE24">
    <cfRule type="cellIs" dxfId="747" priority="676" operator="between">
      <formula>0.8</formula>
      <formula>0.95</formula>
    </cfRule>
    <cfRule type="cellIs" dxfId="746" priority="678" operator="lessThan">
      <formula>0.8</formula>
    </cfRule>
  </conditionalFormatting>
  <conditionalFormatting sqref="AE21:AE24">
    <cfRule type="cellIs" dxfId="745" priority="673" operator="lessThanOrEqual">
      <formula>0.8</formula>
    </cfRule>
    <cfRule type="cellIs" dxfId="744" priority="674" operator="between">
      <formula>0.800000000001</formula>
      <formula>0.999999999999999</formula>
    </cfRule>
    <cfRule type="cellIs" dxfId="743" priority="675" operator="equal">
      <formula>1</formula>
    </cfRule>
  </conditionalFormatting>
  <conditionalFormatting sqref="AN21:AN24">
    <cfRule type="cellIs" dxfId="742" priority="671" operator="between">
      <formula>0.95001</formula>
      <formula>1</formula>
    </cfRule>
  </conditionalFormatting>
  <conditionalFormatting sqref="AN21:AN24">
    <cfRule type="cellIs" dxfId="741" priority="669" operator="equal">
      <formula>"No programado"</formula>
    </cfRule>
    <cfRule type="cellIs" dxfId="740" priority="672" operator="greaterThan">
      <formula>1</formula>
    </cfRule>
  </conditionalFormatting>
  <conditionalFormatting sqref="AN21:AN24">
    <cfRule type="cellIs" dxfId="739" priority="668" operator="between">
      <formula>0.8</formula>
      <formula>0.95</formula>
    </cfRule>
    <cfRule type="cellIs" dxfId="738" priority="670" operator="lessThan">
      <formula>0.8</formula>
    </cfRule>
  </conditionalFormatting>
  <conditionalFormatting sqref="AN21:AN24">
    <cfRule type="cellIs" dxfId="737" priority="665" operator="lessThanOrEqual">
      <formula>0.8</formula>
    </cfRule>
    <cfRule type="cellIs" dxfId="736" priority="666" operator="between">
      <formula>0.800000000001</formula>
      <formula>0.999999999999999</formula>
    </cfRule>
    <cfRule type="cellIs" dxfId="735" priority="667" operator="equal">
      <formula>1</formula>
    </cfRule>
  </conditionalFormatting>
  <conditionalFormatting sqref="M30:M36">
    <cfRule type="cellIs" dxfId="734" priority="663" operator="between">
      <formula>0.95001</formula>
      <formula>1</formula>
    </cfRule>
  </conditionalFormatting>
  <conditionalFormatting sqref="M30:M36">
    <cfRule type="cellIs" dxfId="733" priority="661" operator="equal">
      <formula>"No programado"</formula>
    </cfRule>
    <cfRule type="cellIs" dxfId="732" priority="664" operator="greaterThan">
      <formula>1</formula>
    </cfRule>
  </conditionalFormatting>
  <conditionalFormatting sqref="M30:M36">
    <cfRule type="cellIs" dxfId="731" priority="660" operator="between">
      <formula>0.8</formula>
      <formula>0.95</formula>
    </cfRule>
    <cfRule type="cellIs" dxfId="730" priority="662" operator="lessThan">
      <formula>0.8</formula>
    </cfRule>
  </conditionalFormatting>
  <conditionalFormatting sqref="V30:V36">
    <cfRule type="cellIs" dxfId="729" priority="658" operator="between">
      <formula>0.95001</formula>
      <formula>1</formula>
    </cfRule>
  </conditionalFormatting>
  <conditionalFormatting sqref="V30:V36">
    <cfRule type="cellIs" dxfId="728" priority="656" operator="equal">
      <formula>"No programado"</formula>
    </cfRule>
    <cfRule type="cellIs" dxfId="727" priority="659" operator="greaterThan">
      <formula>1</formula>
    </cfRule>
  </conditionalFormatting>
  <conditionalFormatting sqref="V30:V36">
    <cfRule type="cellIs" dxfId="726" priority="655" operator="between">
      <formula>0.8</formula>
      <formula>0.95</formula>
    </cfRule>
    <cfRule type="cellIs" dxfId="725" priority="657" operator="lessThan">
      <formula>0.8</formula>
    </cfRule>
  </conditionalFormatting>
  <conditionalFormatting sqref="AE30:AE36">
    <cfRule type="cellIs" dxfId="724" priority="653" operator="between">
      <formula>0.95001</formula>
      <formula>1</formula>
    </cfRule>
  </conditionalFormatting>
  <conditionalFormatting sqref="AE30:AE36">
    <cfRule type="cellIs" dxfId="723" priority="651" operator="equal">
      <formula>"No programado"</formula>
    </cfRule>
    <cfRule type="cellIs" dxfId="722" priority="654" operator="greaterThan">
      <formula>1</formula>
    </cfRule>
  </conditionalFormatting>
  <conditionalFormatting sqref="AE30:AE36">
    <cfRule type="cellIs" dxfId="721" priority="650" operator="between">
      <formula>0.8</formula>
      <formula>0.95</formula>
    </cfRule>
    <cfRule type="cellIs" dxfId="720" priority="652" operator="lessThan">
      <formula>0.8</formula>
    </cfRule>
  </conditionalFormatting>
  <conditionalFormatting sqref="AN30:AN36">
    <cfRule type="cellIs" dxfId="719" priority="648" operator="between">
      <formula>0.95001</formula>
      <formula>1</formula>
    </cfRule>
  </conditionalFormatting>
  <conditionalFormatting sqref="AN30:AN36">
    <cfRule type="cellIs" dxfId="718" priority="646" operator="equal">
      <formula>"No programado"</formula>
    </cfRule>
    <cfRule type="cellIs" dxfId="717" priority="649" operator="greaterThan">
      <formula>1</formula>
    </cfRule>
  </conditionalFormatting>
  <conditionalFormatting sqref="AN30:AN36">
    <cfRule type="cellIs" dxfId="716" priority="645" operator="between">
      <formula>0.8</formula>
      <formula>0.95</formula>
    </cfRule>
    <cfRule type="cellIs" dxfId="715" priority="647" operator="lessThan">
      <formula>0.8</formula>
    </cfRule>
  </conditionalFormatting>
  <conditionalFormatting sqref="M42:M43">
    <cfRule type="cellIs" dxfId="714" priority="643" operator="between">
      <formula>0.95001</formula>
      <formula>1</formula>
    </cfRule>
  </conditionalFormatting>
  <conditionalFormatting sqref="M42:M43">
    <cfRule type="cellIs" dxfId="713" priority="641" operator="equal">
      <formula>"No programado"</formula>
    </cfRule>
    <cfRule type="cellIs" dxfId="712" priority="644" operator="greaterThan">
      <formula>1</formula>
    </cfRule>
  </conditionalFormatting>
  <conditionalFormatting sqref="M42:M43">
    <cfRule type="cellIs" dxfId="711" priority="640" operator="between">
      <formula>0.8</formula>
      <formula>0.95</formula>
    </cfRule>
    <cfRule type="cellIs" dxfId="710" priority="642" operator="lessThan">
      <formula>0.8</formula>
    </cfRule>
  </conditionalFormatting>
  <conditionalFormatting sqref="V42:V43">
    <cfRule type="cellIs" dxfId="709" priority="638" operator="between">
      <formula>0.95001</formula>
      <formula>1</formula>
    </cfRule>
  </conditionalFormatting>
  <conditionalFormatting sqref="V42:V43">
    <cfRule type="cellIs" dxfId="708" priority="636" operator="equal">
      <formula>"No programado"</formula>
    </cfRule>
    <cfRule type="cellIs" dxfId="707" priority="639" operator="greaterThan">
      <formula>1</formula>
    </cfRule>
  </conditionalFormatting>
  <conditionalFormatting sqref="V42:V43">
    <cfRule type="cellIs" dxfId="706" priority="635" operator="between">
      <formula>0.8</formula>
      <formula>0.95</formula>
    </cfRule>
    <cfRule type="cellIs" dxfId="705" priority="637" operator="lessThan">
      <formula>0.8</formula>
    </cfRule>
  </conditionalFormatting>
  <conditionalFormatting sqref="AE42:AE43">
    <cfRule type="cellIs" dxfId="704" priority="633" operator="between">
      <formula>0.95001</formula>
      <formula>1</formula>
    </cfRule>
  </conditionalFormatting>
  <conditionalFormatting sqref="AE42:AE43">
    <cfRule type="cellIs" dxfId="703" priority="631" operator="equal">
      <formula>"No programado"</formula>
    </cfRule>
    <cfRule type="cellIs" dxfId="702" priority="634" operator="greaterThan">
      <formula>1</formula>
    </cfRule>
  </conditionalFormatting>
  <conditionalFormatting sqref="AE42:AE43">
    <cfRule type="cellIs" dxfId="701" priority="630" operator="between">
      <formula>0.8</formula>
      <formula>0.95</formula>
    </cfRule>
    <cfRule type="cellIs" dxfId="700" priority="632" operator="lessThan">
      <formula>0.8</formula>
    </cfRule>
  </conditionalFormatting>
  <conditionalFormatting sqref="AN42:AN43">
    <cfRule type="cellIs" dxfId="699" priority="628" operator="between">
      <formula>0.95001</formula>
      <formula>1</formula>
    </cfRule>
  </conditionalFormatting>
  <conditionalFormatting sqref="AN42:AN43">
    <cfRule type="cellIs" dxfId="698" priority="626" operator="equal">
      <formula>"No programado"</formula>
    </cfRule>
    <cfRule type="cellIs" dxfId="697" priority="629" operator="greaterThan">
      <formula>1</formula>
    </cfRule>
  </conditionalFormatting>
  <conditionalFormatting sqref="AN42:AN43">
    <cfRule type="cellIs" dxfId="696" priority="625" operator="between">
      <formula>0.8</formula>
      <formula>0.95</formula>
    </cfRule>
    <cfRule type="cellIs" dxfId="695" priority="627" operator="lessThan">
      <formula>0.8</formula>
    </cfRule>
  </conditionalFormatting>
  <conditionalFormatting sqref="M49:M51">
    <cfRule type="cellIs" dxfId="694" priority="623" operator="between">
      <formula>0.95001</formula>
      <formula>1</formula>
    </cfRule>
  </conditionalFormatting>
  <conditionalFormatting sqref="M49:M51">
    <cfRule type="cellIs" dxfId="693" priority="621" operator="equal">
      <formula>"No programado"</formula>
    </cfRule>
    <cfRule type="cellIs" dxfId="692" priority="624" operator="greaterThan">
      <formula>1</formula>
    </cfRule>
  </conditionalFormatting>
  <conditionalFormatting sqref="M49:M51">
    <cfRule type="cellIs" dxfId="691" priority="620" operator="between">
      <formula>0.8</formula>
      <formula>0.95</formula>
    </cfRule>
    <cfRule type="cellIs" dxfId="690" priority="622" operator="lessThan">
      <formula>0.8</formula>
    </cfRule>
  </conditionalFormatting>
  <conditionalFormatting sqref="V49:V51">
    <cfRule type="cellIs" dxfId="689" priority="618" operator="between">
      <formula>0.95001</formula>
      <formula>1</formula>
    </cfRule>
  </conditionalFormatting>
  <conditionalFormatting sqref="V49:V51">
    <cfRule type="cellIs" dxfId="688" priority="616" operator="equal">
      <formula>"No programado"</formula>
    </cfRule>
    <cfRule type="cellIs" dxfId="687" priority="619" operator="greaterThan">
      <formula>1</formula>
    </cfRule>
  </conditionalFormatting>
  <conditionalFormatting sqref="V49:V51">
    <cfRule type="cellIs" dxfId="686" priority="615" operator="between">
      <formula>0.8</formula>
      <formula>0.95</formula>
    </cfRule>
    <cfRule type="cellIs" dxfId="685" priority="617" operator="lessThan">
      <formula>0.8</formula>
    </cfRule>
  </conditionalFormatting>
  <conditionalFormatting sqref="AE49:AE51">
    <cfRule type="cellIs" dxfId="684" priority="613" operator="between">
      <formula>0.95001</formula>
      <formula>1</formula>
    </cfRule>
  </conditionalFormatting>
  <conditionalFormatting sqref="AE49:AE51">
    <cfRule type="cellIs" dxfId="683" priority="611" operator="equal">
      <formula>"No programado"</formula>
    </cfRule>
    <cfRule type="cellIs" dxfId="682" priority="614" operator="greaterThan">
      <formula>1</formula>
    </cfRule>
  </conditionalFormatting>
  <conditionalFormatting sqref="AE49:AE51">
    <cfRule type="cellIs" dxfId="681" priority="610" operator="between">
      <formula>0.8</formula>
      <formula>0.95</formula>
    </cfRule>
    <cfRule type="cellIs" dxfId="680" priority="612" operator="lessThan">
      <formula>0.8</formula>
    </cfRule>
  </conditionalFormatting>
  <conditionalFormatting sqref="AN49:AN51">
    <cfRule type="cellIs" dxfId="679" priority="608" operator="between">
      <formula>0.95001</formula>
      <formula>1</formula>
    </cfRule>
  </conditionalFormatting>
  <conditionalFormatting sqref="AN49:AN51">
    <cfRule type="cellIs" dxfId="678" priority="606" operator="equal">
      <formula>"No programado"</formula>
    </cfRule>
    <cfRule type="cellIs" dxfId="677" priority="609" operator="greaterThan">
      <formula>1</formula>
    </cfRule>
  </conditionalFormatting>
  <conditionalFormatting sqref="AN49:AN51">
    <cfRule type="cellIs" dxfId="676" priority="605" operator="between">
      <formula>0.8</formula>
      <formula>0.95</formula>
    </cfRule>
    <cfRule type="cellIs" dxfId="675" priority="607" operator="lessThan">
      <formula>0.8</formula>
    </cfRule>
  </conditionalFormatting>
  <conditionalFormatting sqref="M57:M76">
    <cfRule type="cellIs" dxfId="674" priority="603" operator="between">
      <formula>0.95001</formula>
      <formula>1</formula>
    </cfRule>
  </conditionalFormatting>
  <conditionalFormatting sqref="M57:M76">
    <cfRule type="cellIs" dxfId="673" priority="601" operator="equal">
      <formula>"No programado"</formula>
    </cfRule>
    <cfRule type="cellIs" dxfId="672" priority="604" operator="greaterThan">
      <formula>1</formula>
    </cfRule>
  </conditionalFormatting>
  <conditionalFormatting sqref="M57:M76">
    <cfRule type="cellIs" dxfId="671" priority="600" operator="between">
      <formula>0.8</formula>
      <formula>0.95</formula>
    </cfRule>
    <cfRule type="cellIs" dxfId="670" priority="602" operator="lessThan">
      <formula>0.8</formula>
    </cfRule>
  </conditionalFormatting>
  <conditionalFormatting sqref="U69 T70:U76 T57:U68">
    <cfRule type="cellIs" dxfId="669" priority="590" operator="equal">
      <formula>"No programado"</formula>
    </cfRule>
    <cfRule type="cellIs" dxfId="668" priority="593" operator="greaterThan">
      <formula>1</formula>
    </cfRule>
  </conditionalFormatting>
  <conditionalFormatting sqref="T59:U59">
    <cfRule type="cellIs" dxfId="667" priority="595" operator="between">
      <formula>0.7</formula>
      <formula>0.8</formula>
    </cfRule>
    <cfRule type="cellIs" dxfId="666" priority="597" operator="lessThan">
      <formula>0.7</formula>
    </cfRule>
    <cfRule type="cellIs" dxfId="665" priority="598" operator="between">
      <formula>0.80000000000001</formula>
      <formula>1</formula>
    </cfRule>
  </conditionalFormatting>
  <conditionalFormatting sqref="T63:U67">
    <cfRule type="cellIs" dxfId="664" priority="594" operator="between">
      <formula>0.95</formula>
      <formula>1</formula>
    </cfRule>
    <cfRule type="cellIs" dxfId="663" priority="596" operator="between">
      <formula>0.90000000001</formula>
      <formula>0.94999999999</formula>
    </cfRule>
    <cfRule type="cellIs" dxfId="662" priority="599" operator="lessThanOrEqual">
      <formula>90</formula>
    </cfRule>
  </conditionalFormatting>
  <conditionalFormatting sqref="T68:U68 U69 T70:U76">
    <cfRule type="cellIs" dxfId="661" priority="589" operator="between">
      <formula>0.8</formula>
      <formula>0.85</formula>
    </cfRule>
    <cfRule type="cellIs" dxfId="660" priority="591" operator="lessThan">
      <formula>0.8</formula>
    </cfRule>
    <cfRule type="cellIs" dxfId="659" priority="592" operator="between">
      <formula>0.850000000001</formula>
      <formula>1</formula>
    </cfRule>
  </conditionalFormatting>
  <conditionalFormatting sqref="T58:U58 T60:U62">
    <cfRule type="cellIs" dxfId="658" priority="586" operator="lessThan">
      <formula>0.8</formula>
    </cfRule>
    <cfRule type="cellIs" dxfId="657" priority="587" operator="between">
      <formula>0.8</formula>
      <formula>0.85</formula>
    </cfRule>
    <cfRule type="cellIs" dxfId="656" priority="588" operator="between">
      <formula>0.85000000001</formula>
      <formula>1</formula>
    </cfRule>
  </conditionalFormatting>
  <conditionalFormatting sqref="T57:U57">
    <cfRule type="cellIs" dxfId="655" priority="583" operator="between">
      <formula>0.8000000001</formula>
      <formula>0.84999999999999</formula>
    </cfRule>
    <cfRule type="cellIs" dxfId="654" priority="584" operator="between">
      <formula>0.850000001</formula>
      <formula>1</formula>
    </cfRule>
    <cfRule type="cellIs" dxfId="653" priority="585" operator="lessThan">
      <formula>0.8</formula>
    </cfRule>
  </conditionalFormatting>
  <conditionalFormatting sqref="T69">
    <cfRule type="cellIs" dxfId="652" priority="579" operator="equal">
      <formula>"No programado"</formula>
    </cfRule>
    <cfRule type="cellIs" dxfId="651" priority="582" operator="greaterThan">
      <formula>1</formula>
    </cfRule>
  </conditionalFormatting>
  <conditionalFormatting sqref="T69">
    <cfRule type="cellIs" dxfId="650" priority="578" operator="between">
      <formula>0.8</formula>
      <formula>0.85</formula>
    </cfRule>
    <cfRule type="cellIs" dxfId="649" priority="580" operator="lessThan">
      <formula>0.8</formula>
    </cfRule>
    <cfRule type="cellIs" dxfId="648" priority="581" operator="between">
      <formula>0.850000000001</formula>
      <formula>1</formula>
    </cfRule>
  </conditionalFormatting>
  <conditionalFormatting sqref="V57:V76">
    <cfRule type="cellIs" dxfId="647" priority="576" operator="between">
      <formula>0.95001</formula>
      <formula>1</formula>
    </cfRule>
  </conditionalFormatting>
  <conditionalFormatting sqref="V57:V76">
    <cfRule type="cellIs" dxfId="646" priority="574" operator="equal">
      <formula>"No programado"</formula>
    </cfRule>
    <cfRule type="cellIs" dxfId="645" priority="577" operator="greaterThan">
      <formula>1</formula>
    </cfRule>
  </conditionalFormatting>
  <conditionalFormatting sqref="V57:V76">
    <cfRule type="cellIs" dxfId="644" priority="573" operator="between">
      <formula>0.8</formula>
      <formula>0.95</formula>
    </cfRule>
    <cfRule type="cellIs" dxfId="643" priority="575" operator="lessThan">
      <formula>0.8</formula>
    </cfRule>
  </conditionalFormatting>
  <conditionalFormatting sqref="AD69 AC70:AD76 AC57:AD68">
    <cfRule type="cellIs" dxfId="642" priority="563" operator="equal">
      <formula>"No programado"</formula>
    </cfRule>
    <cfRule type="cellIs" dxfId="641" priority="566" operator="greaterThan">
      <formula>1</formula>
    </cfRule>
  </conditionalFormatting>
  <conditionalFormatting sqref="AC59:AD59">
    <cfRule type="cellIs" dxfId="640" priority="568" operator="between">
      <formula>0.7</formula>
      <formula>0.8</formula>
    </cfRule>
    <cfRule type="cellIs" dxfId="639" priority="570" operator="lessThan">
      <formula>0.7</formula>
    </cfRule>
    <cfRule type="cellIs" dxfId="638" priority="571" operator="between">
      <formula>0.80000000000001</formula>
      <formula>1</formula>
    </cfRule>
  </conditionalFormatting>
  <conditionalFormatting sqref="AC63:AD67">
    <cfRule type="cellIs" dxfId="637" priority="567" operator="between">
      <formula>0.95</formula>
      <formula>1</formula>
    </cfRule>
    <cfRule type="cellIs" dxfId="636" priority="569" operator="between">
      <formula>0.90000000001</formula>
      <formula>0.94999999999</formula>
    </cfRule>
    <cfRule type="cellIs" dxfId="635" priority="572" operator="lessThanOrEqual">
      <formula>90</formula>
    </cfRule>
  </conditionalFormatting>
  <conditionalFormatting sqref="AC68:AD68 AD69 AC70:AD76">
    <cfRule type="cellIs" dxfId="634" priority="562" operator="between">
      <formula>0.8</formula>
      <formula>0.85</formula>
    </cfRule>
    <cfRule type="cellIs" dxfId="633" priority="564" operator="lessThan">
      <formula>0.8</formula>
    </cfRule>
    <cfRule type="cellIs" dxfId="632" priority="565" operator="between">
      <formula>0.850000000001</formula>
      <formula>1</formula>
    </cfRule>
  </conditionalFormatting>
  <conditionalFormatting sqref="AC58:AD58 AC60:AD62">
    <cfRule type="cellIs" dxfId="631" priority="559" operator="lessThan">
      <formula>0.8</formula>
    </cfRule>
    <cfRule type="cellIs" dxfId="630" priority="560" operator="between">
      <formula>0.8</formula>
      <formula>0.85</formula>
    </cfRule>
    <cfRule type="cellIs" dxfId="629" priority="561" operator="between">
      <formula>0.85000000001</formula>
      <formula>1</formula>
    </cfRule>
  </conditionalFormatting>
  <conditionalFormatting sqref="AC57:AD57">
    <cfRule type="cellIs" dxfId="628" priority="556" operator="between">
      <formula>0.8000000001</formula>
      <formula>0.84999999999999</formula>
    </cfRule>
    <cfRule type="cellIs" dxfId="627" priority="557" operator="between">
      <formula>0.850000001</formula>
      <formula>1</formula>
    </cfRule>
    <cfRule type="cellIs" dxfId="626" priority="558" operator="lessThan">
      <formula>0.8</formula>
    </cfRule>
  </conditionalFormatting>
  <conditionalFormatting sqref="AC69">
    <cfRule type="cellIs" dxfId="625" priority="552" operator="equal">
      <formula>"No programado"</formula>
    </cfRule>
    <cfRule type="cellIs" dxfId="624" priority="555" operator="greaterThan">
      <formula>1</formula>
    </cfRule>
  </conditionalFormatting>
  <conditionalFormatting sqref="AC69">
    <cfRule type="cellIs" dxfId="623" priority="551" operator="between">
      <formula>0.8</formula>
      <formula>0.85</formula>
    </cfRule>
    <cfRule type="cellIs" dxfId="622" priority="553" operator="lessThan">
      <formula>0.8</formula>
    </cfRule>
    <cfRule type="cellIs" dxfId="621" priority="554" operator="between">
      <formula>0.850000000001</formula>
      <formula>1</formula>
    </cfRule>
  </conditionalFormatting>
  <conditionalFormatting sqref="AE57:AE76">
    <cfRule type="cellIs" dxfId="620" priority="549" operator="between">
      <formula>0.95001</formula>
      <formula>1</formula>
    </cfRule>
  </conditionalFormatting>
  <conditionalFormatting sqref="AE57:AE76">
    <cfRule type="cellIs" dxfId="619" priority="547" operator="equal">
      <formula>"No programado"</formula>
    </cfRule>
    <cfRule type="cellIs" dxfId="618" priority="550" operator="greaterThan">
      <formula>1</formula>
    </cfRule>
  </conditionalFormatting>
  <conditionalFormatting sqref="AE57:AE76">
    <cfRule type="cellIs" dxfId="617" priority="546" operator="between">
      <formula>0.8</formula>
      <formula>0.95</formula>
    </cfRule>
    <cfRule type="cellIs" dxfId="616" priority="548" operator="lessThan">
      <formula>0.8</formula>
    </cfRule>
  </conditionalFormatting>
  <conditionalFormatting sqref="AM69 AL70:AM76 AL57:AM68">
    <cfRule type="cellIs" dxfId="615" priority="536" operator="equal">
      <formula>"No programado"</formula>
    </cfRule>
    <cfRule type="cellIs" dxfId="614" priority="539" operator="greaterThan">
      <formula>1</formula>
    </cfRule>
  </conditionalFormatting>
  <conditionalFormatting sqref="AL59:AM59">
    <cfRule type="cellIs" dxfId="613" priority="541" operator="between">
      <formula>0.7</formula>
      <formula>0.8</formula>
    </cfRule>
    <cfRule type="cellIs" dxfId="612" priority="543" operator="lessThan">
      <formula>0.7</formula>
    </cfRule>
    <cfRule type="cellIs" dxfId="611" priority="544" operator="between">
      <formula>0.80000000000001</formula>
      <formula>1</formula>
    </cfRule>
  </conditionalFormatting>
  <conditionalFormatting sqref="AL63:AM67">
    <cfRule type="cellIs" dxfId="610" priority="540" operator="between">
      <formula>0.95</formula>
      <formula>1</formula>
    </cfRule>
    <cfRule type="cellIs" dxfId="609" priority="542" operator="between">
      <formula>0.90000000001</formula>
      <formula>0.94999999999</formula>
    </cfRule>
    <cfRule type="cellIs" dxfId="608" priority="545" operator="lessThanOrEqual">
      <formula>90</formula>
    </cfRule>
  </conditionalFormatting>
  <conditionalFormatting sqref="AL68:AM68 AM69 AL70:AM76">
    <cfRule type="cellIs" dxfId="607" priority="535" operator="between">
      <formula>0.8</formula>
      <formula>0.85</formula>
    </cfRule>
    <cfRule type="cellIs" dxfId="606" priority="537" operator="lessThan">
      <formula>0.8</formula>
    </cfRule>
    <cfRule type="cellIs" dxfId="605" priority="538" operator="between">
      <formula>0.850000000001</formula>
      <formula>1</formula>
    </cfRule>
  </conditionalFormatting>
  <conditionalFormatting sqref="AL58:AM58 AL60:AM62">
    <cfRule type="cellIs" dxfId="604" priority="532" operator="lessThan">
      <formula>0.8</formula>
    </cfRule>
    <cfRule type="cellIs" dxfId="603" priority="533" operator="between">
      <formula>0.8</formula>
      <formula>0.85</formula>
    </cfRule>
    <cfRule type="cellIs" dxfId="602" priority="534" operator="between">
      <formula>0.85000000001</formula>
      <formula>1</formula>
    </cfRule>
  </conditionalFormatting>
  <conditionalFormatting sqref="AL57:AM57">
    <cfRule type="cellIs" dxfId="601" priority="529" operator="between">
      <formula>0.8000000001</formula>
      <formula>0.84999999999999</formula>
    </cfRule>
    <cfRule type="cellIs" dxfId="600" priority="530" operator="between">
      <formula>0.850000001</formula>
      <formula>1</formula>
    </cfRule>
    <cfRule type="cellIs" dxfId="599" priority="531" operator="lessThan">
      <formula>0.8</formula>
    </cfRule>
  </conditionalFormatting>
  <conditionalFormatting sqref="AL69">
    <cfRule type="cellIs" dxfId="598" priority="525" operator="equal">
      <formula>"No programado"</formula>
    </cfRule>
    <cfRule type="cellIs" dxfId="597" priority="528" operator="greaterThan">
      <formula>1</formula>
    </cfRule>
  </conditionalFormatting>
  <conditionalFormatting sqref="AL69">
    <cfRule type="cellIs" dxfId="596" priority="524" operator="between">
      <formula>0.8</formula>
      <formula>0.85</formula>
    </cfRule>
    <cfRule type="cellIs" dxfId="595" priority="526" operator="lessThan">
      <formula>0.8</formula>
    </cfRule>
    <cfRule type="cellIs" dxfId="594" priority="527" operator="between">
      <formula>0.850000000001</formula>
      <formula>1</formula>
    </cfRule>
  </conditionalFormatting>
  <conditionalFormatting sqref="AN57:AN76">
    <cfRule type="cellIs" dxfId="593" priority="522" operator="between">
      <formula>0.95001</formula>
      <formula>1</formula>
    </cfRule>
  </conditionalFormatting>
  <conditionalFormatting sqref="AN57:AN76">
    <cfRule type="cellIs" dxfId="592" priority="520" operator="equal">
      <formula>"No programado"</formula>
    </cfRule>
    <cfRule type="cellIs" dxfId="591" priority="523" operator="greaterThan">
      <formula>1</formula>
    </cfRule>
  </conditionalFormatting>
  <conditionalFormatting sqref="AN57:AN76">
    <cfRule type="cellIs" dxfId="590" priority="519" operator="between">
      <formula>0.8</formula>
      <formula>0.95</formula>
    </cfRule>
    <cfRule type="cellIs" dxfId="589" priority="521" operator="lessThan">
      <formula>0.8</formula>
    </cfRule>
  </conditionalFormatting>
  <conditionalFormatting sqref="K82:L88">
    <cfRule type="cellIs" dxfId="588" priority="503" operator="equal">
      <formula>"No programado"</formula>
    </cfRule>
    <cfRule type="cellIs" dxfId="587" priority="504" operator="greaterThan">
      <formula>1</formula>
    </cfRule>
  </conditionalFormatting>
  <conditionalFormatting sqref="K84:L84">
    <cfRule type="cellIs" dxfId="586" priority="516" operator="between">
      <formula>0.53000001</formula>
      <formula>0.7699999999999</formula>
    </cfRule>
    <cfRule type="cellIs" dxfId="585" priority="517" operator="lessThan">
      <formula>0.53</formula>
    </cfRule>
    <cfRule type="cellIs" dxfId="584" priority="518" operator="between">
      <formula>0.7700000000001</formula>
      <formula>1</formula>
    </cfRule>
  </conditionalFormatting>
  <conditionalFormatting sqref="K87:L88 K83:L83">
    <cfRule type="cellIs" dxfId="583" priority="511" operator="between">
      <formula>0.69</formula>
      <formula>0.9</formula>
    </cfRule>
    <cfRule type="cellIs" dxfId="582" priority="512" operator="between">
      <formula>0.770000001</formula>
      <formula>1</formula>
    </cfRule>
    <cfRule type="cellIs" dxfId="581" priority="515" operator="lessThan">
      <formula>69</formula>
    </cfRule>
  </conditionalFormatting>
  <conditionalFormatting sqref="K86:L86">
    <cfRule type="cellIs" dxfId="580" priority="508" operator="between">
      <formula>0.57</formula>
      <formula>0.84999999999</formula>
    </cfRule>
    <cfRule type="cellIs" dxfId="579" priority="509" operator="between">
      <formula>0.85000001</formula>
      <formula>1</formula>
    </cfRule>
    <cfRule type="cellIs" dxfId="578" priority="510" operator="lessThan">
      <formula>0.57</formula>
    </cfRule>
  </conditionalFormatting>
  <conditionalFormatting sqref="K85:L85">
    <cfRule type="cellIs" dxfId="577" priority="505" operator="between">
      <formula>"0.45000001"</formula>
      <formula>0.799999999</formula>
    </cfRule>
    <cfRule type="cellIs" dxfId="576" priority="506" operator="between">
      <formula>0.8000000001</formula>
      <formula>1</formula>
    </cfRule>
    <cfRule type="cellIs" dxfId="575" priority="514" operator="lessThan">
      <formula>0.45</formula>
    </cfRule>
  </conditionalFormatting>
  <conditionalFormatting sqref="K82:L82">
    <cfRule type="cellIs" dxfId="574" priority="502" operator="between">
      <formula>0.66000000001</formula>
      <formula>0.944444444444444</formula>
    </cfRule>
    <cfRule type="cellIs" dxfId="573" priority="507" operator="between">
      <formula>0.900000000001</formula>
      <formula>1</formula>
    </cfRule>
    <cfRule type="cellIs" dxfId="572" priority="513" operator="lessThan">
      <formula>0.66</formula>
    </cfRule>
  </conditionalFormatting>
  <conditionalFormatting sqref="K85:L85">
    <cfRule type="cellIs" dxfId="571" priority="499" operator="between">
      <formula>0.53000001</formula>
      <formula>0.7699999999999</formula>
    </cfRule>
    <cfRule type="cellIs" dxfId="570" priority="500" operator="lessThan">
      <formula>0.53</formula>
    </cfRule>
    <cfRule type="cellIs" dxfId="569" priority="501" operator="between">
      <formula>0.7700000000001</formula>
      <formula>1</formula>
    </cfRule>
  </conditionalFormatting>
  <conditionalFormatting sqref="M82:M88">
    <cfRule type="cellIs" dxfId="568" priority="497" operator="between">
      <formula>0.95001</formula>
      <formula>1</formula>
    </cfRule>
  </conditionalFormatting>
  <conditionalFormatting sqref="M82:M88">
    <cfRule type="cellIs" dxfId="567" priority="495" operator="equal">
      <formula>"No programado"</formula>
    </cfRule>
    <cfRule type="cellIs" dxfId="566" priority="498" operator="greaterThan">
      <formula>1</formula>
    </cfRule>
  </conditionalFormatting>
  <conditionalFormatting sqref="M82:M88">
    <cfRule type="cellIs" dxfId="565" priority="494" operator="between">
      <formula>0.8</formula>
      <formula>0.95</formula>
    </cfRule>
    <cfRule type="cellIs" dxfId="564" priority="496" operator="lessThan">
      <formula>0.8</formula>
    </cfRule>
  </conditionalFormatting>
  <conditionalFormatting sqref="T82:U88">
    <cfRule type="cellIs" dxfId="563" priority="478" operator="equal">
      <formula>"No programado"</formula>
    </cfRule>
    <cfRule type="cellIs" dxfId="562" priority="479" operator="greaterThan">
      <formula>1</formula>
    </cfRule>
  </conditionalFormatting>
  <conditionalFormatting sqref="T84:U84">
    <cfRule type="cellIs" dxfId="561" priority="491" operator="between">
      <formula>0.53000001</formula>
      <formula>0.7699999999999</formula>
    </cfRule>
    <cfRule type="cellIs" dxfId="560" priority="492" operator="lessThan">
      <formula>0.53</formula>
    </cfRule>
    <cfRule type="cellIs" dxfId="559" priority="493" operator="between">
      <formula>0.7700000000001</formula>
      <formula>1</formula>
    </cfRule>
  </conditionalFormatting>
  <conditionalFormatting sqref="T87:U88 T83:U83">
    <cfRule type="cellIs" dxfId="558" priority="486" operator="between">
      <formula>0.69</formula>
      <formula>0.9</formula>
    </cfRule>
    <cfRule type="cellIs" dxfId="557" priority="487" operator="between">
      <formula>0.770000001</formula>
      <formula>1</formula>
    </cfRule>
    <cfRule type="cellIs" dxfId="556" priority="490" operator="lessThan">
      <formula>69</formula>
    </cfRule>
  </conditionalFormatting>
  <conditionalFormatting sqref="T86:U86">
    <cfRule type="cellIs" dxfId="555" priority="483" operator="between">
      <formula>0.57</formula>
      <formula>0.84999999999</formula>
    </cfRule>
    <cfRule type="cellIs" dxfId="554" priority="484" operator="between">
      <formula>0.85000001</formula>
      <formula>1</formula>
    </cfRule>
    <cfRule type="cellIs" dxfId="553" priority="485" operator="lessThan">
      <formula>0.57</formula>
    </cfRule>
  </conditionalFormatting>
  <conditionalFormatting sqref="T85:U85">
    <cfRule type="cellIs" dxfId="552" priority="480" operator="between">
      <formula>"0.45000001"</formula>
      <formula>0.799999999</formula>
    </cfRule>
    <cfRule type="cellIs" dxfId="551" priority="481" operator="between">
      <formula>0.8000000001</formula>
      <formula>1</formula>
    </cfRule>
    <cfRule type="cellIs" dxfId="550" priority="489" operator="lessThan">
      <formula>0.45</formula>
    </cfRule>
  </conditionalFormatting>
  <conditionalFormatting sqref="T82:U82">
    <cfRule type="cellIs" dxfId="549" priority="477" operator="between">
      <formula>0.66000000001</formula>
      <formula>0.944444444444444</formula>
    </cfRule>
    <cfRule type="cellIs" dxfId="548" priority="482" operator="between">
      <formula>0.900000000001</formula>
      <formula>1</formula>
    </cfRule>
    <cfRule type="cellIs" dxfId="547" priority="488" operator="lessThan">
      <formula>0.66</formula>
    </cfRule>
  </conditionalFormatting>
  <conditionalFormatting sqref="T85:U85">
    <cfRule type="cellIs" dxfId="546" priority="474" operator="between">
      <formula>0.53000001</formula>
      <formula>0.7699999999999</formula>
    </cfRule>
    <cfRule type="cellIs" dxfId="545" priority="475" operator="lessThan">
      <formula>0.53</formula>
    </cfRule>
    <cfRule type="cellIs" dxfId="544" priority="476" operator="between">
      <formula>0.7700000000001</formula>
      <formula>1</formula>
    </cfRule>
  </conditionalFormatting>
  <conditionalFormatting sqref="V82:V88">
    <cfRule type="cellIs" dxfId="543" priority="472" operator="between">
      <formula>0.95001</formula>
      <formula>1</formula>
    </cfRule>
  </conditionalFormatting>
  <conditionalFormatting sqref="V82:V88">
    <cfRule type="cellIs" dxfId="542" priority="470" operator="equal">
      <formula>"No programado"</formula>
    </cfRule>
    <cfRule type="cellIs" dxfId="541" priority="473" operator="greaterThan">
      <formula>1</formula>
    </cfRule>
  </conditionalFormatting>
  <conditionalFormatting sqref="V82:V88">
    <cfRule type="cellIs" dxfId="540" priority="469" operator="between">
      <formula>0.8</formula>
      <formula>0.95</formula>
    </cfRule>
    <cfRule type="cellIs" dxfId="539" priority="471" operator="lessThan">
      <formula>0.8</formula>
    </cfRule>
  </conditionalFormatting>
  <conditionalFormatting sqref="AC82:AD88">
    <cfRule type="cellIs" dxfId="538" priority="453" operator="equal">
      <formula>"No programado"</formula>
    </cfRule>
    <cfRule type="cellIs" dxfId="537" priority="454" operator="greaterThan">
      <formula>1</formula>
    </cfRule>
  </conditionalFormatting>
  <conditionalFormatting sqref="AC84:AD84">
    <cfRule type="cellIs" dxfId="536" priority="466" operator="between">
      <formula>0.53000001</formula>
      <formula>0.7699999999999</formula>
    </cfRule>
    <cfRule type="cellIs" dxfId="535" priority="467" operator="lessThan">
      <formula>0.53</formula>
    </cfRule>
    <cfRule type="cellIs" dxfId="534" priority="468" operator="between">
      <formula>0.7700000000001</formula>
      <formula>1</formula>
    </cfRule>
  </conditionalFormatting>
  <conditionalFormatting sqref="AC87:AD88 AC83:AD83">
    <cfRule type="cellIs" dxfId="533" priority="461" operator="between">
      <formula>0.69</formula>
      <formula>0.9</formula>
    </cfRule>
    <cfRule type="cellIs" dxfId="532" priority="462" operator="between">
      <formula>0.770000001</formula>
      <formula>1</formula>
    </cfRule>
    <cfRule type="cellIs" dxfId="531" priority="465" operator="lessThan">
      <formula>69</formula>
    </cfRule>
  </conditionalFormatting>
  <conditionalFormatting sqref="AC86:AD86">
    <cfRule type="cellIs" dxfId="530" priority="458" operator="between">
      <formula>0.57</formula>
      <formula>0.84999999999</formula>
    </cfRule>
    <cfRule type="cellIs" dxfId="529" priority="459" operator="between">
      <formula>0.85000001</formula>
      <formula>1</formula>
    </cfRule>
    <cfRule type="cellIs" dxfId="528" priority="460" operator="lessThan">
      <formula>0.57</formula>
    </cfRule>
  </conditionalFormatting>
  <conditionalFormatting sqref="AC85:AD85">
    <cfRule type="cellIs" dxfId="527" priority="455" operator="between">
      <formula>"0.45000001"</formula>
      <formula>0.799999999</formula>
    </cfRule>
    <cfRule type="cellIs" dxfId="526" priority="456" operator="between">
      <formula>0.8000000001</formula>
      <formula>1</formula>
    </cfRule>
    <cfRule type="cellIs" dxfId="525" priority="464" operator="lessThan">
      <formula>0.45</formula>
    </cfRule>
  </conditionalFormatting>
  <conditionalFormatting sqref="AC82:AD82">
    <cfRule type="cellIs" dxfId="524" priority="452" operator="between">
      <formula>0.66000000001</formula>
      <formula>0.944444444444444</formula>
    </cfRule>
    <cfRule type="cellIs" dxfId="523" priority="457" operator="between">
      <formula>0.900000000001</formula>
      <formula>1</formula>
    </cfRule>
    <cfRule type="cellIs" dxfId="522" priority="463" operator="lessThan">
      <formula>0.66</formula>
    </cfRule>
  </conditionalFormatting>
  <conditionalFormatting sqref="AC85:AD85">
    <cfRule type="cellIs" dxfId="521" priority="449" operator="between">
      <formula>0.53000001</formula>
      <formula>0.7699999999999</formula>
    </cfRule>
    <cfRule type="cellIs" dxfId="520" priority="450" operator="lessThan">
      <formula>0.53</formula>
    </cfRule>
    <cfRule type="cellIs" dxfId="519" priority="451" operator="between">
      <formula>0.7700000000001</formula>
      <formula>1</formula>
    </cfRule>
  </conditionalFormatting>
  <conditionalFormatting sqref="AE82:AE88">
    <cfRule type="cellIs" dxfId="518" priority="447" operator="between">
      <formula>0.95001</formula>
      <formula>1</formula>
    </cfRule>
  </conditionalFormatting>
  <conditionalFormatting sqref="AE82:AE88">
    <cfRule type="cellIs" dxfId="517" priority="445" operator="equal">
      <formula>"No programado"</formula>
    </cfRule>
    <cfRule type="cellIs" dxfId="516" priority="448" operator="greaterThan">
      <formula>1</formula>
    </cfRule>
  </conditionalFormatting>
  <conditionalFormatting sqref="AE82:AE88">
    <cfRule type="cellIs" dxfId="515" priority="444" operator="between">
      <formula>0.8</formula>
      <formula>0.95</formula>
    </cfRule>
    <cfRule type="cellIs" dxfId="514" priority="446" operator="lessThan">
      <formula>0.8</formula>
    </cfRule>
  </conditionalFormatting>
  <conditionalFormatting sqref="AL82:AM88">
    <cfRule type="cellIs" dxfId="513" priority="428" operator="equal">
      <formula>"No programado"</formula>
    </cfRule>
    <cfRule type="cellIs" dxfId="512" priority="429" operator="greaterThan">
      <formula>1</formula>
    </cfRule>
  </conditionalFormatting>
  <conditionalFormatting sqref="AL84:AM84">
    <cfRule type="cellIs" dxfId="511" priority="441" operator="between">
      <formula>0.53000001</formula>
      <formula>0.7699999999999</formula>
    </cfRule>
    <cfRule type="cellIs" dxfId="510" priority="442" operator="lessThan">
      <formula>0.53</formula>
    </cfRule>
    <cfRule type="cellIs" dxfId="509" priority="443" operator="between">
      <formula>0.7700000000001</formula>
      <formula>1</formula>
    </cfRule>
  </conditionalFormatting>
  <conditionalFormatting sqref="AL87:AM88 AL83:AM83">
    <cfRule type="cellIs" dxfId="508" priority="436" operator="between">
      <formula>0.69</formula>
      <formula>0.9</formula>
    </cfRule>
    <cfRule type="cellIs" dxfId="507" priority="437" operator="between">
      <formula>0.770000001</formula>
      <formula>1</formula>
    </cfRule>
    <cfRule type="cellIs" dxfId="506" priority="440" operator="lessThan">
      <formula>69</formula>
    </cfRule>
  </conditionalFormatting>
  <conditionalFormatting sqref="AL86:AM86">
    <cfRule type="cellIs" dxfId="505" priority="433" operator="between">
      <formula>0.57</formula>
      <formula>0.84999999999</formula>
    </cfRule>
    <cfRule type="cellIs" dxfId="504" priority="434" operator="between">
      <formula>0.85000001</formula>
      <formula>1</formula>
    </cfRule>
    <cfRule type="cellIs" dxfId="503" priority="435" operator="lessThan">
      <formula>0.57</formula>
    </cfRule>
  </conditionalFormatting>
  <conditionalFormatting sqref="AL85:AM85">
    <cfRule type="cellIs" dxfId="502" priority="430" operator="between">
      <formula>"0.45000001"</formula>
      <formula>0.799999999</formula>
    </cfRule>
    <cfRule type="cellIs" dxfId="501" priority="431" operator="between">
      <formula>0.8000000001</formula>
      <formula>1</formula>
    </cfRule>
    <cfRule type="cellIs" dxfId="500" priority="439" operator="lessThan">
      <formula>0.45</formula>
    </cfRule>
  </conditionalFormatting>
  <conditionalFormatting sqref="AL82:AM82">
    <cfRule type="cellIs" dxfId="499" priority="427" operator="between">
      <formula>0.66000000001</formula>
      <formula>0.944444444444444</formula>
    </cfRule>
    <cfRule type="cellIs" dxfId="498" priority="432" operator="between">
      <formula>0.900000000001</formula>
      <formula>1</formula>
    </cfRule>
    <cfRule type="cellIs" dxfId="497" priority="438" operator="lessThan">
      <formula>0.66</formula>
    </cfRule>
  </conditionalFormatting>
  <conditionalFormatting sqref="AL85:AM85">
    <cfRule type="cellIs" dxfId="496" priority="424" operator="between">
      <formula>0.53000001</formula>
      <formula>0.7699999999999</formula>
    </cfRule>
    <cfRule type="cellIs" dxfId="495" priority="425" operator="lessThan">
      <formula>0.53</formula>
    </cfRule>
    <cfRule type="cellIs" dxfId="494" priority="426" operator="between">
      <formula>0.7700000000001</formula>
      <formula>1</formula>
    </cfRule>
  </conditionalFormatting>
  <conditionalFormatting sqref="AN82:AN88">
    <cfRule type="cellIs" dxfId="493" priority="422" operator="between">
      <formula>0.95001</formula>
      <formula>1</formula>
    </cfRule>
  </conditionalFormatting>
  <conditionalFormatting sqref="AN82:AN88">
    <cfRule type="cellIs" dxfId="492" priority="420" operator="equal">
      <formula>"No programado"</formula>
    </cfRule>
    <cfRule type="cellIs" dxfId="491" priority="423" operator="greaterThan">
      <formula>1</formula>
    </cfRule>
  </conditionalFormatting>
  <conditionalFormatting sqref="AN82:AN88">
    <cfRule type="cellIs" dxfId="490" priority="419" operator="between">
      <formula>0.8</formula>
      <formula>0.95</formula>
    </cfRule>
    <cfRule type="cellIs" dxfId="489" priority="421" operator="lessThan">
      <formula>0.8</formula>
    </cfRule>
  </conditionalFormatting>
  <conditionalFormatting sqref="K94:L101">
    <cfRule type="cellIs" dxfId="488" priority="414" operator="equal">
      <formula>"No programado"</formula>
    </cfRule>
    <cfRule type="cellIs" dxfId="487" priority="415" operator="greaterThan">
      <formula>1</formula>
    </cfRule>
  </conditionalFormatting>
  <conditionalFormatting sqref="K94:L101">
    <cfRule type="cellIs" dxfId="486" priority="416" operator="between">
      <formula>0.69</formula>
      <formula>0.9</formula>
    </cfRule>
    <cfRule type="cellIs" dxfId="485" priority="417" operator="between">
      <formula>0.770000001</formula>
      <formula>1</formula>
    </cfRule>
    <cfRule type="cellIs" dxfId="484" priority="418" operator="lessThan">
      <formula>69</formula>
    </cfRule>
  </conditionalFormatting>
  <conditionalFormatting sqref="M94:M101">
    <cfRule type="cellIs" dxfId="483" priority="412" operator="between">
      <formula>0.95001</formula>
      <formula>1</formula>
    </cfRule>
  </conditionalFormatting>
  <conditionalFormatting sqref="M94:M101">
    <cfRule type="cellIs" dxfId="482" priority="410" operator="equal">
      <formula>"No programado"</formula>
    </cfRule>
    <cfRule type="cellIs" dxfId="481" priority="413" operator="greaterThan">
      <formula>1</formula>
    </cfRule>
  </conditionalFormatting>
  <conditionalFormatting sqref="M94:M101">
    <cfRule type="cellIs" dxfId="480" priority="409" operator="between">
      <formula>0.8</formula>
      <formula>0.95</formula>
    </cfRule>
    <cfRule type="cellIs" dxfId="479" priority="411" operator="lessThan">
      <formula>0.8</formula>
    </cfRule>
  </conditionalFormatting>
  <conditionalFormatting sqref="T94:U101">
    <cfRule type="cellIs" dxfId="478" priority="404" operator="equal">
      <formula>"No programado"</formula>
    </cfRule>
    <cfRule type="cellIs" dxfId="477" priority="405" operator="greaterThan">
      <formula>1</formula>
    </cfRule>
  </conditionalFormatting>
  <conditionalFormatting sqref="T94:U101">
    <cfRule type="cellIs" dxfId="476" priority="406" operator="between">
      <formula>0.69</formula>
      <formula>0.9</formula>
    </cfRule>
    <cfRule type="cellIs" dxfId="475" priority="407" operator="between">
      <formula>0.770000001</formula>
      <formula>1</formula>
    </cfRule>
    <cfRule type="cellIs" dxfId="474" priority="408" operator="lessThan">
      <formula>69</formula>
    </cfRule>
  </conditionalFormatting>
  <conditionalFormatting sqref="V94:V101">
    <cfRule type="cellIs" dxfId="473" priority="402" operator="between">
      <formula>0.95001</formula>
      <formula>1</formula>
    </cfRule>
  </conditionalFormatting>
  <conditionalFormatting sqref="V94:V101">
    <cfRule type="cellIs" dxfId="472" priority="400" operator="equal">
      <formula>"No programado"</formula>
    </cfRule>
    <cfRule type="cellIs" dxfId="471" priority="403" operator="greaterThan">
      <formula>1</formula>
    </cfRule>
  </conditionalFormatting>
  <conditionalFormatting sqref="V94:V101">
    <cfRule type="cellIs" dxfId="470" priority="399" operator="between">
      <formula>0.8</formula>
      <formula>0.95</formula>
    </cfRule>
    <cfRule type="cellIs" dxfId="469" priority="401" operator="lessThan">
      <formula>0.8</formula>
    </cfRule>
  </conditionalFormatting>
  <conditionalFormatting sqref="AC94:AD101">
    <cfRule type="cellIs" dxfId="468" priority="394" operator="equal">
      <formula>"No programado"</formula>
    </cfRule>
    <cfRule type="cellIs" dxfId="467" priority="395" operator="greaterThan">
      <formula>1</formula>
    </cfRule>
  </conditionalFormatting>
  <conditionalFormatting sqref="AC94:AD101">
    <cfRule type="cellIs" dxfId="466" priority="396" operator="between">
      <formula>0.69</formula>
      <formula>0.9</formula>
    </cfRule>
    <cfRule type="cellIs" dxfId="465" priority="397" operator="between">
      <formula>0.770000001</formula>
      <formula>1</formula>
    </cfRule>
    <cfRule type="cellIs" dxfId="464" priority="398" operator="lessThan">
      <formula>69</formula>
    </cfRule>
  </conditionalFormatting>
  <conditionalFormatting sqref="AE94:AE101">
    <cfRule type="cellIs" dxfId="463" priority="392" operator="between">
      <formula>0.95001</formula>
      <formula>1</formula>
    </cfRule>
  </conditionalFormatting>
  <conditionalFormatting sqref="AE94:AE101">
    <cfRule type="cellIs" dxfId="462" priority="390" operator="equal">
      <formula>"No programado"</formula>
    </cfRule>
    <cfRule type="cellIs" dxfId="461" priority="393" operator="greaterThan">
      <formula>1</formula>
    </cfRule>
  </conditionalFormatting>
  <conditionalFormatting sqref="AE94:AE101">
    <cfRule type="cellIs" dxfId="460" priority="389" operator="between">
      <formula>0.8</formula>
      <formula>0.95</formula>
    </cfRule>
    <cfRule type="cellIs" dxfId="459" priority="391" operator="lessThan">
      <formula>0.8</formula>
    </cfRule>
  </conditionalFormatting>
  <conditionalFormatting sqref="AL94:AM101">
    <cfRule type="cellIs" dxfId="458" priority="384" operator="equal">
      <formula>"No programado"</formula>
    </cfRule>
    <cfRule type="cellIs" dxfId="457" priority="385" operator="greaterThan">
      <formula>1</formula>
    </cfRule>
  </conditionalFormatting>
  <conditionalFormatting sqref="AL94:AM101">
    <cfRule type="cellIs" dxfId="456" priority="386" operator="between">
      <formula>0.69</formula>
      <formula>0.9</formula>
    </cfRule>
    <cfRule type="cellIs" dxfId="455" priority="387" operator="between">
      <formula>0.770000001</formula>
      <formula>1</formula>
    </cfRule>
    <cfRule type="cellIs" dxfId="454" priority="388" operator="lessThan">
      <formula>69</formula>
    </cfRule>
  </conditionalFormatting>
  <conditionalFormatting sqref="AN94:AN101">
    <cfRule type="cellIs" dxfId="453" priority="382" operator="between">
      <formula>0.95001</formula>
      <formula>1</formula>
    </cfRule>
  </conditionalFormatting>
  <conditionalFormatting sqref="AN94:AN101">
    <cfRule type="cellIs" dxfId="452" priority="380" operator="equal">
      <formula>"No programado"</formula>
    </cfRule>
    <cfRule type="cellIs" dxfId="451" priority="383" operator="greaterThan">
      <formula>1</formula>
    </cfRule>
  </conditionalFormatting>
  <conditionalFormatting sqref="AN94:AN101">
    <cfRule type="cellIs" dxfId="450" priority="379" operator="between">
      <formula>0.8</formula>
      <formula>0.95</formula>
    </cfRule>
    <cfRule type="cellIs" dxfId="449" priority="381" operator="lessThan">
      <formula>0.8</formula>
    </cfRule>
  </conditionalFormatting>
  <conditionalFormatting sqref="K107:L114">
    <cfRule type="cellIs" dxfId="448" priority="374" operator="equal">
      <formula>"No programado"</formula>
    </cfRule>
    <cfRule type="cellIs" dxfId="447" priority="375" operator="greaterThan">
      <formula>1</formula>
    </cfRule>
  </conditionalFormatting>
  <conditionalFormatting sqref="K107:L114">
    <cfRule type="cellIs" dxfId="446" priority="376" operator="between">
      <formula>0.69</formula>
      <formula>0.9</formula>
    </cfRule>
    <cfRule type="cellIs" dxfId="445" priority="377" operator="between">
      <formula>0.770000001</formula>
      <formula>1</formula>
    </cfRule>
    <cfRule type="cellIs" dxfId="444" priority="378" operator="lessThan">
      <formula>69</formula>
    </cfRule>
  </conditionalFormatting>
  <conditionalFormatting sqref="M107:M114">
    <cfRule type="cellIs" dxfId="443" priority="372" operator="between">
      <formula>0.95001</formula>
      <formula>1</formula>
    </cfRule>
  </conditionalFormatting>
  <conditionalFormatting sqref="M107:M114">
    <cfRule type="cellIs" dxfId="442" priority="370" operator="equal">
      <formula>"No programado"</formula>
    </cfRule>
    <cfRule type="cellIs" dxfId="441" priority="373" operator="greaterThan">
      <formula>1</formula>
    </cfRule>
  </conditionalFormatting>
  <conditionalFormatting sqref="M107:M114">
    <cfRule type="cellIs" dxfId="440" priority="369" operator="between">
      <formula>0.8</formula>
      <formula>0.95</formula>
    </cfRule>
    <cfRule type="cellIs" dxfId="439" priority="371" operator="lessThan">
      <formula>0.8</formula>
    </cfRule>
  </conditionalFormatting>
  <conditionalFormatting sqref="T107:U114">
    <cfRule type="cellIs" dxfId="438" priority="364" operator="equal">
      <formula>"No programado"</formula>
    </cfRule>
    <cfRule type="cellIs" dxfId="437" priority="365" operator="greaterThan">
      <formula>1</formula>
    </cfRule>
  </conditionalFormatting>
  <conditionalFormatting sqref="T107:U114">
    <cfRule type="cellIs" dxfId="436" priority="366" operator="between">
      <formula>0.69</formula>
      <formula>0.9</formula>
    </cfRule>
    <cfRule type="cellIs" dxfId="435" priority="367" operator="between">
      <formula>0.770000001</formula>
      <formula>1</formula>
    </cfRule>
    <cfRule type="cellIs" dxfId="434" priority="368" operator="lessThan">
      <formula>69</formula>
    </cfRule>
  </conditionalFormatting>
  <conditionalFormatting sqref="V107:V114">
    <cfRule type="cellIs" dxfId="433" priority="362" operator="between">
      <formula>0.95001</formula>
      <formula>1</formula>
    </cfRule>
  </conditionalFormatting>
  <conditionalFormatting sqref="V107:V114">
    <cfRule type="cellIs" dxfId="432" priority="360" operator="equal">
      <formula>"No programado"</formula>
    </cfRule>
    <cfRule type="cellIs" dxfId="431" priority="363" operator="greaterThan">
      <formula>1</formula>
    </cfRule>
  </conditionalFormatting>
  <conditionalFormatting sqref="V107:V114">
    <cfRule type="cellIs" dxfId="430" priority="359" operator="between">
      <formula>0.8</formula>
      <formula>0.95</formula>
    </cfRule>
    <cfRule type="cellIs" dxfId="429" priority="361" operator="lessThan">
      <formula>0.8</formula>
    </cfRule>
  </conditionalFormatting>
  <conditionalFormatting sqref="AC107:AD114">
    <cfRule type="cellIs" dxfId="428" priority="354" operator="equal">
      <formula>"No programado"</formula>
    </cfRule>
    <cfRule type="cellIs" dxfId="427" priority="355" operator="greaterThan">
      <formula>1</formula>
    </cfRule>
  </conditionalFormatting>
  <conditionalFormatting sqref="AC107:AD114">
    <cfRule type="cellIs" dxfId="426" priority="356" operator="between">
      <formula>0.69</formula>
      <formula>0.9</formula>
    </cfRule>
    <cfRule type="cellIs" dxfId="425" priority="357" operator="between">
      <formula>0.770000001</formula>
      <formula>1</formula>
    </cfRule>
    <cfRule type="cellIs" dxfId="424" priority="358" operator="lessThan">
      <formula>69</formula>
    </cfRule>
  </conditionalFormatting>
  <conditionalFormatting sqref="AE107:AE114">
    <cfRule type="cellIs" dxfId="423" priority="352" operator="between">
      <formula>0.95001</formula>
      <formula>1</formula>
    </cfRule>
  </conditionalFormatting>
  <conditionalFormatting sqref="AE107:AE114">
    <cfRule type="cellIs" dxfId="422" priority="350" operator="equal">
      <formula>"No programado"</formula>
    </cfRule>
    <cfRule type="cellIs" dxfId="421" priority="353" operator="greaterThan">
      <formula>1</formula>
    </cfRule>
  </conditionalFormatting>
  <conditionalFormatting sqref="AE107:AE114">
    <cfRule type="cellIs" dxfId="420" priority="349" operator="between">
      <formula>0.8</formula>
      <formula>0.95</formula>
    </cfRule>
    <cfRule type="cellIs" dxfId="419" priority="351" operator="lessThan">
      <formula>0.8</formula>
    </cfRule>
  </conditionalFormatting>
  <conditionalFormatting sqref="AL107:AM114">
    <cfRule type="cellIs" dxfId="418" priority="344" operator="equal">
      <formula>"No programado"</formula>
    </cfRule>
    <cfRule type="cellIs" dxfId="417" priority="345" operator="greaterThan">
      <formula>1</formula>
    </cfRule>
  </conditionalFormatting>
  <conditionalFormatting sqref="AL107:AM114">
    <cfRule type="cellIs" dxfId="416" priority="346" operator="between">
      <formula>0.69</formula>
      <formula>0.9</formula>
    </cfRule>
    <cfRule type="cellIs" dxfId="415" priority="347" operator="between">
      <formula>0.770000001</formula>
      <formula>1</formula>
    </cfRule>
    <cfRule type="cellIs" dxfId="414" priority="348" operator="lessThan">
      <formula>69</formula>
    </cfRule>
  </conditionalFormatting>
  <conditionalFormatting sqref="AN107:AN114">
    <cfRule type="cellIs" dxfId="413" priority="342" operator="between">
      <formula>0.95001</formula>
      <formula>1</formula>
    </cfRule>
  </conditionalFormatting>
  <conditionalFormatting sqref="AN107:AN114">
    <cfRule type="cellIs" dxfId="412" priority="340" operator="equal">
      <formula>"No programado"</formula>
    </cfRule>
    <cfRule type="cellIs" dxfId="411" priority="343" operator="greaterThan">
      <formula>1</formula>
    </cfRule>
  </conditionalFormatting>
  <conditionalFormatting sqref="AN107:AN114">
    <cfRule type="cellIs" dxfId="410" priority="339" operator="between">
      <formula>0.8</formula>
      <formula>0.95</formula>
    </cfRule>
    <cfRule type="cellIs" dxfId="409" priority="341" operator="lessThan">
      <formula>0.8</formula>
    </cfRule>
  </conditionalFormatting>
  <conditionalFormatting sqref="K120:L121">
    <cfRule type="cellIs" dxfId="408" priority="334" operator="equal">
      <formula>"No programado"</formula>
    </cfRule>
    <cfRule type="cellIs" dxfId="407" priority="335" operator="greaterThan">
      <formula>1</formula>
    </cfRule>
  </conditionalFormatting>
  <conditionalFormatting sqref="K120:L121">
    <cfRule type="cellIs" dxfId="406" priority="336" operator="between">
      <formula>0.69</formula>
      <formula>0.9</formula>
    </cfRule>
    <cfRule type="cellIs" dxfId="405" priority="337" operator="between">
      <formula>0.770000001</formula>
      <formula>1</formula>
    </cfRule>
    <cfRule type="cellIs" dxfId="404" priority="338" operator="lessThan">
      <formula>69</formula>
    </cfRule>
  </conditionalFormatting>
  <conditionalFormatting sqref="M120:M121">
    <cfRule type="cellIs" dxfId="403" priority="332" operator="between">
      <formula>0.95001</formula>
      <formula>1</formula>
    </cfRule>
  </conditionalFormatting>
  <conditionalFormatting sqref="M120:M121">
    <cfRule type="cellIs" dxfId="402" priority="330" operator="equal">
      <formula>"No programado"</formula>
    </cfRule>
    <cfRule type="cellIs" dxfId="401" priority="333" operator="greaterThan">
      <formula>1</formula>
    </cfRule>
  </conditionalFormatting>
  <conditionalFormatting sqref="M120:M121">
    <cfRule type="cellIs" dxfId="400" priority="329" operator="between">
      <formula>0.8</formula>
      <formula>0.95</formula>
    </cfRule>
    <cfRule type="cellIs" dxfId="399" priority="331" operator="lessThan">
      <formula>0.8</formula>
    </cfRule>
  </conditionalFormatting>
  <conditionalFormatting sqref="T120:U121">
    <cfRule type="cellIs" dxfId="398" priority="324" operator="equal">
      <formula>"No programado"</formula>
    </cfRule>
    <cfRule type="cellIs" dxfId="397" priority="325" operator="greaterThan">
      <formula>1</formula>
    </cfRule>
  </conditionalFormatting>
  <conditionalFormatting sqref="T120:U121">
    <cfRule type="cellIs" dxfId="396" priority="326" operator="between">
      <formula>0.69</formula>
      <formula>0.9</formula>
    </cfRule>
    <cfRule type="cellIs" dxfId="395" priority="327" operator="between">
      <formula>0.770000001</formula>
      <formula>1</formula>
    </cfRule>
    <cfRule type="cellIs" dxfId="394" priority="328" operator="lessThan">
      <formula>69</formula>
    </cfRule>
  </conditionalFormatting>
  <conditionalFormatting sqref="V120:V121">
    <cfRule type="cellIs" dxfId="393" priority="322" operator="between">
      <formula>0.95001</formula>
      <formula>1</formula>
    </cfRule>
  </conditionalFormatting>
  <conditionalFormatting sqref="V120:V121">
    <cfRule type="cellIs" dxfId="392" priority="320" operator="equal">
      <formula>"No programado"</formula>
    </cfRule>
    <cfRule type="cellIs" dxfId="391" priority="323" operator="greaterThan">
      <formula>1</formula>
    </cfRule>
  </conditionalFormatting>
  <conditionalFormatting sqref="V120:V121">
    <cfRule type="cellIs" dxfId="390" priority="319" operator="between">
      <formula>0.8</formula>
      <formula>0.95</formula>
    </cfRule>
    <cfRule type="cellIs" dxfId="389" priority="321" operator="lessThan">
      <formula>0.8</formula>
    </cfRule>
  </conditionalFormatting>
  <conditionalFormatting sqref="AC120:AD121">
    <cfRule type="cellIs" dxfId="388" priority="314" operator="equal">
      <formula>"No programado"</formula>
    </cfRule>
    <cfRule type="cellIs" dxfId="387" priority="315" operator="greaterThan">
      <formula>1</formula>
    </cfRule>
  </conditionalFormatting>
  <conditionalFormatting sqref="AC120:AD121">
    <cfRule type="cellIs" dxfId="386" priority="316" operator="between">
      <formula>0.69</formula>
      <formula>0.9</formula>
    </cfRule>
    <cfRule type="cellIs" dxfId="385" priority="317" operator="between">
      <formula>0.770000001</formula>
      <formula>1</formula>
    </cfRule>
    <cfRule type="cellIs" dxfId="384" priority="318" operator="lessThan">
      <formula>69</formula>
    </cfRule>
  </conditionalFormatting>
  <conditionalFormatting sqref="AE120:AE121">
    <cfRule type="cellIs" dxfId="383" priority="312" operator="between">
      <formula>0.95001</formula>
      <formula>1</formula>
    </cfRule>
  </conditionalFormatting>
  <conditionalFormatting sqref="AE120:AE121">
    <cfRule type="cellIs" dxfId="382" priority="310" operator="equal">
      <formula>"No programado"</formula>
    </cfRule>
    <cfRule type="cellIs" dxfId="381" priority="313" operator="greaterThan">
      <formula>1</formula>
    </cfRule>
  </conditionalFormatting>
  <conditionalFormatting sqref="AE120:AE121">
    <cfRule type="cellIs" dxfId="380" priority="309" operator="between">
      <formula>0.8</formula>
      <formula>0.95</formula>
    </cfRule>
    <cfRule type="cellIs" dxfId="379" priority="311" operator="lessThan">
      <formula>0.8</formula>
    </cfRule>
  </conditionalFormatting>
  <conditionalFormatting sqref="AL120:AM121">
    <cfRule type="cellIs" dxfId="378" priority="304" operator="equal">
      <formula>"No programado"</formula>
    </cfRule>
    <cfRule type="cellIs" dxfId="377" priority="305" operator="greaterThan">
      <formula>1</formula>
    </cfRule>
  </conditionalFormatting>
  <conditionalFormatting sqref="AL120:AM121">
    <cfRule type="cellIs" dxfId="376" priority="306" operator="between">
      <formula>0.69</formula>
      <formula>0.9</formula>
    </cfRule>
    <cfRule type="cellIs" dxfId="375" priority="307" operator="between">
      <formula>0.770000001</formula>
      <formula>1</formula>
    </cfRule>
    <cfRule type="cellIs" dxfId="374" priority="308" operator="lessThan">
      <formula>69</formula>
    </cfRule>
  </conditionalFormatting>
  <conditionalFormatting sqref="AN120:AN121">
    <cfRule type="cellIs" dxfId="373" priority="302" operator="between">
      <formula>0.95001</formula>
      <formula>1</formula>
    </cfRule>
  </conditionalFormatting>
  <conditionalFormatting sqref="AN120:AN121">
    <cfRule type="cellIs" dxfId="372" priority="300" operator="equal">
      <formula>"No programado"</formula>
    </cfRule>
    <cfRule type="cellIs" dxfId="371" priority="303" operator="greaterThan">
      <formula>1</formula>
    </cfRule>
  </conditionalFormatting>
  <conditionalFormatting sqref="AN120:AN121">
    <cfRule type="cellIs" dxfId="370" priority="299" operator="between">
      <formula>0.8</formula>
      <formula>0.95</formula>
    </cfRule>
    <cfRule type="cellIs" dxfId="369" priority="301" operator="lessThan">
      <formula>0.8</formula>
    </cfRule>
  </conditionalFormatting>
  <conditionalFormatting sqref="K127:L129">
    <cfRule type="cellIs" dxfId="368" priority="294" operator="equal">
      <formula>"No programado"</formula>
    </cfRule>
    <cfRule type="cellIs" dxfId="367" priority="295" operator="greaterThan">
      <formula>1</formula>
    </cfRule>
  </conditionalFormatting>
  <conditionalFormatting sqref="K127:L129">
    <cfRule type="cellIs" dxfId="366" priority="296" operator="between">
      <formula>0.69</formula>
      <formula>0.9</formula>
    </cfRule>
    <cfRule type="cellIs" dxfId="365" priority="297" operator="between">
      <formula>0.770000001</formula>
      <formula>1</formula>
    </cfRule>
    <cfRule type="cellIs" dxfId="364" priority="298" operator="lessThan">
      <formula>69</formula>
    </cfRule>
  </conditionalFormatting>
  <conditionalFormatting sqref="M127:M129">
    <cfRule type="cellIs" dxfId="363" priority="292" operator="between">
      <formula>0.95001</formula>
      <formula>1</formula>
    </cfRule>
  </conditionalFormatting>
  <conditionalFormatting sqref="M127:M129">
    <cfRule type="cellIs" dxfId="362" priority="290" operator="equal">
      <formula>"No programado"</formula>
    </cfRule>
    <cfRule type="cellIs" dxfId="361" priority="293" operator="greaterThan">
      <formula>1</formula>
    </cfRule>
  </conditionalFormatting>
  <conditionalFormatting sqref="M127:M129">
    <cfRule type="cellIs" dxfId="360" priority="289" operator="between">
      <formula>0.8</formula>
      <formula>0.95</formula>
    </cfRule>
    <cfRule type="cellIs" dxfId="359" priority="291" operator="lessThan">
      <formula>0.8</formula>
    </cfRule>
  </conditionalFormatting>
  <conditionalFormatting sqref="T127:U129">
    <cfRule type="cellIs" dxfId="358" priority="284" operator="equal">
      <formula>"No programado"</formula>
    </cfRule>
    <cfRule type="cellIs" dxfId="357" priority="285" operator="greaterThan">
      <formula>1</formula>
    </cfRule>
  </conditionalFormatting>
  <conditionalFormatting sqref="T127:U129">
    <cfRule type="cellIs" dxfId="356" priority="286" operator="between">
      <formula>0.69</formula>
      <formula>0.9</formula>
    </cfRule>
    <cfRule type="cellIs" dxfId="355" priority="287" operator="between">
      <formula>0.770000001</formula>
      <formula>1</formula>
    </cfRule>
    <cfRule type="cellIs" dxfId="354" priority="288" operator="lessThan">
      <formula>69</formula>
    </cfRule>
  </conditionalFormatting>
  <conditionalFormatting sqref="V127:V129">
    <cfRule type="cellIs" dxfId="353" priority="282" operator="between">
      <formula>0.95001</formula>
      <formula>1</formula>
    </cfRule>
  </conditionalFormatting>
  <conditionalFormatting sqref="V127:V129">
    <cfRule type="cellIs" dxfId="352" priority="280" operator="equal">
      <formula>"No programado"</formula>
    </cfRule>
    <cfRule type="cellIs" dxfId="351" priority="283" operator="greaterThan">
      <formula>1</formula>
    </cfRule>
  </conditionalFormatting>
  <conditionalFormatting sqref="V127:V129">
    <cfRule type="cellIs" dxfId="350" priority="279" operator="between">
      <formula>0.8</formula>
      <formula>0.95</formula>
    </cfRule>
    <cfRule type="cellIs" dxfId="349" priority="281" operator="lessThan">
      <formula>0.8</formula>
    </cfRule>
  </conditionalFormatting>
  <conditionalFormatting sqref="AC127:AD129">
    <cfRule type="cellIs" dxfId="348" priority="274" operator="equal">
      <formula>"No programado"</formula>
    </cfRule>
    <cfRule type="cellIs" dxfId="347" priority="275" operator="greaterThan">
      <formula>1</formula>
    </cfRule>
  </conditionalFormatting>
  <conditionalFormatting sqref="AC127:AD129">
    <cfRule type="cellIs" dxfId="346" priority="276" operator="between">
      <formula>0.69</formula>
      <formula>0.9</formula>
    </cfRule>
    <cfRule type="cellIs" dxfId="345" priority="277" operator="between">
      <formula>0.770000001</formula>
      <formula>1</formula>
    </cfRule>
    <cfRule type="cellIs" dxfId="344" priority="278" operator="lessThan">
      <formula>69</formula>
    </cfRule>
  </conditionalFormatting>
  <conditionalFormatting sqref="AE127:AE129">
    <cfRule type="cellIs" dxfId="343" priority="272" operator="between">
      <formula>0.95001</formula>
      <formula>1</formula>
    </cfRule>
  </conditionalFormatting>
  <conditionalFormatting sqref="AE127:AE129">
    <cfRule type="cellIs" dxfId="342" priority="270" operator="equal">
      <formula>"No programado"</formula>
    </cfRule>
    <cfRule type="cellIs" dxfId="341" priority="273" operator="greaterThan">
      <formula>1</formula>
    </cfRule>
  </conditionalFormatting>
  <conditionalFormatting sqref="AE127:AE129">
    <cfRule type="cellIs" dxfId="340" priority="269" operator="between">
      <formula>0.8</formula>
      <formula>0.95</formula>
    </cfRule>
    <cfRule type="cellIs" dxfId="339" priority="271" operator="lessThan">
      <formula>0.8</formula>
    </cfRule>
  </conditionalFormatting>
  <conditionalFormatting sqref="AL127:AM129">
    <cfRule type="cellIs" dxfId="338" priority="264" operator="equal">
      <formula>"No programado"</formula>
    </cfRule>
    <cfRule type="cellIs" dxfId="337" priority="265" operator="greaterThan">
      <formula>1</formula>
    </cfRule>
  </conditionalFormatting>
  <conditionalFormatting sqref="AL127:AM129">
    <cfRule type="cellIs" dxfId="336" priority="266" operator="between">
      <formula>0.69</formula>
      <formula>0.9</formula>
    </cfRule>
    <cfRule type="cellIs" dxfId="335" priority="267" operator="between">
      <formula>0.770000001</formula>
      <formula>1</formula>
    </cfRule>
    <cfRule type="cellIs" dxfId="334" priority="268" operator="lessThan">
      <formula>69</formula>
    </cfRule>
  </conditionalFormatting>
  <conditionalFormatting sqref="AN127:AN129">
    <cfRule type="cellIs" dxfId="333" priority="262" operator="between">
      <formula>0.95001</formula>
      <formula>1</formula>
    </cfRule>
  </conditionalFormatting>
  <conditionalFormatting sqref="AN127:AN129">
    <cfRule type="cellIs" dxfId="332" priority="260" operator="equal">
      <formula>"No programado"</formula>
    </cfRule>
    <cfRule type="cellIs" dxfId="331" priority="263" operator="greaterThan">
      <formula>1</formula>
    </cfRule>
  </conditionalFormatting>
  <conditionalFormatting sqref="AN127:AN129">
    <cfRule type="cellIs" dxfId="330" priority="259" operator="between">
      <formula>0.8</formula>
      <formula>0.95</formula>
    </cfRule>
    <cfRule type="cellIs" dxfId="329" priority="261" operator="lessThan">
      <formula>0.8</formula>
    </cfRule>
  </conditionalFormatting>
  <conditionalFormatting sqref="K135:L135">
    <cfRule type="cellIs" dxfId="328" priority="254" operator="equal">
      <formula>"No programado"</formula>
    </cfRule>
    <cfRule type="cellIs" dxfId="327" priority="255" operator="greaterThan">
      <formula>1</formula>
    </cfRule>
  </conditionalFormatting>
  <conditionalFormatting sqref="K135:L135">
    <cfRule type="cellIs" dxfId="326" priority="256" operator="between">
      <formula>0.69</formula>
      <formula>0.9</formula>
    </cfRule>
    <cfRule type="cellIs" dxfId="325" priority="257" operator="between">
      <formula>0.770000001</formula>
      <formula>1</formula>
    </cfRule>
    <cfRule type="cellIs" dxfId="324" priority="258" operator="lessThan">
      <formula>69</formula>
    </cfRule>
  </conditionalFormatting>
  <conditionalFormatting sqref="M135">
    <cfRule type="cellIs" dxfId="323" priority="252" operator="between">
      <formula>0.95001</formula>
      <formula>1</formula>
    </cfRule>
  </conditionalFormatting>
  <conditionalFormatting sqref="M135">
    <cfRule type="cellIs" dxfId="322" priority="250" operator="equal">
      <formula>"No programado"</formula>
    </cfRule>
    <cfRule type="cellIs" dxfId="321" priority="253" operator="greaterThan">
      <formula>1</formula>
    </cfRule>
  </conditionalFormatting>
  <conditionalFormatting sqref="M135">
    <cfRule type="cellIs" dxfId="320" priority="249" operator="between">
      <formula>0.8</formula>
      <formula>0.95</formula>
    </cfRule>
    <cfRule type="cellIs" dxfId="319" priority="251" operator="lessThan">
      <formula>0.8</formula>
    </cfRule>
  </conditionalFormatting>
  <conditionalFormatting sqref="K136:L138">
    <cfRule type="cellIs" dxfId="318" priority="244" operator="equal">
      <formula>"No programado"</formula>
    </cfRule>
    <cfRule type="cellIs" dxfId="317" priority="245" operator="greaterThan">
      <formula>1</formula>
    </cfRule>
  </conditionalFormatting>
  <conditionalFormatting sqref="K136:L138">
    <cfRule type="cellIs" dxfId="316" priority="246" operator="between">
      <formula>0.69</formula>
      <formula>0.9</formula>
    </cfRule>
    <cfRule type="cellIs" dxfId="315" priority="247" operator="between">
      <formula>0.770000001</formula>
      <formula>1</formula>
    </cfRule>
    <cfRule type="cellIs" dxfId="314" priority="248" operator="lessThan">
      <formula>69</formula>
    </cfRule>
  </conditionalFormatting>
  <conditionalFormatting sqref="M136:M138">
    <cfRule type="cellIs" dxfId="313" priority="242" operator="between">
      <formula>0.95001</formula>
      <formula>1</formula>
    </cfRule>
  </conditionalFormatting>
  <conditionalFormatting sqref="M136:M138">
    <cfRule type="cellIs" dxfId="312" priority="240" operator="equal">
      <formula>"No programado"</formula>
    </cfRule>
    <cfRule type="cellIs" dxfId="311" priority="243" operator="greaterThan">
      <formula>1</formula>
    </cfRule>
  </conditionalFormatting>
  <conditionalFormatting sqref="M136:M138">
    <cfRule type="cellIs" dxfId="310" priority="239" operator="between">
      <formula>0.8</formula>
      <formula>0.95</formula>
    </cfRule>
    <cfRule type="cellIs" dxfId="309" priority="241" operator="lessThan">
      <formula>0.8</formula>
    </cfRule>
  </conditionalFormatting>
  <conditionalFormatting sqref="T135:U135">
    <cfRule type="cellIs" dxfId="308" priority="234" operator="equal">
      <formula>"No programado"</formula>
    </cfRule>
    <cfRule type="cellIs" dxfId="307" priority="235" operator="greaterThan">
      <formula>1</formula>
    </cfRule>
  </conditionalFormatting>
  <conditionalFormatting sqref="T135:U135">
    <cfRule type="cellIs" dxfId="306" priority="236" operator="between">
      <formula>0.69</formula>
      <formula>0.9</formula>
    </cfRule>
    <cfRule type="cellIs" dxfId="305" priority="237" operator="between">
      <formula>0.770000001</formula>
      <formula>1</formula>
    </cfRule>
    <cfRule type="cellIs" dxfId="304" priority="238" operator="lessThan">
      <formula>69</formula>
    </cfRule>
  </conditionalFormatting>
  <conditionalFormatting sqref="V135">
    <cfRule type="cellIs" dxfId="303" priority="232" operator="between">
      <formula>0.95001</formula>
      <formula>1</formula>
    </cfRule>
  </conditionalFormatting>
  <conditionalFormatting sqref="V135">
    <cfRule type="cellIs" dxfId="302" priority="230" operator="equal">
      <formula>"No programado"</formula>
    </cfRule>
    <cfRule type="cellIs" dxfId="301" priority="233" operator="greaterThan">
      <formula>1</formula>
    </cfRule>
  </conditionalFormatting>
  <conditionalFormatting sqref="V135">
    <cfRule type="cellIs" dxfId="300" priority="229" operator="between">
      <formula>0.8</formula>
      <formula>0.95</formula>
    </cfRule>
    <cfRule type="cellIs" dxfId="299" priority="231" operator="lessThan">
      <formula>0.8</formula>
    </cfRule>
  </conditionalFormatting>
  <conditionalFormatting sqref="T136:U138">
    <cfRule type="cellIs" dxfId="298" priority="224" operator="equal">
      <formula>"No programado"</formula>
    </cfRule>
    <cfRule type="cellIs" dxfId="297" priority="225" operator="greaterThan">
      <formula>1</formula>
    </cfRule>
  </conditionalFormatting>
  <conditionalFormatting sqref="T136:U138">
    <cfRule type="cellIs" dxfId="296" priority="226" operator="between">
      <formula>0.69</formula>
      <formula>0.9</formula>
    </cfRule>
    <cfRule type="cellIs" dxfId="295" priority="227" operator="between">
      <formula>0.770000001</formula>
      <formula>1</formula>
    </cfRule>
    <cfRule type="cellIs" dxfId="294" priority="228" operator="lessThan">
      <formula>69</formula>
    </cfRule>
  </conditionalFormatting>
  <conditionalFormatting sqref="V136:V138">
    <cfRule type="cellIs" dxfId="293" priority="222" operator="between">
      <formula>0.95001</formula>
      <formula>1</formula>
    </cfRule>
  </conditionalFormatting>
  <conditionalFormatting sqref="V136:V138">
    <cfRule type="cellIs" dxfId="292" priority="220" operator="equal">
      <formula>"No programado"</formula>
    </cfRule>
    <cfRule type="cellIs" dxfId="291" priority="223" operator="greaterThan">
      <formula>1</formula>
    </cfRule>
  </conditionalFormatting>
  <conditionalFormatting sqref="V136:V138">
    <cfRule type="cellIs" dxfId="290" priority="219" operator="between">
      <formula>0.8</formula>
      <formula>0.95</formula>
    </cfRule>
    <cfRule type="cellIs" dxfId="289" priority="221" operator="lessThan">
      <formula>0.8</formula>
    </cfRule>
  </conditionalFormatting>
  <conditionalFormatting sqref="AC135:AD135">
    <cfRule type="cellIs" dxfId="288" priority="214" operator="equal">
      <formula>"No programado"</formula>
    </cfRule>
    <cfRule type="cellIs" dxfId="287" priority="215" operator="greaterThan">
      <formula>1</formula>
    </cfRule>
  </conditionalFormatting>
  <conditionalFormatting sqref="AC135:AD135">
    <cfRule type="cellIs" dxfId="286" priority="216" operator="between">
      <formula>0.69</formula>
      <formula>0.9</formula>
    </cfRule>
    <cfRule type="cellIs" dxfId="285" priority="217" operator="between">
      <formula>0.770000001</formula>
      <formula>1</formula>
    </cfRule>
    <cfRule type="cellIs" dxfId="284" priority="218" operator="lessThan">
      <formula>69</formula>
    </cfRule>
  </conditionalFormatting>
  <conditionalFormatting sqref="AE135">
    <cfRule type="cellIs" dxfId="283" priority="212" operator="between">
      <formula>0.95001</formula>
      <formula>1</formula>
    </cfRule>
  </conditionalFormatting>
  <conditionalFormatting sqref="AE135">
    <cfRule type="cellIs" dxfId="282" priority="210" operator="equal">
      <formula>"No programado"</formula>
    </cfRule>
    <cfRule type="cellIs" dxfId="281" priority="213" operator="greaterThan">
      <formula>1</formula>
    </cfRule>
  </conditionalFormatting>
  <conditionalFormatting sqref="AE135">
    <cfRule type="cellIs" dxfId="280" priority="209" operator="between">
      <formula>0.8</formula>
      <formula>0.95</formula>
    </cfRule>
    <cfRule type="cellIs" dxfId="279" priority="211" operator="lessThan">
      <formula>0.8</formula>
    </cfRule>
  </conditionalFormatting>
  <conditionalFormatting sqref="AC136:AD138">
    <cfRule type="cellIs" dxfId="278" priority="204" operator="equal">
      <formula>"No programado"</formula>
    </cfRule>
    <cfRule type="cellIs" dxfId="277" priority="205" operator="greaterThan">
      <formula>1</formula>
    </cfRule>
  </conditionalFormatting>
  <conditionalFormatting sqref="AC136:AD138">
    <cfRule type="cellIs" dxfId="276" priority="206" operator="between">
      <formula>0.69</formula>
      <formula>0.9</formula>
    </cfRule>
    <cfRule type="cellIs" dxfId="275" priority="207" operator="between">
      <formula>0.770000001</formula>
      <formula>1</formula>
    </cfRule>
    <cfRule type="cellIs" dxfId="274" priority="208" operator="lessThan">
      <formula>69</formula>
    </cfRule>
  </conditionalFormatting>
  <conditionalFormatting sqref="AE136:AE138">
    <cfRule type="cellIs" dxfId="273" priority="202" operator="between">
      <formula>0.95001</formula>
      <formula>1</formula>
    </cfRule>
  </conditionalFormatting>
  <conditionalFormatting sqref="AE136:AE138">
    <cfRule type="cellIs" dxfId="272" priority="200" operator="equal">
      <formula>"No programado"</formula>
    </cfRule>
    <cfRule type="cellIs" dxfId="271" priority="203" operator="greaterThan">
      <formula>1</formula>
    </cfRule>
  </conditionalFormatting>
  <conditionalFormatting sqref="AE136:AE138">
    <cfRule type="cellIs" dxfId="270" priority="199" operator="between">
      <formula>0.8</formula>
      <formula>0.95</formula>
    </cfRule>
    <cfRule type="cellIs" dxfId="269" priority="201" operator="lessThan">
      <formula>0.8</formula>
    </cfRule>
  </conditionalFormatting>
  <conditionalFormatting sqref="AL135:AM135">
    <cfRule type="cellIs" dxfId="268" priority="194" operator="equal">
      <formula>"No programado"</formula>
    </cfRule>
    <cfRule type="cellIs" dxfId="267" priority="195" operator="greaterThan">
      <formula>1</formula>
    </cfRule>
  </conditionalFormatting>
  <conditionalFormatting sqref="AL135:AM135">
    <cfRule type="cellIs" dxfId="266" priority="196" operator="between">
      <formula>0.69</formula>
      <formula>0.9</formula>
    </cfRule>
    <cfRule type="cellIs" dxfId="265" priority="197" operator="between">
      <formula>0.770000001</formula>
      <formula>1</formula>
    </cfRule>
    <cfRule type="cellIs" dxfId="264" priority="198" operator="lessThan">
      <formula>69</formula>
    </cfRule>
  </conditionalFormatting>
  <conditionalFormatting sqref="AN135">
    <cfRule type="cellIs" dxfId="263" priority="192" operator="between">
      <formula>0.95001</formula>
      <formula>1</formula>
    </cfRule>
  </conditionalFormatting>
  <conditionalFormatting sqref="AN135">
    <cfRule type="cellIs" dxfId="262" priority="190" operator="equal">
      <formula>"No programado"</formula>
    </cfRule>
    <cfRule type="cellIs" dxfId="261" priority="193" operator="greaterThan">
      <formula>1</formula>
    </cfRule>
  </conditionalFormatting>
  <conditionalFormatting sqref="AN135">
    <cfRule type="cellIs" dxfId="260" priority="189" operator="between">
      <formula>0.8</formula>
      <formula>0.95</formula>
    </cfRule>
    <cfRule type="cellIs" dxfId="259" priority="191" operator="lessThan">
      <formula>0.8</formula>
    </cfRule>
  </conditionalFormatting>
  <conditionalFormatting sqref="AL136:AM138">
    <cfRule type="cellIs" dxfId="258" priority="184" operator="equal">
      <formula>"No programado"</formula>
    </cfRule>
    <cfRule type="cellIs" dxfId="257" priority="185" operator="greaterThan">
      <formula>1</formula>
    </cfRule>
  </conditionalFormatting>
  <conditionalFormatting sqref="AL136:AM138">
    <cfRule type="cellIs" dxfId="256" priority="186" operator="between">
      <formula>0.69</formula>
      <formula>0.9</formula>
    </cfRule>
    <cfRule type="cellIs" dxfId="255" priority="187" operator="between">
      <formula>0.770000001</formula>
      <formula>1</formula>
    </cfRule>
    <cfRule type="cellIs" dxfId="254" priority="188" operator="lessThan">
      <formula>69</formula>
    </cfRule>
  </conditionalFormatting>
  <conditionalFormatting sqref="AN136:AN138">
    <cfRule type="cellIs" dxfId="253" priority="182" operator="between">
      <formula>0.95001</formula>
      <formula>1</formula>
    </cfRule>
  </conditionalFormatting>
  <conditionalFormatting sqref="AN136:AN138">
    <cfRule type="cellIs" dxfId="252" priority="180" operator="equal">
      <formula>"No programado"</formula>
    </cfRule>
    <cfRule type="cellIs" dxfId="251" priority="183" operator="greaterThan">
      <formula>1</formula>
    </cfRule>
  </conditionalFormatting>
  <conditionalFormatting sqref="AN136:AN138">
    <cfRule type="cellIs" dxfId="250" priority="179" operator="between">
      <formula>0.8</formula>
      <formula>0.95</formula>
    </cfRule>
    <cfRule type="cellIs" dxfId="249" priority="181" operator="lessThan">
      <formula>0.8</formula>
    </cfRule>
  </conditionalFormatting>
  <conditionalFormatting sqref="K144:L147">
    <cfRule type="cellIs" dxfId="248" priority="174" operator="equal">
      <formula>"No programado"</formula>
    </cfRule>
    <cfRule type="cellIs" dxfId="247" priority="175" operator="greaterThan">
      <formula>1</formula>
    </cfRule>
  </conditionalFormatting>
  <conditionalFormatting sqref="K144:L147">
    <cfRule type="cellIs" dxfId="246" priority="176" operator="between">
      <formula>0.69</formula>
      <formula>0.9</formula>
    </cfRule>
    <cfRule type="cellIs" dxfId="245" priority="177" operator="between">
      <formula>0.770000001</formula>
      <formula>1</formula>
    </cfRule>
    <cfRule type="cellIs" dxfId="244" priority="178" operator="lessThan">
      <formula>69</formula>
    </cfRule>
  </conditionalFormatting>
  <conditionalFormatting sqref="M144:M147">
    <cfRule type="cellIs" dxfId="243" priority="172" operator="between">
      <formula>0.95001</formula>
      <formula>1</formula>
    </cfRule>
  </conditionalFormatting>
  <conditionalFormatting sqref="M144:M147">
    <cfRule type="cellIs" dxfId="242" priority="170" operator="equal">
      <formula>"No programado"</formula>
    </cfRule>
    <cfRule type="cellIs" dxfId="241" priority="173" operator="greaterThan">
      <formula>1</formula>
    </cfRule>
  </conditionalFormatting>
  <conditionalFormatting sqref="M144:M147">
    <cfRule type="cellIs" dxfId="240" priority="169" operator="between">
      <formula>0.8</formula>
      <formula>0.95</formula>
    </cfRule>
    <cfRule type="cellIs" dxfId="239" priority="171" operator="lessThan">
      <formula>0.8</formula>
    </cfRule>
  </conditionalFormatting>
  <conditionalFormatting sqref="T144:U147">
    <cfRule type="cellIs" dxfId="238" priority="164" operator="equal">
      <formula>"No programado"</formula>
    </cfRule>
    <cfRule type="cellIs" dxfId="237" priority="165" operator="greaterThan">
      <formula>1</formula>
    </cfRule>
  </conditionalFormatting>
  <conditionalFormatting sqref="T144:U147">
    <cfRule type="cellIs" dxfId="236" priority="166" operator="between">
      <formula>0.69</formula>
      <formula>0.9</formula>
    </cfRule>
    <cfRule type="cellIs" dxfId="235" priority="167" operator="between">
      <formula>0.770000001</formula>
      <formula>1</formula>
    </cfRule>
    <cfRule type="cellIs" dxfId="234" priority="168" operator="lessThan">
      <formula>69</formula>
    </cfRule>
  </conditionalFormatting>
  <conditionalFormatting sqref="V144:V147">
    <cfRule type="cellIs" dxfId="233" priority="162" operator="between">
      <formula>0.95001</formula>
      <formula>1</formula>
    </cfRule>
  </conditionalFormatting>
  <conditionalFormatting sqref="V144:V147">
    <cfRule type="cellIs" dxfId="232" priority="160" operator="equal">
      <formula>"No programado"</formula>
    </cfRule>
    <cfRule type="cellIs" dxfId="231" priority="163" operator="greaterThan">
      <formula>1</formula>
    </cfRule>
  </conditionalFormatting>
  <conditionalFormatting sqref="V144:V147">
    <cfRule type="cellIs" dxfId="230" priority="159" operator="between">
      <formula>0.8</formula>
      <formula>0.95</formula>
    </cfRule>
    <cfRule type="cellIs" dxfId="229" priority="161" operator="lessThan">
      <formula>0.8</formula>
    </cfRule>
  </conditionalFormatting>
  <conditionalFormatting sqref="AC144:AD147">
    <cfRule type="cellIs" dxfId="228" priority="154" operator="equal">
      <formula>"No programado"</formula>
    </cfRule>
    <cfRule type="cellIs" dxfId="227" priority="155" operator="greaterThan">
      <formula>1</formula>
    </cfRule>
  </conditionalFormatting>
  <conditionalFormatting sqref="AC144:AD147">
    <cfRule type="cellIs" dxfId="226" priority="156" operator="between">
      <formula>0.69</formula>
      <formula>0.9</formula>
    </cfRule>
    <cfRule type="cellIs" dxfId="225" priority="157" operator="between">
      <formula>0.770000001</formula>
      <formula>1</formula>
    </cfRule>
    <cfRule type="cellIs" dxfId="224" priority="158" operator="lessThan">
      <formula>69</formula>
    </cfRule>
  </conditionalFormatting>
  <conditionalFormatting sqref="AE144:AE147">
    <cfRule type="cellIs" dxfId="223" priority="152" operator="between">
      <formula>0.95001</formula>
      <formula>1</formula>
    </cfRule>
  </conditionalFormatting>
  <conditionalFormatting sqref="AE144:AE147">
    <cfRule type="cellIs" dxfId="222" priority="150" operator="equal">
      <formula>"No programado"</formula>
    </cfRule>
    <cfRule type="cellIs" dxfId="221" priority="153" operator="greaterThan">
      <formula>1</formula>
    </cfRule>
  </conditionalFormatting>
  <conditionalFormatting sqref="AE144:AE147">
    <cfRule type="cellIs" dxfId="220" priority="149" operator="between">
      <formula>0.8</formula>
      <formula>0.95</formula>
    </cfRule>
    <cfRule type="cellIs" dxfId="219" priority="151" operator="lessThan">
      <formula>0.8</formula>
    </cfRule>
  </conditionalFormatting>
  <conditionalFormatting sqref="K153:L157">
    <cfRule type="cellIs" dxfId="218" priority="144" operator="equal">
      <formula>"No programado"</formula>
    </cfRule>
    <cfRule type="cellIs" dxfId="217" priority="145" operator="greaterThan">
      <formula>1</formula>
    </cfRule>
  </conditionalFormatting>
  <conditionalFormatting sqref="K153:L157">
    <cfRule type="cellIs" dxfId="216" priority="146" operator="between">
      <formula>0.69</formula>
      <formula>0.9</formula>
    </cfRule>
    <cfRule type="cellIs" dxfId="215" priority="147" operator="between">
      <formula>0.770000001</formula>
      <formula>1</formula>
    </cfRule>
    <cfRule type="cellIs" dxfId="214" priority="148" operator="lessThan">
      <formula>69</formula>
    </cfRule>
  </conditionalFormatting>
  <conditionalFormatting sqref="M153:M157">
    <cfRule type="cellIs" dxfId="213" priority="142" operator="between">
      <formula>0.95001</formula>
      <formula>1</formula>
    </cfRule>
  </conditionalFormatting>
  <conditionalFormatting sqref="M153:M157">
    <cfRule type="cellIs" dxfId="212" priority="140" operator="equal">
      <formula>"No programado"</formula>
    </cfRule>
    <cfRule type="cellIs" dxfId="211" priority="143" operator="greaterThan">
      <formula>1</formula>
    </cfRule>
  </conditionalFormatting>
  <conditionalFormatting sqref="M153:M157">
    <cfRule type="cellIs" dxfId="210" priority="139" operator="between">
      <formula>0.8</formula>
      <formula>0.95</formula>
    </cfRule>
    <cfRule type="cellIs" dxfId="209" priority="141" operator="lessThan">
      <formula>0.8</formula>
    </cfRule>
  </conditionalFormatting>
  <conditionalFormatting sqref="T153:U157">
    <cfRule type="cellIs" dxfId="208" priority="134" operator="equal">
      <formula>"No programado"</formula>
    </cfRule>
    <cfRule type="cellIs" dxfId="207" priority="135" operator="greaterThan">
      <formula>1</formula>
    </cfRule>
  </conditionalFormatting>
  <conditionalFormatting sqref="T153:U157">
    <cfRule type="cellIs" dxfId="206" priority="136" operator="between">
      <formula>0.69</formula>
      <formula>0.9</formula>
    </cfRule>
    <cfRule type="cellIs" dxfId="205" priority="137" operator="between">
      <formula>0.770000001</formula>
      <formula>1</formula>
    </cfRule>
    <cfRule type="cellIs" dxfId="204" priority="138" operator="lessThan">
      <formula>69</formula>
    </cfRule>
  </conditionalFormatting>
  <conditionalFormatting sqref="V153:V157">
    <cfRule type="cellIs" dxfId="203" priority="132" operator="between">
      <formula>0.95001</formula>
      <formula>1</formula>
    </cfRule>
  </conditionalFormatting>
  <conditionalFormatting sqref="V153:V157">
    <cfRule type="cellIs" dxfId="202" priority="130" operator="equal">
      <formula>"No programado"</formula>
    </cfRule>
    <cfRule type="cellIs" dxfId="201" priority="133" operator="greaterThan">
      <formula>1</formula>
    </cfRule>
  </conditionalFormatting>
  <conditionalFormatting sqref="V153:V157">
    <cfRule type="cellIs" dxfId="200" priority="129" operator="between">
      <formula>0.8</formula>
      <formula>0.95</formula>
    </cfRule>
    <cfRule type="cellIs" dxfId="199" priority="131" operator="lessThan">
      <formula>0.8</formula>
    </cfRule>
  </conditionalFormatting>
  <conditionalFormatting sqref="AC153:AD157">
    <cfRule type="cellIs" dxfId="198" priority="124" operator="equal">
      <formula>"No programado"</formula>
    </cfRule>
    <cfRule type="cellIs" dxfId="197" priority="125" operator="greaterThan">
      <formula>1</formula>
    </cfRule>
  </conditionalFormatting>
  <conditionalFormatting sqref="AC153:AD157">
    <cfRule type="cellIs" dxfId="196" priority="126" operator="between">
      <formula>0.69</formula>
      <formula>0.9</formula>
    </cfRule>
    <cfRule type="cellIs" dxfId="195" priority="127" operator="between">
      <formula>0.770000001</formula>
      <formula>1</formula>
    </cfRule>
    <cfRule type="cellIs" dxfId="194" priority="128" operator="lessThan">
      <formula>69</formula>
    </cfRule>
  </conditionalFormatting>
  <conditionalFormatting sqref="AE153:AE157">
    <cfRule type="cellIs" dxfId="193" priority="122" operator="between">
      <formula>0.95001</formula>
      <formula>1</formula>
    </cfRule>
  </conditionalFormatting>
  <conditionalFormatting sqref="AE153:AE157">
    <cfRule type="cellIs" dxfId="192" priority="120" operator="equal">
      <formula>"No programado"</formula>
    </cfRule>
    <cfRule type="cellIs" dxfId="191" priority="123" operator="greaterThan">
      <formula>1</formula>
    </cfRule>
  </conditionalFormatting>
  <conditionalFormatting sqref="AE153:AE157">
    <cfRule type="cellIs" dxfId="190" priority="119" operator="between">
      <formula>0.8</formula>
      <formula>0.95</formula>
    </cfRule>
    <cfRule type="cellIs" dxfId="189" priority="121" operator="lessThan">
      <formula>0.8</formula>
    </cfRule>
  </conditionalFormatting>
  <conditionalFormatting sqref="K163:L165">
    <cfRule type="cellIs" dxfId="188" priority="114" operator="equal">
      <formula>"No programado"</formula>
    </cfRule>
    <cfRule type="cellIs" dxfId="187" priority="115" operator="greaterThan">
      <formula>1</formula>
    </cfRule>
  </conditionalFormatting>
  <conditionalFormatting sqref="K163:L165">
    <cfRule type="cellIs" dxfId="186" priority="116" operator="between">
      <formula>0.69</formula>
      <formula>0.9</formula>
    </cfRule>
    <cfRule type="cellIs" dxfId="185" priority="117" operator="between">
      <formula>0.770000001</formula>
      <formula>1</formula>
    </cfRule>
    <cfRule type="cellIs" dxfId="184" priority="118" operator="lessThan">
      <formula>69</formula>
    </cfRule>
  </conditionalFormatting>
  <conditionalFormatting sqref="M163:M165">
    <cfRule type="cellIs" dxfId="183" priority="112" operator="between">
      <formula>0.95001</formula>
      <formula>1</formula>
    </cfRule>
  </conditionalFormatting>
  <conditionalFormatting sqref="M163:M165">
    <cfRule type="cellIs" dxfId="182" priority="110" operator="equal">
      <formula>"No programado"</formula>
    </cfRule>
    <cfRule type="cellIs" dxfId="181" priority="113" operator="greaterThan">
      <formula>1</formula>
    </cfRule>
  </conditionalFormatting>
  <conditionalFormatting sqref="M163:M165">
    <cfRule type="cellIs" dxfId="180" priority="109" operator="between">
      <formula>0.8</formula>
      <formula>0.95</formula>
    </cfRule>
    <cfRule type="cellIs" dxfId="179" priority="111" operator="lessThan">
      <formula>0.8</formula>
    </cfRule>
  </conditionalFormatting>
  <conditionalFormatting sqref="T163:U165">
    <cfRule type="cellIs" dxfId="178" priority="104" operator="equal">
      <formula>"No programado"</formula>
    </cfRule>
    <cfRule type="cellIs" dxfId="177" priority="105" operator="greaterThan">
      <formula>1</formula>
    </cfRule>
  </conditionalFormatting>
  <conditionalFormatting sqref="T163:U165">
    <cfRule type="cellIs" dxfId="176" priority="106" operator="between">
      <formula>0.69</formula>
      <formula>0.9</formula>
    </cfRule>
    <cfRule type="cellIs" dxfId="175" priority="107" operator="between">
      <formula>0.770000001</formula>
      <formula>1</formula>
    </cfRule>
    <cfRule type="cellIs" dxfId="174" priority="108" operator="lessThan">
      <formula>69</formula>
    </cfRule>
  </conditionalFormatting>
  <conditionalFormatting sqref="V163:V165">
    <cfRule type="cellIs" dxfId="173" priority="102" operator="between">
      <formula>0.95001</formula>
      <formula>1</formula>
    </cfRule>
  </conditionalFormatting>
  <conditionalFormatting sqref="V163:V165">
    <cfRule type="cellIs" dxfId="172" priority="100" operator="equal">
      <formula>"No programado"</formula>
    </cfRule>
    <cfRule type="cellIs" dxfId="171" priority="103" operator="greaterThan">
      <formula>1</formula>
    </cfRule>
  </conditionalFormatting>
  <conditionalFormatting sqref="V163:V165">
    <cfRule type="cellIs" dxfId="170" priority="99" operator="between">
      <formula>0.8</formula>
      <formula>0.95</formula>
    </cfRule>
    <cfRule type="cellIs" dxfId="169" priority="101" operator="lessThan">
      <formula>0.8</formula>
    </cfRule>
  </conditionalFormatting>
  <conditionalFormatting sqref="AC163:AD165">
    <cfRule type="cellIs" dxfId="168" priority="94" operator="equal">
      <formula>"No programado"</formula>
    </cfRule>
    <cfRule type="cellIs" dxfId="167" priority="95" operator="greaterThan">
      <formula>1</formula>
    </cfRule>
  </conditionalFormatting>
  <conditionalFormatting sqref="AC163:AD165">
    <cfRule type="cellIs" dxfId="166" priority="96" operator="between">
      <formula>0.69</formula>
      <formula>0.9</formula>
    </cfRule>
    <cfRule type="cellIs" dxfId="165" priority="97" operator="between">
      <formula>0.770000001</formula>
      <formula>1</formula>
    </cfRule>
    <cfRule type="cellIs" dxfId="164" priority="98" operator="lessThan">
      <formula>69</formula>
    </cfRule>
  </conditionalFormatting>
  <conditionalFormatting sqref="AE163:AE165">
    <cfRule type="cellIs" dxfId="163" priority="92" operator="between">
      <formula>0.95001</formula>
      <formula>1</formula>
    </cfRule>
  </conditionalFormatting>
  <conditionalFormatting sqref="AE163:AE165">
    <cfRule type="cellIs" dxfId="162" priority="90" operator="equal">
      <formula>"No programado"</formula>
    </cfRule>
    <cfRule type="cellIs" dxfId="161" priority="93" operator="greaterThan">
      <formula>1</formula>
    </cfRule>
  </conditionalFormatting>
  <conditionalFormatting sqref="AE163:AE165">
    <cfRule type="cellIs" dxfId="160" priority="89" operator="between">
      <formula>0.8</formula>
      <formula>0.95</formula>
    </cfRule>
    <cfRule type="cellIs" dxfId="159" priority="91" operator="lessThan">
      <formula>0.8</formula>
    </cfRule>
  </conditionalFormatting>
  <conditionalFormatting sqref="K171:L173">
    <cfRule type="cellIs" dxfId="158" priority="84" operator="equal">
      <formula>"No programado"</formula>
    </cfRule>
    <cfRule type="cellIs" dxfId="157" priority="85" operator="greaterThan">
      <formula>1</formula>
    </cfRule>
  </conditionalFormatting>
  <conditionalFormatting sqref="K171:L173">
    <cfRule type="cellIs" dxfId="156" priority="86" operator="between">
      <formula>0.69</formula>
      <formula>0.9</formula>
    </cfRule>
    <cfRule type="cellIs" dxfId="155" priority="87" operator="between">
      <formula>0.770000001</formula>
      <formula>1</formula>
    </cfRule>
    <cfRule type="cellIs" dxfId="154" priority="88" operator="lessThan">
      <formula>69</formula>
    </cfRule>
  </conditionalFormatting>
  <conditionalFormatting sqref="M171:M173">
    <cfRule type="cellIs" dxfId="153" priority="82" operator="between">
      <formula>0.95001</formula>
      <formula>1</formula>
    </cfRule>
  </conditionalFormatting>
  <conditionalFormatting sqref="M171:M173">
    <cfRule type="cellIs" dxfId="152" priority="80" operator="equal">
      <formula>"No programado"</formula>
    </cfRule>
    <cfRule type="cellIs" dxfId="151" priority="83" operator="greaterThan">
      <formula>1</formula>
    </cfRule>
  </conditionalFormatting>
  <conditionalFormatting sqref="M171:M173">
    <cfRule type="cellIs" dxfId="150" priority="79" operator="between">
      <formula>0.8</formula>
      <formula>0.95</formula>
    </cfRule>
    <cfRule type="cellIs" dxfId="149" priority="81" operator="lessThan">
      <formula>0.8</formula>
    </cfRule>
  </conditionalFormatting>
  <conditionalFormatting sqref="T171:U173">
    <cfRule type="cellIs" dxfId="148" priority="74" operator="equal">
      <formula>"No programado"</formula>
    </cfRule>
    <cfRule type="cellIs" dxfId="147" priority="75" operator="greaterThan">
      <formula>1</formula>
    </cfRule>
  </conditionalFormatting>
  <conditionalFormatting sqref="T171:U173">
    <cfRule type="cellIs" dxfId="146" priority="76" operator="between">
      <formula>0.69</formula>
      <formula>0.9</formula>
    </cfRule>
    <cfRule type="cellIs" dxfId="145" priority="77" operator="between">
      <formula>0.770000001</formula>
      <formula>1</formula>
    </cfRule>
    <cfRule type="cellIs" dxfId="144" priority="78" operator="lessThan">
      <formula>69</formula>
    </cfRule>
  </conditionalFormatting>
  <conditionalFormatting sqref="V171:V173">
    <cfRule type="cellIs" dxfId="143" priority="72" operator="between">
      <formula>0.95001</formula>
      <formula>1</formula>
    </cfRule>
  </conditionalFormatting>
  <conditionalFormatting sqref="V171:V173">
    <cfRule type="cellIs" dxfId="142" priority="70" operator="equal">
      <formula>"No programado"</formula>
    </cfRule>
    <cfRule type="cellIs" dxfId="141" priority="73" operator="greaterThan">
      <formula>1</formula>
    </cfRule>
  </conditionalFormatting>
  <conditionalFormatting sqref="V171:V173">
    <cfRule type="cellIs" dxfId="140" priority="69" operator="between">
      <formula>0.8</formula>
      <formula>0.95</formula>
    </cfRule>
    <cfRule type="cellIs" dxfId="139" priority="71" operator="lessThan">
      <formula>0.8</formula>
    </cfRule>
  </conditionalFormatting>
  <conditionalFormatting sqref="AC171:AD173">
    <cfRule type="cellIs" dxfId="138" priority="64" operator="equal">
      <formula>"No programado"</formula>
    </cfRule>
    <cfRule type="cellIs" dxfId="137" priority="65" operator="greaterThan">
      <formula>1</formula>
    </cfRule>
  </conditionalFormatting>
  <conditionalFormatting sqref="AC171:AD173">
    <cfRule type="cellIs" dxfId="136" priority="66" operator="between">
      <formula>0.69</formula>
      <formula>0.9</formula>
    </cfRule>
    <cfRule type="cellIs" dxfId="135" priority="67" operator="between">
      <formula>0.770000001</formula>
      <formula>1</formula>
    </cfRule>
    <cfRule type="cellIs" dxfId="134" priority="68" operator="lessThan">
      <formula>69</formula>
    </cfRule>
  </conditionalFormatting>
  <conditionalFormatting sqref="AE171:AE173">
    <cfRule type="cellIs" dxfId="133" priority="62" operator="between">
      <formula>0.95001</formula>
      <formula>1</formula>
    </cfRule>
  </conditionalFormatting>
  <conditionalFormatting sqref="AE171:AE173">
    <cfRule type="cellIs" dxfId="132" priority="60" operator="equal">
      <formula>"No programado"</formula>
    </cfRule>
    <cfRule type="cellIs" dxfId="131" priority="63" operator="greaterThan">
      <formula>1</formula>
    </cfRule>
  </conditionalFormatting>
  <conditionalFormatting sqref="AE171:AE173">
    <cfRule type="cellIs" dxfId="130" priority="59" operator="between">
      <formula>0.8</formula>
      <formula>0.95</formula>
    </cfRule>
    <cfRule type="cellIs" dxfId="129" priority="61" operator="lessThan">
      <formula>0.8</formula>
    </cfRule>
  </conditionalFormatting>
  <conditionalFormatting sqref="AN171:AN173">
    <cfRule type="cellIs" dxfId="128" priority="58" operator="between">
      <formula>0.95001</formula>
      <formula>1</formula>
    </cfRule>
  </conditionalFormatting>
  <conditionalFormatting sqref="AN171:AN173">
    <cfRule type="cellIs" dxfId="127" priority="56" operator="equal">
      <formula>"No programado"</formula>
    </cfRule>
    <cfRule type="cellIs" dxfId="126" priority="1097" operator="greaterThan">
      <formula>1</formula>
    </cfRule>
  </conditionalFormatting>
  <conditionalFormatting sqref="AN171:AN173">
    <cfRule type="cellIs" dxfId="125" priority="54" operator="between">
      <formula>0.8</formula>
      <formula>0.95</formula>
    </cfRule>
    <cfRule type="cellIs" dxfId="124" priority="1098" operator="lessThan">
      <formula>0.8</formula>
    </cfRule>
  </conditionalFormatting>
  <conditionalFormatting sqref="AL144:AM147">
    <cfRule type="cellIs" dxfId="123" priority="49" operator="equal">
      <formula>"No programado"</formula>
    </cfRule>
    <cfRule type="cellIs" dxfId="122" priority="50" operator="greaterThan">
      <formula>1</formula>
    </cfRule>
  </conditionalFormatting>
  <conditionalFormatting sqref="AL144:AM147">
    <cfRule type="cellIs" dxfId="121" priority="51" operator="between">
      <formula>0.69</formula>
      <formula>0.9</formula>
    </cfRule>
    <cfRule type="cellIs" dxfId="120" priority="52" operator="between">
      <formula>0.770000001</formula>
      <formula>1</formula>
    </cfRule>
    <cfRule type="cellIs" dxfId="119" priority="53" operator="lessThan">
      <formula>69</formula>
    </cfRule>
  </conditionalFormatting>
  <conditionalFormatting sqref="AN144:AN147">
    <cfRule type="cellIs" dxfId="118" priority="47" operator="between">
      <formula>0.95001</formula>
      <formula>1</formula>
    </cfRule>
  </conditionalFormatting>
  <conditionalFormatting sqref="AN144:AN147">
    <cfRule type="cellIs" dxfId="117" priority="45" operator="equal">
      <formula>"No programado"</formula>
    </cfRule>
    <cfRule type="cellIs" dxfId="116" priority="48" operator="greaterThan">
      <formula>1</formula>
    </cfRule>
  </conditionalFormatting>
  <conditionalFormatting sqref="AN144:AN147">
    <cfRule type="cellIs" dxfId="115" priority="44" operator="between">
      <formula>0.8</formula>
      <formula>0.95</formula>
    </cfRule>
    <cfRule type="cellIs" dxfId="114" priority="46" operator="lessThan">
      <formula>0.8</formula>
    </cfRule>
  </conditionalFormatting>
  <conditionalFormatting sqref="AL153:AM153">
    <cfRule type="cellIs" dxfId="113" priority="39" operator="equal">
      <formula>"No programado"</formula>
    </cfRule>
    <cfRule type="cellIs" dxfId="112" priority="40" operator="greaterThan">
      <formula>1</formula>
    </cfRule>
  </conditionalFormatting>
  <conditionalFormatting sqref="AL153:AM153">
    <cfRule type="cellIs" dxfId="111" priority="41" operator="between">
      <formula>0.69</formula>
      <formula>0.9</formula>
    </cfRule>
    <cfRule type="cellIs" dxfId="110" priority="42" operator="between">
      <formula>0.770000001</formula>
      <formula>1</formula>
    </cfRule>
    <cfRule type="cellIs" dxfId="109" priority="43" operator="lessThan">
      <formula>69</formula>
    </cfRule>
  </conditionalFormatting>
  <conditionalFormatting sqref="AN153">
    <cfRule type="cellIs" dxfId="108" priority="37" operator="between">
      <formula>0.95001</formula>
      <formula>1</formula>
    </cfRule>
  </conditionalFormatting>
  <conditionalFormatting sqref="AN153">
    <cfRule type="cellIs" dxfId="107" priority="35" operator="equal">
      <formula>"No programado"</formula>
    </cfRule>
    <cfRule type="cellIs" dxfId="106" priority="38" operator="greaterThan">
      <formula>1</formula>
    </cfRule>
  </conditionalFormatting>
  <conditionalFormatting sqref="AN153">
    <cfRule type="cellIs" dxfId="105" priority="34" operator="between">
      <formula>0.8</formula>
      <formula>0.95</formula>
    </cfRule>
    <cfRule type="cellIs" dxfId="104" priority="36" operator="lessThan">
      <formula>0.8</formula>
    </cfRule>
  </conditionalFormatting>
  <conditionalFormatting sqref="AL154:AM157">
    <cfRule type="cellIs" dxfId="103" priority="32" operator="equal">
      <formula>"No programado"</formula>
    </cfRule>
    <cfRule type="cellIs" dxfId="102" priority="32" operator="greaterThan">
      <formula>1</formula>
    </cfRule>
  </conditionalFormatting>
  <conditionalFormatting sqref="AL154:AM157">
    <cfRule type="cellIs" dxfId="101" priority="31" operator="between">
      <formula>0.69</formula>
      <formula>0.9</formula>
    </cfRule>
    <cfRule type="cellIs" dxfId="100" priority="1099" operator="between">
      <formula>0.770000001</formula>
      <formula>1</formula>
    </cfRule>
    <cfRule type="cellIs" dxfId="99" priority="33" operator="lessThan">
      <formula>69</formula>
    </cfRule>
  </conditionalFormatting>
  <conditionalFormatting sqref="AN154:AN157">
    <cfRule type="cellIs" dxfId="98" priority="28" operator="between">
      <formula>0.95001</formula>
      <formula>1</formula>
    </cfRule>
  </conditionalFormatting>
  <conditionalFormatting sqref="AN154:AN157">
    <cfRule type="cellIs" dxfId="97" priority="26" operator="equal">
      <formula>"No programado"</formula>
    </cfRule>
    <cfRule type="cellIs" dxfId="96" priority="1100" operator="greaterThan">
      <formula>1</formula>
    </cfRule>
  </conditionalFormatting>
  <conditionalFormatting sqref="AN154:AN157">
    <cfRule type="cellIs" dxfId="95" priority="24" operator="between">
      <formula>0.8</formula>
      <formula>0.95</formula>
    </cfRule>
    <cfRule type="cellIs" dxfId="94" priority="1101" operator="lessThan">
      <formula>0.8</formula>
    </cfRule>
  </conditionalFormatting>
  <conditionalFormatting sqref="AL163:AM164">
    <cfRule type="cellIs" dxfId="93" priority="19" operator="equal">
      <formula>"No programado"</formula>
    </cfRule>
    <cfRule type="cellIs" dxfId="92" priority="20" operator="greaterThan">
      <formula>1</formula>
    </cfRule>
  </conditionalFormatting>
  <conditionalFormatting sqref="AL163:AM164">
    <cfRule type="cellIs" dxfId="91" priority="21" operator="between">
      <formula>0.69</formula>
      <formula>0.9</formula>
    </cfRule>
    <cfRule type="cellIs" dxfId="90" priority="22" operator="between">
      <formula>0.770000001</formula>
      <formula>1</formula>
    </cfRule>
    <cfRule type="cellIs" dxfId="89" priority="23" operator="lessThan">
      <formula>69</formula>
    </cfRule>
  </conditionalFormatting>
  <conditionalFormatting sqref="AN163:AN164">
    <cfRule type="cellIs" dxfId="88" priority="17" operator="between">
      <formula>0.95001</formula>
      <formula>1</formula>
    </cfRule>
  </conditionalFormatting>
  <conditionalFormatting sqref="AN163:AN164">
    <cfRule type="cellIs" dxfId="87" priority="15" operator="equal">
      <formula>"No programado"</formula>
    </cfRule>
    <cfRule type="cellIs" dxfId="86" priority="18" operator="greaterThan">
      <formula>1</formula>
    </cfRule>
  </conditionalFormatting>
  <conditionalFormatting sqref="AN163:AN164">
    <cfRule type="cellIs" dxfId="85" priority="14" operator="between">
      <formula>0.8</formula>
      <formula>0.95</formula>
    </cfRule>
    <cfRule type="cellIs" dxfId="84" priority="16" operator="lessThan">
      <formula>0.8</formula>
    </cfRule>
  </conditionalFormatting>
  <conditionalFormatting sqref="AL165:AM165">
    <cfRule type="cellIs" dxfId="83" priority="9" operator="equal">
      <formula>"No programado"</formula>
    </cfRule>
    <cfRule type="cellIs" dxfId="82" priority="10" operator="greaterThan">
      <formula>1</formula>
    </cfRule>
  </conditionalFormatting>
  <conditionalFormatting sqref="AL165:AM165">
    <cfRule type="cellIs" dxfId="81" priority="11" operator="between">
      <formula>0.69</formula>
      <formula>0.9</formula>
    </cfRule>
    <cfRule type="cellIs" dxfId="80" priority="12" operator="between">
      <formula>0.770000001</formula>
      <formula>1</formula>
    </cfRule>
    <cfRule type="cellIs" dxfId="79" priority="13" operator="lessThan">
      <formula>69</formula>
    </cfRule>
  </conditionalFormatting>
  <conditionalFormatting sqref="AN165">
    <cfRule type="cellIs" dxfId="78" priority="7" operator="between">
      <formula>0.95001</formula>
      <formula>1</formula>
    </cfRule>
  </conditionalFormatting>
  <conditionalFormatting sqref="AN165">
    <cfRule type="cellIs" dxfId="77" priority="5" operator="equal">
      <formula>"No programado"</formula>
    </cfRule>
    <cfRule type="cellIs" dxfId="76" priority="8" operator="greaterThan">
      <formula>1</formula>
    </cfRule>
  </conditionalFormatting>
  <conditionalFormatting sqref="AN165">
    <cfRule type="cellIs" dxfId="75" priority="4" operator="between">
      <formula>0.8</formula>
      <formula>0.95</formula>
    </cfRule>
    <cfRule type="cellIs" dxfId="74" priority="6" operator="lessThan">
      <formula>0.8</formula>
    </cfRule>
  </conditionalFormatting>
  <conditionalFormatting sqref="AL57">
    <cfRule type="cellIs" dxfId="73" priority="1" operator="lessThan">
      <formula>0.8</formula>
    </cfRule>
    <cfRule type="cellIs" dxfId="72" priority="2" operator="between">
      <formula>0.8</formula>
      <formula>0.85</formula>
    </cfRule>
    <cfRule type="cellIs" dxfId="71" priority="3" operator="between">
      <formula>0.85000000001</formula>
      <formula>1</formula>
    </cfRule>
  </conditionalFormatting>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686FFD3-99F0-47D1-9BF4-80548E22E067}">
          <x14:formula1>
            <xm:f>LISTAS!$I$11:$I$15</xm:f>
          </x14:formula1>
          <xm:sqref>D6:AK6</xm:sqref>
        </x14:dataValidation>
        <x14:dataValidation type="list" allowBlank="1" showInputMessage="1" showErrorMessage="1" xr:uid="{CB4EECCB-AA08-4E07-8296-54A560BAC67D}">
          <x14:formula1>
            <xm:f>LISTAS!$I$17:$I$21</xm:f>
          </x14:formula1>
          <xm:sqref>D7</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02363-8D42-40AC-AAF1-EB853A342035}">
  <sheetPr>
    <tabColor rgb="FF0070C0"/>
  </sheetPr>
  <dimension ref="B1:AJ105"/>
  <sheetViews>
    <sheetView showGridLines="0" zoomScale="50" zoomScaleNormal="50" workbookViewId="0">
      <selection activeCell="D13" sqref="D13"/>
    </sheetView>
  </sheetViews>
  <sheetFormatPr baseColWidth="10" defaultColWidth="17.33203125" defaultRowHeight="23.4"/>
  <cols>
    <col min="1" max="1" width="4.33203125" style="135" customWidth="1"/>
    <col min="2" max="2" width="50.44140625" style="133" customWidth="1"/>
    <col min="3" max="3" width="55.109375" style="133" customWidth="1"/>
    <col min="4" max="4" width="52.88671875" style="133" customWidth="1"/>
    <col min="5" max="5" width="25.44140625" style="134" customWidth="1"/>
    <col min="6" max="6" width="26.33203125" style="134" customWidth="1"/>
    <col min="7" max="7" width="18" style="134" customWidth="1"/>
    <col min="8" max="8" width="43.6640625" style="133" customWidth="1"/>
    <col min="9" max="9" width="29.44140625" style="133" customWidth="1"/>
    <col min="10" max="10" width="56.33203125" style="133" customWidth="1"/>
    <col min="11" max="18" width="25.6640625" style="133" customWidth="1"/>
    <col min="19" max="19" width="26.6640625" style="133" customWidth="1"/>
    <col min="20" max="20" width="25.6640625" style="133" customWidth="1"/>
    <col min="21" max="21" width="28.33203125" style="133" customWidth="1"/>
    <col min="22" max="22" width="28.44140625" style="133" customWidth="1"/>
    <col min="23" max="23" width="35.6640625" style="133" customWidth="1"/>
    <col min="24" max="24" width="23.6640625" style="286" customWidth="1"/>
    <col min="25" max="25" width="26.6640625" style="286" customWidth="1"/>
    <col min="26" max="26" width="36.6640625" style="286" customWidth="1"/>
    <col min="27" max="27" width="38.6640625" style="286" customWidth="1"/>
    <col min="28" max="28" width="38.6640625" style="135" customWidth="1"/>
    <col min="29" max="29" width="5.44140625" style="135" customWidth="1"/>
    <col min="30" max="30" width="12.44140625" style="135" hidden="1" customWidth="1"/>
    <col min="31" max="31" width="20.6640625" style="360" hidden="1" customWidth="1"/>
    <col min="32" max="32" width="8.6640625" style="135" hidden="1" customWidth="1"/>
    <col min="33" max="33" width="11.44140625" style="135" hidden="1" customWidth="1"/>
    <col min="34" max="34" width="11.5546875" style="135" hidden="1" customWidth="1"/>
    <col min="35" max="35" width="0" style="135" hidden="1" customWidth="1"/>
    <col min="36" max="16384" width="17.33203125" style="135"/>
  </cols>
  <sheetData>
    <row r="1" spans="2:36" ht="15" customHeight="1" thickBot="1"/>
    <row r="2" spans="2:36" ht="16.5" customHeight="1">
      <c r="B2" s="1497" t="s">
        <v>702</v>
      </c>
      <c r="C2" s="1509" t="s">
        <v>713</v>
      </c>
      <c r="D2" s="1510"/>
      <c r="E2" s="1510"/>
      <c r="F2" s="1510"/>
      <c r="G2" s="1510"/>
      <c r="H2" s="1510"/>
      <c r="I2" s="1510"/>
      <c r="J2" s="1510"/>
      <c r="K2" s="1510"/>
      <c r="L2" s="1510"/>
      <c r="M2" s="1510"/>
      <c r="N2" s="1510"/>
      <c r="O2" s="1510"/>
      <c r="P2" s="1510"/>
      <c r="Q2" s="1510"/>
      <c r="R2" s="1510"/>
      <c r="S2" s="1510"/>
      <c r="T2" s="1510"/>
      <c r="U2" s="1510"/>
      <c r="V2" s="1510"/>
      <c r="W2" s="1510"/>
      <c r="X2" s="1510"/>
      <c r="Y2" s="1510"/>
      <c r="Z2" s="1510"/>
      <c r="AA2" s="1510"/>
      <c r="AB2" s="1511"/>
    </row>
    <row r="3" spans="2:36" ht="16.5" customHeight="1">
      <c r="B3" s="1498"/>
      <c r="C3" s="1512"/>
      <c r="D3" s="1513"/>
      <c r="E3" s="1513"/>
      <c r="F3" s="1513"/>
      <c r="G3" s="1513"/>
      <c r="H3" s="1513"/>
      <c r="I3" s="1513"/>
      <c r="J3" s="1513"/>
      <c r="K3" s="1513"/>
      <c r="L3" s="1513"/>
      <c r="M3" s="1513"/>
      <c r="N3" s="1513"/>
      <c r="O3" s="1513"/>
      <c r="P3" s="1513"/>
      <c r="Q3" s="1513"/>
      <c r="R3" s="1513"/>
      <c r="S3" s="1513"/>
      <c r="T3" s="1513"/>
      <c r="U3" s="1513"/>
      <c r="V3" s="1513"/>
      <c r="W3" s="1513"/>
      <c r="X3" s="1513"/>
      <c r="Y3" s="1513"/>
      <c r="Z3" s="1513"/>
      <c r="AA3" s="1513"/>
      <c r="AB3" s="1514"/>
    </row>
    <row r="4" spans="2:36" ht="16.5" customHeight="1">
      <c r="B4" s="1498"/>
      <c r="C4" s="1512"/>
      <c r="D4" s="1513"/>
      <c r="E4" s="1513"/>
      <c r="F4" s="1513"/>
      <c r="G4" s="1513"/>
      <c r="H4" s="1513"/>
      <c r="I4" s="1513"/>
      <c r="J4" s="1513"/>
      <c r="K4" s="1513"/>
      <c r="L4" s="1513"/>
      <c r="M4" s="1513"/>
      <c r="N4" s="1513"/>
      <c r="O4" s="1513"/>
      <c r="P4" s="1513"/>
      <c r="Q4" s="1513"/>
      <c r="R4" s="1513"/>
      <c r="S4" s="1513"/>
      <c r="T4" s="1513"/>
      <c r="U4" s="1513"/>
      <c r="V4" s="1513"/>
      <c r="W4" s="1513"/>
      <c r="X4" s="1513"/>
      <c r="Y4" s="1513"/>
      <c r="Z4" s="1513"/>
      <c r="AA4" s="1513"/>
      <c r="AB4" s="1514"/>
    </row>
    <row r="5" spans="2:36" ht="16.5" customHeight="1">
      <c r="B5" s="1498"/>
      <c r="C5" s="1512"/>
      <c r="D5" s="1513"/>
      <c r="E5" s="1513"/>
      <c r="F5" s="1513"/>
      <c r="G5" s="1513"/>
      <c r="H5" s="1513"/>
      <c r="I5" s="1513"/>
      <c r="J5" s="1513"/>
      <c r="K5" s="1513"/>
      <c r="L5" s="1513"/>
      <c r="M5" s="1513"/>
      <c r="N5" s="1513"/>
      <c r="O5" s="1513"/>
      <c r="P5" s="1513"/>
      <c r="Q5" s="1513"/>
      <c r="R5" s="1513"/>
      <c r="S5" s="1513"/>
      <c r="T5" s="1513"/>
      <c r="U5" s="1513"/>
      <c r="V5" s="1513"/>
      <c r="W5" s="1513"/>
      <c r="X5" s="1513"/>
      <c r="Y5" s="1513"/>
      <c r="Z5" s="1513"/>
      <c r="AA5" s="1513"/>
      <c r="AB5" s="1514"/>
    </row>
    <row r="6" spans="2:36" ht="16.5" customHeight="1" thickBot="1">
      <c r="B6" s="1499"/>
      <c r="C6" s="1515"/>
      <c r="D6" s="1516"/>
      <c r="E6" s="1516"/>
      <c r="F6" s="1516"/>
      <c r="G6" s="1516"/>
      <c r="H6" s="1516"/>
      <c r="I6" s="1516"/>
      <c r="J6" s="1516"/>
      <c r="K6" s="1516"/>
      <c r="L6" s="1516"/>
      <c r="M6" s="1516"/>
      <c r="N6" s="1516"/>
      <c r="O6" s="1516"/>
      <c r="P6" s="1516"/>
      <c r="Q6" s="1516"/>
      <c r="R6" s="1516"/>
      <c r="S6" s="1516"/>
      <c r="T6" s="1516"/>
      <c r="U6" s="1516"/>
      <c r="V6" s="1516"/>
      <c r="W6" s="1516"/>
      <c r="X6" s="1516"/>
      <c r="Y6" s="1516"/>
      <c r="Z6" s="1516"/>
      <c r="AA6" s="1516"/>
      <c r="AB6" s="1517"/>
    </row>
    <row r="7" spans="2:36" ht="14.25" customHeight="1" thickBot="1">
      <c r="B7" s="136"/>
      <c r="C7" s="136"/>
      <c r="D7" s="136"/>
      <c r="E7" s="137"/>
      <c r="F7" s="137"/>
      <c r="G7" s="137"/>
      <c r="H7" s="136"/>
      <c r="I7" s="136"/>
      <c r="J7" s="136"/>
      <c r="K7" s="136"/>
      <c r="L7" s="136"/>
      <c r="M7" s="136"/>
      <c r="N7" s="136"/>
      <c r="O7" s="136"/>
      <c r="P7" s="136"/>
      <c r="Q7" s="136"/>
      <c r="R7" s="136"/>
      <c r="S7" s="136"/>
      <c r="T7" s="136"/>
      <c r="U7" s="136"/>
      <c r="V7" s="136"/>
      <c r="W7" s="136"/>
    </row>
    <row r="8" spans="2:36" ht="32.4" customHeight="1" thickBot="1">
      <c r="B8" s="406" t="s">
        <v>714</v>
      </c>
      <c r="C8" s="405" t="s">
        <v>1138</v>
      </c>
      <c r="D8" s="404">
        <v>2022</v>
      </c>
      <c r="E8" s="407"/>
      <c r="F8" s="407"/>
      <c r="G8" s="407"/>
      <c r="H8" s="407"/>
      <c r="I8" s="407"/>
      <c r="J8" s="407"/>
      <c r="K8" s="407"/>
      <c r="L8" s="407"/>
      <c r="M8" s="407"/>
      <c r="N8" s="407"/>
      <c r="O8" s="407"/>
      <c r="P8" s="407"/>
      <c r="Q8" s="407"/>
      <c r="R8" s="407"/>
      <c r="S8" s="407"/>
      <c r="T8" s="407"/>
      <c r="U8" s="407"/>
      <c r="V8" s="407"/>
      <c r="W8" s="407"/>
      <c r="X8" s="407"/>
      <c r="Y8" s="407"/>
      <c r="Z8" s="407"/>
      <c r="AA8" s="407"/>
      <c r="AB8" s="407"/>
      <c r="AC8" s="138"/>
    </row>
    <row r="9" spans="2:36" ht="14.25" customHeight="1">
      <c r="B9" s="136"/>
      <c r="C9" s="136"/>
      <c r="D9" s="136"/>
      <c r="E9" s="137"/>
      <c r="F9" s="137"/>
      <c r="G9" s="137"/>
      <c r="H9" s="136"/>
      <c r="I9" s="136"/>
      <c r="J9" s="136"/>
      <c r="K9" s="136"/>
      <c r="L9" s="136"/>
      <c r="M9" s="136"/>
      <c r="N9" s="136"/>
      <c r="O9" s="136"/>
      <c r="P9" s="136"/>
      <c r="Q9" s="136"/>
      <c r="R9" s="136"/>
      <c r="S9" s="136"/>
      <c r="T9" s="136"/>
      <c r="U9" s="136"/>
      <c r="V9" s="136"/>
      <c r="W9" s="136"/>
      <c r="X9" s="363"/>
      <c r="Y9" s="363"/>
      <c r="Z9" s="363"/>
      <c r="AA9" s="363"/>
      <c r="AB9" s="138"/>
    </row>
    <row r="10" spans="2:36" ht="55.2" customHeight="1">
      <c r="B10" s="1476" t="s">
        <v>0</v>
      </c>
      <c r="C10" s="1476" t="s">
        <v>52</v>
      </c>
      <c r="D10" s="1476" t="s">
        <v>54</v>
      </c>
      <c r="E10" s="1500" t="s">
        <v>55</v>
      </c>
      <c r="F10" s="1476" t="s">
        <v>56</v>
      </c>
      <c r="G10" s="1476" t="s">
        <v>70</v>
      </c>
      <c r="H10" s="1476" t="s">
        <v>57</v>
      </c>
      <c r="I10" s="1476" t="s">
        <v>41</v>
      </c>
      <c r="J10" s="1476" t="s">
        <v>42</v>
      </c>
      <c r="K10" s="1528" t="s">
        <v>75</v>
      </c>
      <c r="L10" s="1528"/>
      <c r="M10" s="1528"/>
      <c r="N10" s="1528"/>
      <c r="O10" s="1521">
        <f>+D8</f>
        <v>2022</v>
      </c>
      <c r="P10" s="1522"/>
      <c r="Q10" s="1522"/>
      <c r="R10" s="1522"/>
      <c r="S10" s="1522"/>
      <c r="T10" s="1522"/>
      <c r="U10" s="1522"/>
      <c r="V10" s="1522"/>
      <c r="W10" s="1522"/>
      <c r="X10" s="1522"/>
      <c r="Y10" s="1523"/>
      <c r="Z10" s="1518" t="s">
        <v>709</v>
      </c>
      <c r="AA10" s="1519"/>
      <c r="AB10" s="1520"/>
    </row>
    <row r="11" spans="2:36" ht="48.6" customHeight="1">
      <c r="B11" s="1476"/>
      <c r="C11" s="1476"/>
      <c r="D11" s="1476"/>
      <c r="E11" s="1501"/>
      <c r="F11" s="1476"/>
      <c r="G11" s="1476"/>
      <c r="H11" s="1476"/>
      <c r="I11" s="1476"/>
      <c r="J11" s="1476"/>
      <c r="K11" s="560" t="s">
        <v>59</v>
      </c>
      <c r="L11" s="560" t="s">
        <v>59</v>
      </c>
      <c r="M11" s="560" t="s">
        <v>59</v>
      </c>
      <c r="N11" s="560" t="s">
        <v>59</v>
      </c>
      <c r="O11" s="1518" t="s">
        <v>21</v>
      </c>
      <c r="P11" s="1520"/>
      <c r="Q11" s="1518" t="s">
        <v>22</v>
      </c>
      <c r="R11" s="1520"/>
      <c r="S11" s="1518" t="s">
        <v>23</v>
      </c>
      <c r="T11" s="1520"/>
      <c r="U11" s="1518" t="s">
        <v>24</v>
      </c>
      <c r="V11" s="1520"/>
      <c r="W11" s="1500" t="s">
        <v>712</v>
      </c>
      <c r="X11" s="1500" t="s">
        <v>707</v>
      </c>
      <c r="Y11" s="1524" t="s">
        <v>1178</v>
      </c>
      <c r="Z11" s="1529" t="s">
        <v>706</v>
      </c>
      <c r="AA11" s="1500" t="s">
        <v>708</v>
      </c>
      <c r="AB11" s="1526" t="s">
        <v>710</v>
      </c>
    </row>
    <row r="12" spans="2:36" ht="31.8" customHeight="1">
      <c r="B12" s="1476"/>
      <c r="C12" s="1476"/>
      <c r="D12" s="1476"/>
      <c r="E12" s="1502"/>
      <c r="F12" s="1476"/>
      <c r="G12" s="1476"/>
      <c r="H12" s="1476"/>
      <c r="I12" s="1476"/>
      <c r="J12" s="1476"/>
      <c r="K12" s="568">
        <v>2021</v>
      </c>
      <c r="L12" s="568">
        <v>2022</v>
      </c>
      <c r="M12" s="568">
        <v>2023</v>
      </c>
      <c r="N12" s="568">
        <v>2024</v>
      </c>
      <c r="O12" s="559" t="s">
        <v>704</v>
      </c>
      <c r="P12" s="559" t="s">
        <v>705</v>
      </c>
      <c r="Q12" s="559" t="s">
        <v>704</v>
      </c>
      <c r="R12" s="559" t="s">
        <v>705</v>
      </c>
      <c r="S12" s="559" t="s">
        <v>704</v>
      </c>
      <c r="T12" s="559" t="s">
        <v>705</v>
      </c>
      <c r="U12" s="559" t="s">
        <v>704</v>
      </c>
      <c r="V12" s="559" t="s">
        <v>705</v>
      </c>
      <c r="W12" s="1502"/>
      <c r="X12" s="1502"/>
      <c r="Y12" s="1525"/>
      <c r="Z12" s="1530"/>
      <c r="AA12" s="1502"/>
      <c r="AB12" s="1527"/>
    </row>
    <row r="13" spans="2:36" ht="103.5" customHeight="1">
      <c r="B13" s="1484" t="s">
        <v>130</v>
      </c>
      <c r="C13" s="1486" t="s">
        <v>131</v>
      </c>
      <c r="D13" s="31" t="str">
        <f>+'01-FR-03 POA INSTITUCIONAL'!D13</f>
        <v>1.1.1 Realizar 356.610 intervenciones dentro del ejercicio del Ministerio Público para prevenir la vulneración de derechos y/o lograr el  restablecimiento de los mismos.</v>
      </c>
      <c r="E13" s="52">
        <f>+'01-FR-03 POA INSTITUCIONAL'!E13</f>
        <v>0.38</v>
      </c>
      <c r="F13" s="139">
        <f>+'01-FR-03 POA INSTITUCIONAL'!F13</f>
        <v>356610</v>
      </c>
      <c r="G13" s="569" t="str">
        <f>+'01-FR-03 POA INSTITUCIONAL'!G13</f>
        <v>S.I.</v>
      </c>
      <c r="H13" s="141" t="str">
        <f>+'01-FR-03 POA INSTITUCIONAL'!H13</f>
        <v>Intervenciones realizadas en defensa de los derechos</v>
      </c>
      <c r="I13" s="142" t="str">
        <f>+'01-FR-03 POA INSTITUCIONAL'!I13</f>
        <v>Promoción y Defensa de Derechos</v>
      </c>
      <c r="J13" s="143" t="str">
        <f>+'01-FR-03 POA INSTITUCIONAL'!J13</f>
        <v>P.D. para Asuntos Penales I, Penales II, Derechos Humanos y Policivos y Civiles
P.D. para los Sectores Planeación y Movilidad y la P.D. para los Sectores Educación y Cultura, Recreación y Deporte</v>
      </c>
      <c r="K13" s="144">
        <f>+'01-FR-03 POA INSTITUCIONAL'!K13</f>
        <v>102450</v>
      </c>
      <c r="L13" s="144">
        <f>+'01-FR-03 POA INSTITUCIONAL'!L13</f>
        <v>106660</v>
      </c>
      <c r="M13" s="144">
        <f>+'01-FR-03 POA INSTITUCIONAL'!M13</f>
        <v>98250</v>
      </c>
      <c r="N13" s="144">
        <f>+'01-FR-03 POA INSTITUCIONAL'!N13</f>
        <v>49250</v>
      </c>
      <c r="O13" s="353">
        <f>'05-POA PROM DEFENSA DERECHOS'!V16</f>
        <v>25305</v>
      </c>
      <c r="P13" s="353">
        <f>'05-POA PROM DEFENSA DERECHOS'!W16</f>
        <v>29145</v>
      </c>
      <c r="Q13" s="353">
        <f>+'05-POA PROM DEFENSA DERECHOS'!AD16</f>
        <v>28020</v>
      </c>
      <c r="R13" s="353">
        <f>+'05-POA PROM DEFENSA DERECHOS'!AE16</f>
        <v>0</v>
      </c>
      <c r="S13" s="353">
        <f>+'05-POA PROM DEFENSA DERECHOS'!AL16</f>
        <v>28020</v>
      </c>
      <c r="T13" s="353">
        <f>+'05-POA PROM DEFENSA DERECHOS'!AM16</f>
        <v>0</v>
      </c>
      <c r="U13" s="353">
        <f>+'05-POA PROM DEFENSA DERECHOS'!AT16</f>
        <v>25315</v>
      </c>
      <c r="V13" s="353">
        <f>+'05-POA PROM DEFENSA DERECHOS'!AU16</f>
        <v>0</v>
      </c>
      <c r="W13" s="353">
        <f>+'05-POA PROM DEFENSA DERECHOS'!AV16</f>
        <v>106660</v>
      </c>
      <c r="X13" s="355">
        <f t="shared" ref="X13:X17" si="0">+P13+R13+T13+V13</f>
        <v>29145</v>
      </c>
      <c r="Y13" s="679">
        <f t="shared" ref="Y13:Y18" si="1">IF(AND($W13&gt;0),X13/$W13,"No programado")</f>
        <v>0.273251453215826</v>
      </c>
      <c r="Z13" s="356">
        <f>IF(AND(X13&gt;0,$F13&gt;0),X13/$F13,0)</f>
        <v>8.1727938083620763E-2</v>
      </c>
      <c r="AA13" s="362">
        <f>IF(AND(Z13&gt;0,E13&gt;0),Z13*E13,0)</f>
        <v>3.1056616471775891E-2</v>
      </c>
      <c r="AB13" s="1290">
        <f>SUM(AA13:AA23)</f>
        <v>8.3356659244332623E-2</v>
      </c>
      <c r="AD13" s="359">
        <f>+'05-POA PROM DEFENSA DERECHOS'!BD16</f>
        <v>0.273251453215826</v>
      </c>
      <c r="AE13" s="361">
        <f t="shared" ref="AE13:AE48" si="2">Y13-AD13</f>
        <v>0</v>
      </c>
      <c r="AG13" s="359">
        <f>+'05-POA PROM DEFENSA DERECHOS'!BH16</f>
        <v>8.1727938083620763E-2</v>
      </c>
      <c r="AH13" s="361">
        <f>+Z13-AG13</f>
        <v>0</v>
      </c>
      <c r="AJ13" s="358"/>
    </row>
    <row r="14" spans="2:36" ht="142.5" customHeight="1">
      <c r="B14" s="1485"/>
      <c r="C14" s="1487"/>
      <c r="D14" s="31" t="str">
        <f>+'01-FR-03 POA INSTITUCIONAL'!D14</f>
        <v>1.1.2 Orientar 292.755 personas en garantía de derechos.</v>
      </c>
      <c r="E14" s="52">
        <f>+'01-FR-03 POA INSTITUCIONAL'!E14</f>
        <v>0.3</v>
      </c>
      <c r="F14" s="139">
        <f>+'01-FR-03 POA INSTITUCIONAL'!F14</f>
        <v>292755</v>
      </c>
      <c r="G14" s="585" t="str">
        <f>+'01-FR-03 POA INSTITUCIONAL'!G14</f>
        <v>S.I.</v>
      </c>
      <c r="H14" s="141" t="str">
        <f>+'01-FR-03 POA INSTITUCIONAL'!H14</f>
        <v>Personas orientadas en garantía de derechos</v>
      </c>
      <c r="I14" s="142" t="str">
        <f>+'01-FR-03 POA INSTITUCIONAL'!I14</f>
        <v>Promoción y Defensa de Derechos</v>
      </c>
      <c r="J14" s="143" t="str">
        <f>+'01-FR-03 POA INSTITUCIONAL'!J14</f>
        <v>P.D. para la Coordinación del MP y DDHH y sus dependencias adscritas
P.D. para la Coordinación de la Gestión de Personerías Locales y sus Personerías Locales adscritas
P.D. para la Coordinación de la Prevención y Control a la Función Pública y sus dependencias adscritas</v>
      </c>
      <c r="K14" s="144">
        <f>+'01-FR-03 POA INSTITUCIONAL'!K14</f>
        <v>78750</v>
      </c>
      <c r="L14" s="144">
        <f>+'01-FR-03 POA INSTITUCIONAL'!L14</f>
        <v>97105</v>
      </c>
      <c r="M14" s="144">
        <f>+'01-FR-03 POA INSTITUCIONAL'!M14</f>
        <v>76600</v>
      </c>
      <c r="N14" s="144">
        <f>+'01-FR-03 POA INSTITUCIONAL'!N14</f>
        <v>40300</v>
      </c>
      <c r="O14" s="353">
        <f>'05-POA PROM DEFENSA DERECHOS'!V17</f>
        <v>21621</v>
      </c>
      <c r="P14" s="353">
        <f>'05-POA PROM DEFENSA DERECHOS'!W17</f>
        <v>26507</v>
      </c>
      <c r="Q14" s="353">
        <f>+'05-POA PROM DEFENSA DERECHOS'!AD17</f>
        <v>25997</v>
      </c>
      <c r="R14" s="353">
        <f>+'05-POA PROM DEFENSA DERECHOS'!AE17</f>
        <v>0</v>
      </c>
      <c r="S14" s="353">
        <f>+'05-POA PROM DEFENSA DERECHOS'!AL17</f>
        <v>26645</v>
      </c>
      <c r="T14" s="353">
        <f>+'05-POA PROM DEFENSA DERECHOS'!AM17</f>
        <v>0</v>
      </c>
      <c r="U14" s="353">
        <f>+'05-POA PROM DEFENSA DERECHOS'!AT17</f>
        <v>22842</v>
      </c>
      <c r="V14" s="353">
        <f>+'05-POA PROM DEFENSA DERECHOS'!AU17</f>
        <v>0</v>
      </c>
      <c r="W14" s="353">
        <f>+'05-POA PROM DEFENSA DERECHOS'!AV17</f>
        <v>97105</v>
      </c>
      <c r="X14" s="355">
        <f t="shared" si="0"/>
        <v>26507</v>
      </c>
      <c r="Y14" s="679">
        <f t="shared" si="1"/>
        <v>0.27297255548118016</v>
      </c>
      <c r="Z14" s="356">
        <f t="shared" ref="Z14:Z32" si="3">IF(AND(X14&gt;0,$F14&gt;0),X14/$F14,0)</f>
        <v>9.0543287048897539E-2</v>
      </c>
      <c r="AA14" s="362">
        <f t="shared" ref="AA14:AA32" si="4">IF(AND(Z14&gt;0,E14&gt;0),Z14*E14,0)</f>
        <v>2.716298611466926E-2</v>
      </c>
      <c r="AB14" s="1159"/>
      <c r="AD14" s="359">
        <f>+'05-POA PROM DEFENSA DERECHOS'!BD17</f>
        <v>0.27297255548118016</v>
      </c>
      <c r="AE14" s="361">
        <f t="shared" si="2"/>
        <v>0</v>
      </c>
      <c r="AG14" s="359">
        <f>+'05-POA PROM DEFENSA DERECHOS'!BH17</f>
        <v>9.0543287048897539E-2</v>
      </c>
      <c r="AH14" s="361">
        <f t="shared" ref="AH14:AH48" si="5">+Z14-AG14</f>
        <v>0</v>
      </c>
    </row>
    <row r="15" spans="2:36" ht="185.25" customHeight="1">
      <c r="B15" s="1485"/>
      <c r="C15" s="1487"/>
      <c r="D15" s="31" t="str">
        <f>+'01-FR-03 POA INSTITUCIONAL'!D15</f>
        <v>1.1.3 Asistir 117.610 personas en garantía de derechos.</v>
      </c>
      <c r="E15" s="52">
        <f>+'01-FR-03 POA INSTITUCIONAL'!E15</f>
        <v>0.15</v>
      </c>
      <c r="F15" s="139">
        <f>+'01-FR-03 POA INSTITUCIONAL'!F15</f>
        <v>117610</v>
      </c>
      <c r="G15" s="585" t="str">
        <f>+'01-FR-03 POA INSTITUCIONAL'!G15</f>
        <v>S.I.</v>
      </c>
      <c r="H15" s="141" t="str">
        <f>+'01-FR-03 POA INSTITUCIONAL'!H15</f>
        <v>Personas asistidas en garantía de derechos</v>
      </c>
      <c r="I15" s="142" t="str">
        <f>+'01-FR-03 POA INSTITUCIONAL'!I15</f>
        <v>Promoción y Defensa de Derechos</v>
      </c>
      <c r="J15" s="143" t="str">
        <f>+'01-FR-03 POA INSTITUCIONAL'!J15</f>
        <v>P.D. para Asuntos Policivos y Civiles, Derechos Humanos, Familia, Orientación y Asistencia, Consumidor, Asuntos Jurisdiccionales y Dirección de Conciliación y M.A.S.C.
P.D. para la Coordinación de la Gestión de Personerías Locales y sus Personerías Locales adscritas
P.D. para la Coordinación de la Prevención y Control a la Función Pública y sus dependencias adscritas</v>
      </c>
      <c r="K15" s="144">
        <f>+'01-FR-03 POA INSTITUCIONAL'!K15</f>
        <v>28695</v>
      </c>
      <c r="L15" s="144">
        <f>+'01-FR-03 POA INSTITUCIONAL'!L15</f>
        <v>26115</v>
      </c>
      <c r="M15" s="144">
        <f>+'01-FR-03 POA INSTITUCIONAL'!M15</f>
        <v>39200</v>
      </c>
      <c r="N15" s="144">
        <f>+'01-FR-03 POA INSTITUCIONAL'!N15</f>
        <v>23600</v>
      </c>
      <c r="O15" s="353">
        <f>'05-POA PROM DEFENSA DERECHOS'!V18</f>
        <v>6670</v>
      </c>
      <c r="P15" s="353">
        <f>'05-POA PROM DEFENSA DERECHOS'!W18</f>
        <v>9518</v>
      </c>
      <c r="Q15" s="353">
        <f>+'05-POA PROM DEFENSA DERECHOS'!AD18</f>
        <v>8165</v>
      </c>
      <c r="R15" s="353">
        <f>+'05-POA PROM DEFENSA DERECHOS'!AE18</f>
        <v>0</v>
      </c>
      <c r="S15" s="353">
        <f>+'05-POA PROM DEFENSA DERECHOS'!AL18</f>
        <v>6765</v>
      </c>
      <c r="T15" s="353">
        <f>+'05-POA PROM DEFENSA DERECHOS'!AM18</f>
        <v>0</v>
      </c>
      <c r="U15" s="353">
        <f>+'05-POA PROM DEFENSA DERECHOS'!AT18</f>
        <v>4515</v>
      </c>
      <c r="V15" s="353">
        <f>+'05-POA PROM DEFENSA DERECHOS'!AU18</f>
        <v>0</v>
      </c>
      <c r="W15" s="353">
        <f>+'05-POA PROM DEFENSA DERECHOS'!AV18</f>
        <v>26115</v>
      </c>
      <c r="X15" s="355">
        <f t="shared" si="0"/>
        <v>9518</v>
      </c>
      <c r="Y15" s="679">
        <f t="shared" si="1"/>
        <v>0.36446486693471186</v>
      </c>
      <c r="Z15" s="356">
        <f t="shared" si="3"/>
        <v>8.0928492475129662E-2</v>
      </c>
      <c r="AA15" s="362">
        <f t="shared" si="4"/>
        <v>1.213927387126945E-2</v>
      </c>
      <c r="AB15" s="1159"/>
      <c r="AD15" s="359">
        <f>+'05-POA PROM DEFENSA DERECHOS'!BD18</f>
        <v>0.36446486693471186</v>
      </c>
      <c r="AE15" s="361">
        <f t="shared" si="2"/>
        <v>0</v>
      </c>
      <c r="AG15" s="359">
        <f>+'05-POA PROM DEFENSA DERECHOS'!BH18</f>
        <v>8.0928492475129662E-2</v>
      </c>
      <c r="AH15" s="361">
        <f t="shared" si="5"/>
        <v>0</v>
      </c>
    </row>
    <row r="16" spans="2:36" ht="51" customHeight="1">
      <c r="B16" s="1485"/>
      <c r="C16" s="1487"/>
      <c r="D16" s="31" t="str">
        <f>+'01-FR-03 POA INSTITUCIONAL'!D16</f>
        <v>1.1.4 Asistir a 28.586 personas en mecanismos alternativos de solución de conflictos.</v>
      </c>
      <c r="E16" s="52">
        <f>+'01-FR-03 POA INSTITUCIONAL'!E16</f>
        <v>0.04</v>
      </c>
      <c r="F16" s="139">
        <f>+'01-FR-03 POA INSTITUCIONAL'!F16</f>
        <v>28586</v>
      </c>
      <c r="G16" s="585" t="str">
        <f>+'01-FR-03 POA INSTITUCIONAL'!G16</f>
        <v>S.I.</v>
      </c>
      <c r="H16" s="141" t="str">
        <f>+'01-FR-03 POA INSTITUCIONAL'!H16</f>
        <v>Personas asistidas en Mecanismos Alternativos de Solución de Conflictos</v>
      </c>
      <c r="I16" s="142" t="str">
        <f>+'01-FR-03 POA INSTITUCIONAL'!I16</f>
        <v>Promoción y Defensa de Derechos</v>
      </c>
      <c r="J16" s="143" t="str">
        <f>+'01-FR-03 POA INSTITUCIONAL'!J16</f>
        <v>Dirección de Conciliación y M.A.S.C.</v>
      </c>
      <c r="K16" s="144">
        <f>+'01-FR-03 POA INSTITUCIONAL'!K16</f>
        <v>6810</v>
      </c>
      <c r="L16" s="144">
        <f>+'01-FR-03 POA INSTITUCIONAL'!L16</f>
        <v>6900</v>
      </c>
      <c r="M16" s="144">
        <f>+'01-FR-03 POA INSTITUCIONAL'!M16</f>
        <v>10500</v>
      </c>
      <c r="N16" s="144">
        <f>+'01-FR-03 POA INSTITUCIONAL'!N16</f>
        <v>4376</v>
      </c>
      <c r="O16" s="353">
        <f>'05-POA PROM DEFENSA DERECHOS'!V19</f>
        <v>900</v>
      </c>
      <c r="P16" s="353">
        <f>'05-POA PROM DEFENSA DERECHOS'!W19</f>
        <v>3289</v>
      </c>
      <c r="Q16" s="353">
        <f>+'05-POA PROM DEFENSA DERECHOS'!AD19</f>
        <v>1500</v>
      </c>
      <c r="R16" s="353">
        <f>+'05-POA PROM DEFENSA DERECHOS'!AE19</f>
        <v>0</v>
      </c>
      <c r="S16" s="353">
        <f>+'05-POA PROM DEFENSA DERECHOS'!AL19</f>
        <v>2100</v>
      </c>
      <c r="T16" s="353">
        <f>+'05-POA PROM DEFENSA DERECHOS'!AM19</f>
        <v>0</v>
      </c>
      <c r="U16" s="353">
        <f>+'05-POA PROM DEFENSA DERECHOS'!AT19</f>
        <v>2400</v>
      </c>
      <c r="V16" s="353">
        <f>+'05-POA PROM DEFENSA DERECHOS'!AU19</f>
        <v>0</v>
      </c>
      <c r="W16" s="353">
        <f>+'05-POA PROM DEFENSA DERECHOS'!AV19</f>
        <v>6900</v>
      </c>
      <c r="X16" s="355">
        <f t="shared" si="0"/>
        <v>3289</v>
      </c>
      <c r="Y16" s="679">
        <f t="shared" si="1"/>
        <v>0.47666666666666668</v>
      </c>
      <c r="Z16" s="356">
        <f t="shared" si="3"/>
        <v>0.11505632127614916</v>
      </c>
      <c r="AA16" s="362">
        <f t="shared" si="4"/>
        <v>4.6022528510459666E-3</v>
      </c>
      <c r="AB16" s="1159"/>
      <c r="AD16" s="359">
        <f>+'05-POA PROM DEFENSA DERECHOS'!BD19</f>
        <v>0.47666666666666668</v>
      </c>
      <c r="AE16" s="361">
        <f t="shared" si="2"/>
        <v>0</v>
      </c>
      <c r="AG16" s="359">
        <f>+'05-POA PROM DEFENSA DERECHOS'!BH19</f>
        <v>0.11505632127614916</v>
      </c>
      <c r="AH16" s="361">
        <f t="shared" si="5"/>
        <v>0</v>
      </c>
    </row>
    <row r="17" spans="2:34" ht="136.5" customHeight="1">
      <c r="B17" s="1485"/>
      <c r="C17" s="1487"/>
      <c r="D17" s="31" t="str">
        <f>+'01-FR-03 POA INSTITUCIONAL'!D17</f>
        <v>1.1.5 Atender y gestionar 55.722 peticiones y/o requerimientos presentados por la comunidad en garantía de derechos.</v>
      </c>
      <c r="E17" s="52">
        <f>+'01-FR-03 POA INSTITUCIONAL'!E17</f>
        <v>0.06</v>
      </c>
      <c r="F17" s="139">
        <f>+'01-FR-03 POA INSTITUCIONAL'!F17</f>
        <v>55722</v>
      </c>
      <c r="G17" s="585" t="str">
        <f>+'01-FR-03 POA INSTITUCIONAL'!G17</f>
        <v>S.I.</v>
      </c>
      <c r="H17" s="141" t="str">
        <f>+'01-FR-03 POA INSTITUCIONAL'!H17</f>
        <v>Peticiones o requerimientos ciudadanos atendidos en garantía de derechos</v>
      </c>
      <c r="I17" s="142" t="str">
        <f>+'01-FR-03 POA INSTITUCIONAL'!I17</f>
        <v>Promoción y Defensa de Derechos</v>
      </c>
      <c r="J17" s="143" t="str">
        <f>+'01-FR-03 POA INSTITUCIONAL'!J17</f>
        <v>* P.D. para la Coordinación del MP y DDHH, P.D. para Asuntos Penales I, Penales II, Policivos y Civiles, Derechos Humanos, Familia y Orientación y Asistencia.
* P.D. para la Coordinación de la Gestión de Personerías Locales y sus Personerías Locales adscritas
* P.D. para la Coordinación de la Prevención y Control a la Función Pública y sus dependencias adscritas</v>
      </c>
      <c r="K17" s="144">
        <f>+'01-FR-03 POA INSTITUCIONAL'!K17</f>
        <v>14307</v>
      </c>
      <c r="L17" s="144">
        <f>+'01-FR-03 POA INSTITUCIONAL'!L17</f>
        <v>16115</v>
      </c>
      <c r="M17" s="144">
        <f>+'01-FR-03 POA INSTITUCIONAL'!M17</f>
        <v>21200</v>
      </c>
      <c r="N17" s="144">
        <f>+'01-FR-03 POA INSTITUCIONAL'!N17</f>
        <v>4100</v>
      </c>
      <c r="O17" s="353">
        <f>'05-POA PROM DEFENSA DERECHOS'!V20</f>
        <v>3408</v>
      </c>
      <c r="P17" s="353">
        <f>'05-POA PROM DEFENSA DERECHOS'!W20</f>
        <v>5102</v>
      </c>
      <c r="Q17" s="353">
        <f>+'05-POA PROM DEFENSA DERECHOS'!AD20</f>
        <v>4265</v>
      </c>
      <c r="R17" s="353">
        <f>+'05-POA PROM DEFENSA DERECHOS'!AE20</f>
        <v>0</v>
      </c>
      <c r="S17" s="353">
        <f>+'05-POA PROM DEFENSA DERECHOS'!AL20</f>
        <v>4275</v>
      </c>
      <c r="T17" s="353">
        <f>+'05-POA PROM DEFENSA DERECHOS'!AM20</f>
        <v>0</v>
      </c>
      <c r="U17" s="353">
        <f>+'05-POA PROM DEFENSA DERECHOS'!AT20</f>
        <v>4167</v>
      </c>
      <c r="V17" s="353">
        <f>+'05-POA PROM DEFENSA DERECHOS'!AU20</f>
        <v>0</v>
      </c>
      <c r="W17" s="353">
        <f>+'05-POA PROM DEFENSA DERECHOS'!AV20</f>
        <v>16115</v>
      </c>
      <c r="X17" s="355">
        <f t="shared" si="0"/>
        <v>5102</v>
      </c>
      <c r="Y17" s="679">
        <f t="shared" si="1"/>
        <v>0.31659944151411729</v>
      </c>
      <c r="Z17" s="356">
        <f t="shared" si="3"/>
        <v>9.1561681203115461E-2</v>
      </c>
      <c r="AA17" s="362">
        <f t="shared" si="4"/>
        <v>5.4937008721869275E-3</v>
      </c>
      <c r="AB17" s="1159"/>
      <c r="AD17" s="359">
        <f>+'05-POA PROM DEFENSA DERECHOS'!BD20</f>
        <v>0.31659944151411729</v>
      </c>
      <c r="AE17" s="361">
        <f t="shared" si="2"/>
        <v>0</v>
      </c>
      <c r="AG17" s="359">
        <f>+'05-POA PROM DEFENSA DERECHOS'!BH20</f>
        <v>9.1561681203115461E-2</v>
      </c>
      <c r="AH17" s="361">
        <f t="shared" si="5"/>
        <v>0</v>
      </c>
    </row>
    <row r="18" spans="2:34" ht="75">
      <c r="B18" s="1485"/>
      <c r="C18" s="1487"/>
      <c r="D18" s="31" t="str">
        <f>+'01-FR-03 POA INSTITUCIONAL'!D18</f>
        <v>1.1.6 Generar 80 espacios de mejora, de transferencia de conocimientos y buenas prácticas que permitan brindar una atención idónea a las personas que acuden a la Personería de Bogotá, D. C</v>
      </c>
      <c r="E18" s="52">
        <f>+'01-FR-03 POA INSTITUCIONAL'!E18</f>
        <v>0.01</v>
      </c>
      <c r="F18" s="139">
        <f>+'01-FR-03 POA INSTITUCIONAL'!F18</f>
        <v>80</v>
      </c>
      <c r="G18" s="585" t="str">
        <f>+'01-FR-03 POA INSTITUCIONAL'!G18</f>
        <v>S.I.</v>
      </c>
      <c r="H18" s="141" t="str">
        <f>+'01-FR-03 POA INSTITUCIONAL'!H18</f>
        <v>Espacios de mejora y transferencia de conocimiento realizados</v>
      </c>
      <c r="I18" s="142" t="str">
        <f>+'01-FR-03 POA INSTITUCIONAL'!I18</f>
        <v>Promoción y Defensa de Derechos</v>
      </c>
      <c r="J18" s="143" t="str">
        <f>+'01-FR-03 POA INSTITUCIONAL'!J18</f>
        <v>P.D. para la Coordinación del MP y DDHH y sus dependencias adscritas.</v>
      </c>
      <c r="K18" s="144">
        <f>+'01-FR-03 POA INSTITUCIONAL'!K18</f>
        <v>20</v>
      </c>
      <c r="L18" s="144">
        <f>+'01-FR-03 POA INSTITUCIONAL'!L18</f>
        <v>20</v>
      </c>
      <c r="M18" s="144">
        <f>+'01-FR-03 POA INSTITUCIONAL'!M18</f>
        <v>20</v>
      </c>
      <c r="N18" s="144">
        <f>+'01-FR-03 POA INSTITUCIONAL'!N18</f>
        <v>20</v>
      </c>
      <c r="O18" s="353">
        <f>'05-POA PROM DEFENSA DERECHOS'!V21</f>
        <v>2</v>
      </c>
      <c r="P18" s="353">
        <f>'05-POA PROM DEFENSA DERECHOS'!W21</f>
        <v>0</v>
      </c>
      <c r="Q18" s="353">
        <f>+'05-POA PROM DEFENSA DERECHOS'!AD21</f>
        <v>11</v>
      </c>
      <c r="R18" s="353">
        <f>+'05-POA PROM DEFENSA DERECHOS'!AE21</f>
        <v>0</v>
      </c>
      <c r="S18" s="353">
        <f>+'05-POA PROM DEFENSA DERECHOS'!AL21</f>
        <v>6</v>
      </c>
      <c r="T18" s="353">
        <f>+'05-POA PROM DEFENSA DERECHOS'!AM21</f>
        <v>0</v>
      </c>
      <c r="U18" s="353">
        <f>+'05-POA PROM DEFENSA DERECHOS'!AT21</f>
        <v>1</v>
      </c>
      <c r="V18" s="353">
        <f>+'05-POA PROM DEFENSA DERECHOS'!AU21</f>
        <v>0</v>
      </c>
      <c r="W18" s="353">
        <f>+'05-POA PROM DEFENSA DERECHOS'!AV21</f>
        <v>20</v>
      </c>
      <c r="X18" s="355">
        <f>+P18+R18+T18+V18</f>
        <v>0</v>
      </c>
      <c r="Y18" s="679">
        <f t="shared" si="1"/>
        <v>0</v>
      </c>
      <c r="Z18" s="356">
        <f t="shared" si="3"/>
        <v>0</v>
      </c>
      <c r="AA18" s="362">
        <f t="shared" si="4"/>
        <v>0</v>
      </c>
      <c r="AB18" s="1159"/>
      <c r="AD18" s="359">
        <f>+'05-POA PROM DEFENSA DERECHOS'!BD21</f>
        <v>0</v>
      </c>
      <c r="AE18" s="361">
        <f t="shared" si="2"/>
        <v>0</v>
      </c>
      <c r="AG18" s="359">
        <f>+'05-POA PROM DEFENSA DERECHOS'!BH21</f>
        <v>0</v>
      </c>
      <c r="AH18" s="361">
        <f>+Z18-AG18</f>
        <v>0</v>
      </c>
    </row>
    <row r="19" spans="2:34" ht="88.5" customHeight="1">
      <c r="B19" s="1485"/>
      <c r="C19" s="1487"/>
      <c r="D19" s="31" t="str">
        <f>+'01-FR-03 POA INSTITUCIONAL'!D19</f>
        <v>1.1.7 Entregar en un termino menor a los cinco (5) días hábiles, mas del 95% de las solicitudes de elaboración de tutelas, desacatos e impugnaciones que realicen las personas en el Distrito Capital.</v>
      </c>
      <c r="E19" s="686">
        <f>+'01-FR-03 POA INSTITUCIONAL'!E19</f>
        <v>0.01</v>
      </c>
      <c r="F19" s="139" t="str">
        <f>+'01-FR-03 POA INSTITUCIONAL'!F19</f>
        <v>&gt;=95%</v>
      </c>
      <c r="G19" s="585" t="str">
        <f>+'01-FR-03 POA INSTITUCIONAL'!G19</f>
        <v>S.I.</v>
      </c>
      <c r="H19" s="141" t="str">
        <f>+'01-FR-03 POA INSTITUCIONAL'!H19</f>
        <v>Porcentaje de Acciones de Tutela, Desacatos e Impugnaciones Entregadas en un Termino Menor a Cinco (5) Días Hábiles</v>
      </c>
      <c r="I19" s="142" t="str">
        <f>+'01-FR-03 POA INSTITUCIONAL'!I19</f>
        <v>Promoción y Defensa de Derechos</v>
      </c>
      <c r="J19" s="143" t="str">
        <f>+'01-FR-03 POA INSTITUCIONAL'!J19</f>
        <v>P.D. para Asuntos Jurisdiccionales, Víctimas y Penal II.
P.D. para la Coordinación de la Gestión de Personerías Locales y sus Personerías Locales adscritas</v>
      </c>
      <c r="K19" s="144" t="str">
        <f>+'01-FR-03 POA INSTITUCIONAL'!K19</f>
        <v>&gt;=95%</v>
      </c>
      <c r="L19" s="144" t="str">
        <f>+'01-FR-03 POA INSTITUCIONAL'!L19</f>
        <v>&gt;=95%</v>
      </c>
      <c r="M19" s="144" t="str">
        <f>+'01-FR-03 POA INSTITUCIONAL'!M19</f>
        <v>&gt;=95%</v>
      </c>
      <c r="N19" s="144" t="str">
        <f>+'01-FR-03 POA INSTITUCIONAL'!N19</f>
        <v>&gt;=95%</v>
      </c>
      <c r="O19" s="354">
        <f>'05-POA PROM DEFENSA DERECHOS'!V22</f>
        <v>0.94999999999999984</v>
      </c>
      <c r="P19" s="354">
        <f>'05-POA PROM DEFENSA DERECHOS'!W22</f>
        <v>1</v>
      </c>
      <c r="Q19" s="354">
        <f>+'05-POA PROM DEFENSA DERECHOS'!AD22</f>
        <v>0.94999999999999984</v>
      </c>
      <c r="R19" s="354">
        <f>'05-POA PROM DEFENSA DERECHOS'!AE22</f>
        <v>0</v>
      </c>
      <c r="S19" s="354">
        <f>+'05-POA PROM DEFENSA DERECHOS'!AL22</f>
        <v>0.94999999999999984</v>
      </c>
      <c r="T19" s="354">
        <f>'05-POA PROM DEFENSA DERECHOS'!AM22</f>
        <v>0</v>
      </c>
      <c r="U19" s="354">
        <f>+'05-POA PROM DEFENSA DERECHOS'!AT22</f>
        <v>0.94999999999999984</v>
      </c>
      <c r="V19" s="354">
        <f>+'05-POA PROM DEFENSA DERECHOS'!AU22</f>
        <v>0</v>
      </c>
      <c r="W19" s="32">
        <f>+'05-POA PROM DEFENSA DERECHOS'!AV22</f>
        <v>0.94999999999999984</v>
      </c>
      <c r="X19" s="356">
        <f>IFERROR(IF(OR($W$19="",$W$19=0),0,ROUNDDOWN(AVERAGE($P19,R19,T19,V19),3)),0)</f>
        <v>0.25</v>
      </c>
      <c r="Y19" s="679">
        <f>IF(AND($W19&gt;0),X19/$W19,"No programado")*0.25</f>
        <v>6.5789473684210537E-2</v>
      </c>
      <c r="Z19" s="356">
        <f>((IF(AND(X19&gt;0,95%&gt;0),X19/95%,0))/4)*1</f>
        <v>6.5789473684210523E-2</v>
      </c>
      <c r="AA19" s="362">
        <f t="shared" si="4"/>
        <v>6.5789473684210525E-4</v>
      </c>
      <c r="AB19" s="1159"/>
      <c r="AD19" s="359">
        <f>+'05-POA PROM DEFENSA DERECHOS'!BD22</f>
        <v>0.26315789473684215</v>
      </c>
      <c r="AE19" s="361">
        <f t="shared" si="2"/>
        <v>-0.19736842105263161</v>
      </c>
      <c r="AG19" s="359">
        <f>+'05-POA PROM DEFENSA DERECHOS'!BH22</f>
        <v>6.5789473684210523E-2</v>
      </c>
      <c r="AH19" s="361">
        <f t="shared" si="5"/>
        <v>0</v>
      </c>
    </row>
    <row r="20" spans="2:34" ht="121.5" customHeight="1">
      <c r="B20" s="1485"/>
      <c r="C20" s="1487"/>
      <c r="D20" s="31" t="str">
        <f>+'01-FR-03 POA INSTITUCIONAL'!D20</f>
        <v>1.1.8 Asistir a 19.500 audiencias públicas y realizar las actuaciones que se requieran en protección de los derechos y defensa del interés público, en temas de urbanismo, espacio público, actividad económica y de los comportamientos contrarios a la convivencia (Ley 1801 de 2016)</v>
      </c>
      <c r="E20" s="52">
        <f>+'01-FR-03 POA INSTITUCIONAL'!E20</f>
        <v>0.02</v>
      </c>
      <c r="F20" s="139">
        <f>+'01-FR-03 POA INSTITUCIONAL'!F20</f>
        <v>19500</v>
      </c>
      <c r="G20" s="585" t="str">
        <f>+'01-FR-03 POA INSTITUCIONAL'!G20</f>
        <v>S.I.</v>
      </c>
      <c r="H20" s="141" t="str">
        <f>+'01-FR-03 POA INSTITUCIONAL'!H20</f>
        <v>Audiencias Publicas Realizadas con Asistencia del Ministerio Público</v>
      </c>
      <c r="I20" s="142" t="str">
        <f>+'01-FR-03 POA INSTITUCIONAL'!I20</f>
        <v>Promoción y Defensa de Derechos</v>
      </c>
      <c r="J20" s="143" t="str">
        <f>+'01-FR-03 POA INSTITUCIONAL'!J20</f>
        <v>P.D. para la Coordinación de la Gestión de Personerías Locales y sus Personerías Locales adscritas</v>
      </c>
      <c r="K20" s="144">
        <f>+'01-FR-03 POA INSTITUCIONAL'!K20</f>
        <v>5000</v>
      </c>
      <c r="L20" s="144">
        <f>+'01-FR-03 POA INSTITUCIONAL'!L20</f>
        <v>6000</v>
      </c>
      <c r="M20" s="144">
        <f>+'01-FR-03 POA INSTITUCIONAL'!M20</f>
        <v>6500</v>
      </c>
      <c r="N20" s="144">
        <f>+'01-FR-03 POA INSTITUCIONAL'!N20</f>
        <v>2000</v>
      </c>
      <c r="O20" s="353">
        <f>'05-POA PROM DEFENSA DERECHOS'!V23</f>
        <v>1200</v>
      </c>
      <c r="P20" s="353">
        <f>'05-POA PROM DEFENSA DERECHOS'!W23</f>
        <v>1452</v>
      </c>
      <c r="Q20" s="353">
        <f>+'05-POA PROM DEFENSA DERECHOS'!AD23</f>
        <v>1800</v>
      </c>
      <c r="R20" s="353">
        <f>+'05-POA PROM DEFENSA DERECHOS'!AE23</f>
        <v>0</v>
      </c>
      <c r="S20" s="353">
        <f>+'05-POA PROM DEFENSA DERECHOS'!AL23</f>
        <v>1800</v>
      </c>
      <c r="T20" s="353">
        <f>+'05-POA PROM DEFENSA DERECHOS'!AM23</f>
        <v>0</v>
      </c>
      <c r="U20" s="353">
        <f>+'05-POA PROM DEFENSA DERECHOS'!AT23</f>
        <v>1200</v>
      </c>
      <c r="V20" s="353">
        <f>+'05-POA PROM DEFENSA DERECHOS'!AU23</f>
        <v>0</v>
      </c>
      <c r="W20" s="353">
        <f>+'05-POA PROM DEFENSA DERECHOS'!AV23</f>
        <v>6000</v>
      </c>
      <c r="X20" s="355">
        <f>+P20+R20+T20+V20</f>
        <v>1452</v>
      </c>
      <c r="Y20" s="679">
        <f t="shared" ref="Y20:Y29" si="6">IF(AND($W20&gt;0),X20/$W20,"No programado")</f>
        <v>0.24199999999999999</v>
      </c>
      <c r="Z20" s="356">
        <f t="shared" si="3"/>
        <v>7.4461538461538468E-2</v>
      </c>
      <c r="AA20" s="362">
        <f t="shared" si="4"/>
        <v>1.4892307692307694E-3</v>
      </c>
      <c r="AB20" s="1159"/>
      <c r="AD20" s="359">
        <f>+'05-POA PROM DEFENSA DERECHOS'!BD23</f>
        <v>0.24199999999999999</v>
      </c>
      <c r="AE20" s="361">
        <f t="shared" si="2"/>
        <v>0</v>
      </c>
      <c r="AG20" s="359">
        <f>+'05-POA PROM DEFENSA DERECHOS'!BH23</f>
        <v>7.4461538461538468E-2</v>
      </c>
      <c r="AH20" s="361">
        <f t="shared" si="5"/>
        <v>0</v>
      </c>
    </row>
    <row r="21" spans="2:34" ht="84.75" customHeight="1">
      <c r="B21" s="1485"/>
      <c r="C21" s="1487"/>
      <c r="D21" s="31" t="str">
        <f>+'01-FR-03 POA INSTITUCIONAL'!D21</f>
        <v>1.1.9 Realizar 11.000 intervenciones de manera oportuna para evitar situaciones de caducidad y perdida de fuerza ejecutoria en las actuaciones administrativas y policivas</v>
      </c>
      <c r="E21" s="52">
        <f>+'01-FR-03 POA INSTITUCIONAL'!E21</f>
        <v>0.01</v>
      </c>
      <c r="F21" s="139">
        <f>+'01-FR-03 POA INSTITUCIONAL'!F21</f>
        <v>11000</v>
      </c>
      <c r="G21" s="585" t="str">
        <f>+'01-FR-03 POA INSTITUCIONAL'!G21</f>
        <v>S.I.</v>
      </c>
      <c r="H21" s="141" t="str">
        <f>+'01-FR-03 POA INSTITUCIONAL'!H21</f>
        <v>Intervenciones realizadas oportunamente para evitar la caducidad y perdida de fuerza ejecutoria (Impulsos procesales)</v>
      </c>
      <c r="I21" s="142" t="str">
        <f>+'01-FR-03 POA INSTITUCIONAL'!I21</f>
        <v>Promoción y Defensa de Derechos</v>
      </c>
      <c r="J21" s="143" t="str">
        <f>+'01-FR-03 POA INSTITUCIONAL'!J21</f>
        <v>P.D. para la Coordinación de la Gestión de Personerías Locales y sus Personerías Locales adscritas</v>
      </c>
      <c r="K21" s="144">
        <f>+'01-FR-03 POA INSTITUCIONAL'!K21</f>
        <v>3000</v>
      </c>
      <c r="L21" s="144">
        <f>+'01-FR-03 POA INSTITUCIONAL'!L21</f>
        <v>3000</v>
      </c>
      <c r="M21" s="144">
        <f>+'01-FR-03 POA INSTITUCIONAL'!M21</f>
        <v>4000</v>
      </c>
      <c r="N21" s="144">
        <f>+'01-FR-03 POA INSTITUCIONAL'!N21</f>
        <v>1000</v>
      </c>
      <c r="O21" s="353">
        <f>'05-POA PROM DEFENSA DERECHOS'!V24</f>
        <v>600</v>
      </c>
      <c r="P21" s="353">
        <f>'05-POA PROM DEFENSA DERECHOS'!W24</f>
        <v>438</v>
      </c>
      <c r="Q21" s="353">
        <f>+'05-POA PROM DEFENSA DERECHOS'!AD24</f>
        <v>900</v>
      </c>
      <c r="R21" s="353">
        <f>+'05-POA PROM DEFENSA DERECHOS'!AE24</f>
        <v>0</v>
      </c>
      <c r="S21" s="353">
        <f>+'05-POA PROM DEFENSA DERECHOS'!AL24</f>
        <v>900</v>
      </c>
      <c r="T21" s="353">
        <f>+'05-POA PROM DEFENSA DERECHOS'!AM24</f>
        <v>0</v>
      </c>
      <c r="U21" s="353">
        <f>+'05-POA PROM DEFENSA DERECHOS'!AT24</f>
        <v>600</v>
      </c>
      <c r="V21" s="353">
        <f>+'05-POA PROM DEFENSA DERECHOS'!AU24</f>
        <v>0</v>
      </c>
      <c r="W21" s="353">
        <f>+'05-POA PROM DEFENSA DERECHOS'!AV24</f>
        <v>3000</v>
      </c>
      <c r="X21" s="355">
        <f t="shared" ref="X21:X57" si="7">+P21+R21+T21+V21</f>
        <v>438</v>
      </c>
      <c r="Y21" s="679">
        <f t="shared" si="6"/>
        <v>0.14599999999999999</v>
      </c>
      <c r="Z21" s="356">
        <f t="shared" si="3"/>
        <v>3.9818181818181815E-2</v>
      </c>
      <c r="AA21" s="362">
        <f t="shared" si="4"/>
        <v>3.9818181818181814E-4</v>
      </c>
      <c r="AB21" s="1159"/>
      <c r="AD21" s="359">
        <f>+'05-POA PROM DEFENSA DERECHOS'!BD24</f>
        <v>0.14599999999999999</v>
      </c>
      <c r="AE21" s="361">
        <f t="shared" si="2"/>
        <v>0</v>
      </c>
      <c r="AG21" s="359">
        <f>+'05-POA PROM DEFENSA DERECHOS'!BH24</f>
        <v>3.9818181818181815E-2</v>
      </c>
      <c r="AH21" s="361">
        <f t="shared" si="5"/>
        <v>0</v>
      </c>
    </row>
    <row r="22" spans="2:34" ht="83.25" customHeight="1">
      <c r="B22" s="1485"/>
      <c r="C22" s="1487"/>
      <c r="D22" s="31" t="str">
        <f>+'01-FR-03 POA INSTITUCIONAL'!D22</f>
        <v>1.1.10 Impulsar 2.300 expedientes que contengan orden de policía (MULTA) en firme y ejecutoriada, para que se efectúen cobros persuasivos y/o se de traslado para el cobro coactivo.</v>
      </c>
      <c r="E22" s="52">
        <f>+'01-FR-03 POA INSTITUCIONAL'!E22</f>
        <v>0.01</v>
      </c>
      <c r="F22" s="139">
        <f>+'01-FR-03 POA INSTITUCIONAL'!F22</f>
        <v>2300</v>
      </c>
      <c r="G22" s="585" t="str">
        <f>+'01-FR-03 POA INSTITUCIONAL'!G22</f>
        <v>S.I.</v>
      </c>
      <c r="H22" s="141" t="str">
        <f>+'01-FR-03 POA INSTITUCIONAL'!H22</f>
        <v>Expedientes con impulso procesal para la gestión de multas</v>
      </c>
      <c r="I22" s="142" t="str">
        <f>+'01-FR-03 POA INSTITUCIONAL'!I22</f>
        <v>Promoción y Defensa de Derechos</v>
      </c>
      <c r="J22" s="143" t="str">
        <f>+'01-FR-03 POA INSTITUCIONAL'!J22</f>
        <v>P.D. para la Coordinación de la Gestión de Personerías Locales y sus Personerías Locales adscritas</v>
      </c>
      <c r="K22" s="144">
        <f>+'01-FR-03 POA INSTITUCIONAL'!K22</f>
        <v>700</v>
      </c>
      <c r="L22" s="144">
        <f>+'01-FR-03 POA INSTITUCIONAL'!L22</f>
        <v>500</v>
      </c>
      <c r="M22" s="144">
        <f>+'01-FR-03 POA INSTITUCIONAL'!M22</f>
        <v>800</v>
      </c>
      <c r="N22" s="144">
        <f>+'01-FR-03 POA INSTITUCIONAL'!N22</f>
        <v>300</v>
      </c>
      <c r="O22" s="353">
        <f>'05-POA PROM DEFENSA DERECHOS'!V25</f>
        <v>100</v>
      </c>
      <c r="P22" s="353">
        <f>'05-POA PROM DEFENSA DERECHOS'!W25</f>
        <v>82</v>
      </c>
      <c r="Q22" s="353">
        <f>+'05-POA PROM DEFENSA DERECHOS'!AD25</f>
        <v>150</v>
      </c>
      <c r="R22" s="353">
        <f>+'05-POA PROM DEFENSA DERECHOS'!AE25</f>
        <v>0</v>
      </c>
      <c r="S22" s="353">
        <f>+'05-POA PROM DEFENSA DERECHOS'!AL25</f>
        <v>150</v>
      </c>
      <c r="T22" s="353">
        <f>+'05-POA PROM DEFENSA DERECHOS'!AM25</f>
        <v>0</v>
      </c>
      <c r="U22" s="353">
        <f>+'05-POA PROM DEFENSA DERECHOS'!AT25</f>
        <v>100</v>
      </c>
      <c r="V22" s="353">
        <f>+'05-POA PROM DEFENSA DERECHOS'!AU25</f>
        <v>0</v>
      </c>
      <c r="W22" s="353">
        <f>+'05-POA PROM DEFENSA DERECHOS'!AV25</f>
        <v>500</v>
      </c>
      <c r="X22" s="355">
        <f t="shared" si="7"/>
        <v>82</v>
      </c>
      <c r="Y22" s="679">
        <f t="shared" si="6"/>
        <v>0.16400000000000001</v>
      </c>
      <c r="Z22" s="356">
        <f t="shared" si="3"/>
        <v>3.5652173913043476E-2</v>
      </c>
      <c r="AA22" s="362">
        <f t="shared" si="4"/>
        <v>3.5652173913043475E-4</v>
      </c>
      <c r="AB22" s="1159"/>
      <c r="AD22" s="359">
        <f>+'05-POA PROM DEFENSA DERECHOS'!BD25</f>
        <v>0.16400000000000001</v>
      </c>
      <c r="AE22" s="361">
        <f t="shared" si="2"/>
        <v>0</v>
      </c>
      <c r="AG22" s="359">
        <f>+'05-POA PROM DEFENSA DERECHOS'!BH25</f>
        <v>3.5652173913043476E-2</v>
      </c>
      <c r="AH22" s="361">
        <f t="shared" si="5"/>
        <v>0</v>
      </c>
    </row>
    <row r="23" spans="2:34" ht="93.75" customHeight="1">
      <c r="B23" s="1485"/>
      <c r="C23" s="1488"/>
      <c r="D23" s="31" t="str">
        <f>+'01-FR-03 POA INSTITUCIONAL'!D23</f>
        <v>1.1.11 Establecer de forma periódica, 40 estados de la vulneración de  los derechos humanos en las localidades, dando a conocer a las Entidades correspondientes los hechos observados que requieren su intervención.</v>
      </c>
      <c r="E23" s="52">
        <f>+'01-FR-03 POA INSTITUCIONAL'!E23</f>
        <v>0.01</v>
      </c>
      <c r="F23" s="139">
        <f>+'01-FR-03 POA INSTITUCIONAL'!F23</f>
        <v>40</v>
      </c>
      <c r="G23" s="585" t="str">
        <f>+'01-FR-03 POA INSTITUCIONAL'!G23</f>
        <v>S.I.</v>
      </c>
      <c r="H23" s="141" t="str">
        <f>+'01-FR-03 POA INSTITUCIONAL'!H23</f>
        <v>Estados de vulneración establecidos</v>
      </c>
      <c r="I23" s="142" t="str">
        <f>+'01-FR-03 POA INSTITUCIONAL'!I23</f>
        <v>Promoción y Defensa de Derechos</v>
      </c>
      <c r="J23" s="143" t="str">
        <f>+'01-FR-03 POA INSTITUCIONAL'!J23</f>
        <v>P.D. para la Coordinación de la Gestión de Personerías Locales y sus Personerías Locales adscritas</v>
      </c>
      <c r="K23" s="144">
        <f>+'01-FR-03 POA INSTITUCIONAL'!K23</f>
        <v>0</v>
      </c>
      <c r="L23" s="144">
        <f>+'01-FR-03 POA INSTITUCIONAL'!L23</f>
        <v>0</v>
      </c>
      <c r="M23" s="144">
        <f>+'01-FR-03 POA INSTITUCIONAL'!M23</f>
        <v>20</v>
      </c>
      <c r="N23" s="144">
        <f>+'01-FR-03 POA INSTITUCIONAL'!N23</f>
        <v>20</v>
      </c>
      <c r="O23" s="353">
        <f>'05-POA PROM DEFENSA DERECHOS'!V26</f>
        <v>0</v>
      </c>
      <c r="P23" s="353">
        <f>'05-POA PROM DEFENSA DERECHOS'!W26</f>
        <v>0</v>
      </c>
      <c r="Q23" s="353">
        <f>+'05-POA PROM DEFENSA DERECHOS'!AD26</f>
        <v>0</v>
      </c>
      <c r="R23" s="353">
        <f>+'05-POA PROM DEFENSA DERECHOS'!AE26</f>
        <v>0</v>
      </c>
      <c r="S23" s="353">
        <f>+'05-POA PROM DEFENSA DERECHOS'!AL26</f>
        <v>0</v>
      </c>
      <c r="T23" s="353">
        <f>+'05-POA PROM DEFENSA DERECHOS'!AM26</f>
        <v>0</v>
      </c>
      <c r="U23" s="353">
        <f>+'05-POA PROM DEFENSA DERECHOS'!AT26</f>
        <v>0</v>
      </c>
      <c r="V23" s="353">
        <f>+'05-POA PROM DEFENSA DERECHOS'!AU26</f>
        <v>0</v>
      </c>
      <c r="W23" s="353">
        <f>+'05-POA PROM DEFENSA DERECHOS'!AV26</f>
        <v>0</v>
      </c>
      <c r="X23" s="355">
        <f t="shared" si="7"/>
        <v>0</v>
      </c>
      <c r="Y23" s="679" t="str">
        <f t="shared" si="6"/>
        <v>No programado</v>
      </c>
      <c r="Z23" s="356">
        <f t="shared" si="3"/>
        <v>0</v>
      </c>
      <c r="AA23" s="362">
        <f t="shared" si="4"/>
        <v>0</v>
      </c>
      <c r="AB23" s="1291"/>
      <c r="AD23" s="359">
        <f>+'05-POA PROM DEFENSA DERECHOS'!BD26</f>
        <v>0</v>
      </c>
      <c r="AE23" s="361" t="e">
        <f t="shared" si="2"/>
        <v>#VALUE!</v>
      </c>
      <c r="AG23" s="359">
        <f>+'05-POA PROM DEFENSA DERECHOS'!BH26</f>
        <v>0</v>
      </c>
      <c r="AH23" s="361">
        <f t="shared" si="5"/>
        <v>0</v>
      </c>
    </row>
    <row r="24" spans="2:34" ht="135.75" customHeight="1">
      <c r="B24" s="1485"/>
      <c r="C24" s="1486" t="s">
        <v>132</v>
      </c>
      <c r="D24" s="31" t="str">
        <f>+'01-FR-03 POA INSTITUCIONAL'!D24</f>
        <v>1.2.1 Sensibilizar a 205.930 personas en derechos humanos, Derecho Internacional Humanitario, Cultura Ciudadana, Protección Animal, Deberes de los Ciudadanos y oferta institucional, con énfasis en sujetos de especial protección constitucional, en particular, personas mayores, mujeres y población migrante.</v>
      </c>
      <c r="E24" s="52">
        <f>+'01-FR-03 POA INSTITUCIONAL'!E24</f>
        <v>0.75</v>
      </c>
      <c r="F24" s="139">
        <f>+'01-FR-03 POA INSTITUCIONAL'!F24</f>
        <v>205930</v>
      </c>
      <c r="G24" s="585" t="str">
        <f>+'01-FR-03 POA INSTITUCIONAL'!G24</f>
        <v>S.I.</v>
      </c>
      <c r="H24" s="141" t="str">
        <f>+'01-FR-03 POA INSTITUCIONAL'!H24</f>
        <v>Personas sensibilizadas en el Distrito Capital</v>
      </c>
      <c r="I24" s="142" t="str">
        <f>+'01-FR-03 POA INSTITUCIONAL'!I24</f>
        <v>Promoción y Defensa de Derechos</v>
      </c>
      <c r="J24" s="143" t="str">
        <f>+'01-FR-03 POA INSTITUCIONAL'!J24</f>
        <v>P.D. para la Coordinación del MP y DDHH y sus dependencias adscritas
P.D. para la Coordinación de la Gestión de Personerías Locales y sus Personerías Locales adscritas</v>
      </c>
      <c r="K24" s="144">
        <f>+'01-FR-03 POA INSTITUCIONAL'!K24</f>
        <v>62360</v>
      </c>
      <c r="L24" s="144">
        <f>+'01-FR-03 POA INSTITUCIONAL'!L24</f>
        <v>71570</v>
      </c>
      <c r="M24" s="144">
        <f>+'01-FR-03 POA INSTITUCIONAL'!M24</f>
        <v>53000</v>
      </c>
      <c r="N24" s="144">
        <f>+'01-FR-03 POA INSTITUCIONAL'!N24</f>
        <v>19000</v>
      </c>
      <c r="O24" s="353">
        <f>'05-POA PROM DEFENSA DERECHOS'!V27</f>
        <v>10700</v>
      </c>
      <c r="P24" s="353">
        <f>'05-POA PROM DEFENSA DERECHOS'!W27</f>
        <v>16789</v>
      </c>
      <c r="Q24" s="353">
        <f>+'05-POA PROM DEFENSA DERECHOS'!AD27</f>
        <v>21400</v>
      </c>
      <c r="R24" s="353">
        <f>+'05-POA PROM DEFENSA DERECHOS'!AE27</f>
        <v>0</v>
      </c>
      <c r="S24" s="353">
        <f>+'05-POA PROM DEFENSA DERECHOS'!AL27</f>
        <v>23550</v>
      </c>
      <c r="T24" s="353">
        <f>+'05-POA PROM DEFENSA DERECHOS'!AM27</f>
        <v>0</v>
      </c>
      <c r="U24" s="353">
        <f>+'05-POA PROM DEFENSA DERECHOS'!AT27</f>
        <v>15920</v>
      </c>
      <c r="V24" s="353">
        <f>+'05-POA PROM DEFENSA DERECHOS'!AU27</f>
        <v>0</v>
      </c>
      <c r="W24" s="353">
        <f>+'05-POA PROM DEFENSA DERECHOS'!AV27</f>
        <v>71570</v>
      </c>
      <c r="X24" s="355">
        <f t="shared" si="7"/>
        <v>16789</v>
      </c>
      <c r="Y24" s="679">
        <f t="shared" si="6"/>
        <v>0.23458152857342462</v>
      </c>
      <c r="Z24" s="356">
        <f t="shared" si="3"/>
        <v>8.1527703588598066E-2</v>
      </c>
      <c r="AA24" s="362">
        <f t="shared" si="4"/>
        <v>6.114577769144855E-2</v>
      </c>
      <c r="AB24" s="1246">
        <f>+AA24+AA25+AA26+AA27+AA28+AA29</f>
        <v>8.4009021653211627E-2</v>
      </c>
      <c r="AD24" s="359">
        <f>+'05-POA PROM DEFENSA DERECHOS'!BD27</f>
        <v>0.23458152857342462</v>
      </c>
      <c r="AE24" s="361">
        <f t="shared" si="2"/>
        <v>0</v>
      </c>
      <c r="AG24" s="359">
        <f>+'05-POA PROM DEFENSA DERECHOS'!BH27</f>
        <v>8.1527703588598066E-2</v>
      </c>
      <c r="AH24" s="361">
        <f t="shared" si="5"/>
        <v>0</v>
      </c>
    </row>
    <row r="25" spans="2:34" ht="115.2" customHeight="1">
      <c r="B25" s="1485"/>
      <c r="C25" s="1487"/>
      <c r="D25" s="31" t="str">
        <f>+'01-FR-03 POA INSTITUCIONAL'!D25</f>
        <v>1.2.2 Adelantar 23.910 acciones necesarias en favor de la población víctima del conflicto armado interno mediante el apoyo jurídico, la atención psicosocial, la gestión para acceso a derechos, la toma de declaraciones y la elaboración de derechos de petición.</v>
      </c>
      <c r="E25" s="52">
        <f>+'01-FR-03 POA INSTITUCIONAL'!E25</f>
        <v>0.12</v>
      </c>
      <c r="F25" s="139">
        <f>+'01-FR-03 POA INSTITUCIONAL'!F25</f>
        <v>23910</v>
      </c>
      <c r="G25" s="585" t="str">
        <f>+'01-FR-03 POA INSTITUCIONAL'!G25</f>
        <v>S.I.</v>
      </c>
      <c r="H25" s="141" t="str">
        <f>+'01-FR-03 POA INSTITUCIONAL'!H25</f>
        <v>Acciones en favor de las víctimas del conflicto armado interno adelantadas</v>
      </c>
      <c r="I25" s="142" t="str">
        <f>+'01-FR-03 POA INSTITUCIONAL'!I25</f>
        <v>Promoción y Defensa de Derechos</v>
      </c>
      <c r="J25" s="143" t="str">
        <f>+'01-FR-03 POA INSTITUCIONAL'!J25</f>
        <v>P.D. para la Protección de las Víctimas del Conflicto Armado Interno
P.D. para la Coordinación de la Gestión de Personerías Locales y sus Personerías Locales adscritas</v>
      </c>
      <c r="K25" s="144">
        <f>+'01-FR-03 POA INSTITUCIONAL'!K25</f>
        <v>5480</v>
      </c>
      <c r="L25" s="144">
        <f>+'01-FR-03 POA INSTITUCIONAL'!L25</f>
        <v>5480</v>
      </c>
      <c r="M25" s="144">
        <f>+'01-FR-03 POA INSTITUCIONAL'!M25</f>
        <v>8650</v>
      </c>
      <c r="N25" s="144">
        <f>+'01-FR-03 POA INSTITUCIONAL'!N25</f>
        <v>4300</v>
      </c>
      <c r="O25" s="353">
        <f>'05-POA PROM DEFENSA DERECHOS'!V28</f>
        <v>920</v>
      </c>
      <c r="P25" s="353">
        <f>'05-POA PROM DEFENSA DERECHOS'!W28</f>
        <v>2701</v>
      </c>
      <c r="Q25" s="353">
        <f>+'05-POA PROM DEFENSA DERECHOS'!AD28</f>
        <v>1760</v>
      </c>
      <c r="R25" s="607">
        <f>+'05-POA PROM DEFENSA DERECHOS'!AE28</f>
        <v>0</v>
      </c>
      <c r="S25" s="353">
        <f>+'05-POA PROM DEFENSA DERECHOS'!AL28</f>
        <v>1680</v>
      </c>
      <c r="T25" s="353">
        <f>+'05-POA PROM DEFENSA DERECHOS'!AM28</f>
        <v>0</v>
      </c>
      <c r="U25" s="353">
        <f>+'05-POA PROM DEFENSA DERECHOS'!AT28</f>
        <v>1120</v>
      </c>
      <c r="V25" s="353">
        <f>+'05-POA PROM DEFENSA DERECHOS'!AU28</f>
        <v>0</v>
      </c>
      <c r="W25" s="353">
        <f>+'05-POA PROM DEFENSA DERECHOS'!AV28</f>
        <v>5480</v>
      </c>
      <c r="X25" s="355">
        <f t="shared" si="7"/>
        <v>2701</v>
      </c>
      <c r="Y25" s="679">
        <f t="shared" si="6"/>
        <v>0.49288321167883209</v>
      </c>
      <c r="Z25" s="356">
        <f t="shared" si="3"/>
        <v>0.11296528649100794</v>
      </c>
      <c r="AA25" s="362">
        <f t="shared" si="4"/>
        <v>1.3555834378920953E-2</v>
      </c>
      <c r="AB25" s="1192"/>
      <c r="AD25" s="359">
        <f>+'05-POA PROM DEFENSA DERECHOS'!BD28</f>
        <v>0.49288321167883209</v>
      </c>
      <c r="AE25" s="361">
        <f t="shared" si="2"/>
        <v>0</v>
      </c>
      <c r="AG25" s="359">
        <f>+'05-POA PROM DEFENSA DERECHOS'!BH28</f>
        <v>0.11296528649100794</v>
      </c>
      <c r="AH25" s="361">
        <f t="shared" si="5"/>
        <v>0</v>
      </c>
    </row>
    <row r="26" spans="2:34" ht="75">
      <c r="B26" s="1485"/>
      <c r="C26" s="1487"/>
      <c r="D26" s="31" t="str">
        <f>+'01-FR-03 POA INSTITUCIONAL'!D26</f>
        <v>1.2.3 Prevenir mediante la elaboración de 18.880 acciones constitucionales, la vulneración de derechos  con énfasis en sujetos de especial protección constitucional.</v>
      </c>
      <c r="E26" s="52">
        <f>+'01-FR-03 POA INSTITUCIONAL'!E26</f>
        <v>0.09</v>
      </c>
      <c r="F26" s="139">
        <f>+'01-FR-03 POA INSTITUCIONAL'!F26</f>
        <v>18880</v>
      </c>
      <c r="G26" s="585" t="str">
        <f>+'01-FR-03 POA INSTITUCIONAL'!G26</f>
        <v>S.I.</v>
      </c>
      <c r="H26" s="141" t="str">
        <f>+'01-FR-03 POA INSTITUCIONAL'!H26</f>
        <v>Acciones constitucionales elaboradas para prevenir vulneración de derechos</v>
      </c>
      <c r="I26" s="142" t="str">
        <f>+'01-FR-03 POA INSTITUCIONAL'!I26</f>
        <v>Promoción y Defensa de Derechos</v>
      </c>
      <c r="J26" s="143" t="str">
        <f>+'01-FR-03 POA INSTITUCIONAL'!J26</f>
        <v>P.D. para Asuntos Jurisdiccionales, Víctimas, Penal II y Consumidor.
P.D. para la Coordinación de la Gestión de Personerías Locales y sus Personerías Locales adscritas</v>
      </c>
      <c r="K26" s="144">
        <f>+'01-FR-03 POA INSTITUCIONAL'!K26</f>
        <v>4790</v>
      </c>
      <c r="L26" s="144">
        <f>+'01-FR-03 POA INSTITUCIONAL'!L26</f>
        <v>4790</v>
      </c>
      <c r="M26" s="144">
        <f>+'01-FR-03 POA INSTITUCIONAL'!M26</f>
        <v>6300</v>
      </c>
      <c r="N26" s="144">
        <f>+'01-FR-03 POA INSTITUCIONAL'!N26</f>
        <v>3000</v>
      </c>
      <c r="O26" s="353">
        <f>'05-POA PROM DEFENSA DERECHOS'!V29</f>
        <v>1311</v>
      </c>
      <c r="P26" s="353">
        <f>'05-POA PROM DEFENSA DERECHOS'!W29</f>
        <v>1473</v>
      </c>
      <c r="Q26" s="353">
        <f>+'05-POA PROM DEFENSA DERECHOS'!AD29</f>
        <v>1674</v>
      </c>
      <c r="R26" s="607">
        <f>+'05-POA PROM DEFENSA DERECHOS'!AE29</f>
        <v>0</v>
      </c>
      <c r="S26" s="353">
        <f>+'05-POA PROM DEFENSA DERECHOS'!AL29</f>
        <v>1107</v>
      </c>
      <c r="T26" s="353">
        <f>+'05-POA PROM DEFENSA DERECHOS'!AM29</f>
        <v>0</v>
      </c>
      <c r="U26" s="353">
        <f>+'05-POA PROM DEFENSA DERECHOS'!AT29</f>
        <v>698</v>
      </c>
      <c r="V26" s="353">
        <f>+'05-POA PROM DEFENSA DERECHOS'!AU29</f>
        <v>0</v>
      </c>
      <c r="W26" s="353">
        <f>+'05-POA PROM DEFENSA DERECHOS'!AV29</f>
        <v>4790</v>
      </c>
      <c r="X26" s="355">
        <f t="shared" si="7"/>
        <v>1473</v>
      </c>
      <c r="Y26" s="679">
        <f t="shared" si="6"/>
        <v>0.30751565762004174</v>
      </c>
      <c r="Z26" s="356">
        <f t="shared" si="3"/>
        <v>7.8019067796610164E-2</v>
      </c>
      <c r="AA26" s="362">
        <f t="shared" si="4"/>
        <v>7.0217161016949145E-3</v>
      </c>
      <c r="AB26" s="1192"/>
      <c r="AD26" s="359">
        <f>+'05-POA PROM DEFENSA DERECHOS'!BD29</f>
        <v>0.30751565762004174</v>
      </c>
      <c r="AE26" s="361">
        <f t="shared" si="2"/>
        <v>0</v>
      </c>
      <c r="AG26" s="359">
        <f>+'05-POA PROM DEFENSA DERECHOS'!BH29</f>
        <v>7.8019067796610164E-2</v>
      </c>
      <c r="AH26" s="361">
        <f t="shared" si="5"/>
        <v>0</v>
      </c>
    </row>
    <row r="27" spans="2:34" ht="100.95" customHeight="1">
      <c r="B27" s="1485"/>
      <c r="C27" s="1487"/>
      <c r="D27" s="31" t="str">
        <f>+'01-FR-03 POA INSTITUCIONAL'!D27</f>
        <v>1.2.4 Fortalecer el ejercicio del ministerio público ante las comisarías de familia, mediante el seguimiento a 3.540 medidas de protección que estas imponen.</v>
      </c>
      <c r="E27" s="52">
        <f>+'01-FR-03 POA INSTITUCIONAL'!E27</f>
        <v>0.02</v>
      </c>
      <c r="F27" s="139">
        <f>+'01-FR-03 POA INSTITUCIONAL'!F27</f>
        <v>3940</v>
      </c>
      <c r="G27" s="585" t="str">
        <f>+'01-FR-03 POA INSTITUCIONAL'!G27</f>
        <v>S.I.</v>
      </c>
      <c r="H27" s="141" t="str">
        <f>+'01-FR-03 POA INSTITUCIONAL'!H27</f>
        <v>Seguimientos realizados por el Ministerio Público a las medidas de protección impuestas por las Comisarias de Familia</v>
      </c>
      <c r="I27" s="142" t="str">
        <f>+'01-FR-03 POA INSTITUCIONAL'!I27</f>
        <v>Promoción y Defensa de Derechos</v>
      </c>
      <c r="J27" s="143" t="str">
        <f>+'01-FR-03 POA INSTITUCIONAL'!J27</f>
        <v>P.D. para la Familia y Sujetos de Especial Protección Constitucional</v>
      </c>
      <c r="K27" s="144">
        <f>+'01-FR-03 POA INSTITUCIONAL'!K27</f>
        <v>940</v>
      </c>
      <c r="L27" s="144">
        <f>+'01-FR-03 POA INSTITUCIONAL'!L27</f>
        <v>800</v>
      </c>
      <c r="M27" s="144">
        <f>+'01-FR-03 POA INSTITUCIONAL'!M27</f>
        <v>1200</v>
      </c>
      <c r="N27" s="144">
        <f>+'01-FR-03 POA INSTITUCIONAL'!N27</f>
        <v>600</v>
      </c>
      <c r="O27" s="353">
        <f>'05-POA PROM DEFENSA DERECHOS'!V30</f>
        <v>140</v>
      </c>
      <c r="P27" s="353">
        <f>'05-POA PROM DEFENSA DERECHOS'!W30</f>
        <v>53</v>
      </c>
      <c r="Q27" s="353">
        <f>+'05-POA PROM DEFENSA DERECHOS'!AD30</f>
        <v>270</v>
      </c>
      <c r="R27" s="607">
        <f>+'05-POA PROM DEFENSA DERECHOS'!AE30</f>
        <v>0</v>
      </c>
      <c r="S27" s="353">
        <f>+'05-POA PROM DEFENSA DERECHOS'!AL30</f>
        <v>240</v>
      </c>
      <c r="T27" s="353">
        <f>+'05-POA PROM DEFENSA DERECHOS'!AM30</f>
        <v>0</v>
      </c>
      <c r="U27" s="353">
        <f>+'05-POA PROM DEFENSA DERECHOS'!AT30</f>
        <v>150</v>
      </c>
      <c r="V27" s="353">
        <f>+'05-POA PROM DEFENSA DERECHOS'!AU30</f>
        <v>0</v>
      </c>
      <c r="W27" s="353">
        <f>+'05-POA PROM DEFENSA DERECHOS'!AV30</f>
        <v>800</v>
      </c>
      <c r="X27" s="355">
        <f t="shared" si="7"/>
        <v>53</v>
      </c>
      <c r="Y27" s="679">
        <f t="shared" si="6"/>
        <v>6.6250000000000003E-2</v>
      </c>
      <c r="Z27" s="356">
        <f t="shared" si="3"/>
        <v>1.3451776649746193E-2</v>
      </c>
      <c r="AA27" s="362">
        <f t="shared" si="4"/>
        <v>2.6903553299492385E-4</v>
      </c>
      <c r="AB27" s="1192"/>
      <c r="AD27" s="359">
        <f>+'05-POA PROM DEFENSA DERECHOS'!BD30</f>
        <v>6.6250000000000003E-2</v>
      </c>
      <c r="AE27" s="361">
        <f t="shared" si="2"/>
        <v>0</v>
      </c>
      <c r="AG27" s="359">
        <f>+'05-POA PROM DEFENSA DERECHOS'!BH30</f>
        <v>1.3451776649746193E-2</v>
      </c>
      <c r="AH27" s="361">
        <f t="shared" si="5"/>
        <v>0</v>
      </c>
    </row>
    <row r="28" spans="2:34" ht="120" customHeight="1">
      <c r="B28" s="1485"/>
      <c r="C28" s="1487"/>
      <c r="D28" s="31" t="str">
        <f>+'01-FR-03 POA INSTITUCIONAL'!D28</f>
        <v>1.2.5 Participar en 7.711 comités, mesas y consejos interinstitucionales en garantía de derechos, con énfasis en temas relacionados con sujetos de especial protección constitucional, en particular, persona mayor, mujer y población migrante.</v>
      </c>
      <c r="E28" s="52">
        <f>+'01-FR-03 POA INSTITUCIONAL'!E28</f>
        <v>0.01</v>
      </c>
      <c r="F28" s="139">
        <f>+'01-FR-03 POA INSTITUCIONAL'!F28</f>
        <v>7711</v>
      </c>
      <c r="G28" s="585" t="str">
        <f>+'01-FR-03 POA INSTITUCIONAL'!G28</f>
        <v>S.I.</v>
      </c>
      <c r="H28" s="141" t="str">
        <f>+'01-FR-03 POA INSTITUCIONAL'!H28</f>
        <v>Espacios Interinstitucionales con participación</v>
      </c>
      <c r="I28" s="142" t="str">
        <f>+'01-FR-03 POA INSTITUCIONAL'!I28</f>
        <v>Promoción y Defensa de Derechos</v>
      </c>
      <c r="J28" s="143" t="str">
        <f>+'01-FR-03 POA INSTITUCIONAL'!J28</f>
        <v>P.D. para la Coordinación del MP y DDHH, P.D. para Asuntos Penales I, Penales II, Derechos Humanos, Familia, Víctimas, Asuntos Jurisdiccionales y Consumidor.
 P.D. para la Coordinación de la Gestión de Personerías Locales y sus Personerías Locales adscritas</v>
      </c>
      <c r="K28" s="144">
        <f>+'01-FR-03 POA INSTITUCIONAL'!K28</f>
        <v>2802</v>
      </c>
      <c r="L28" s="144">
        <f>+'01-FR-03 POA INSTITUCIONAL'!L28</f>
        <v>2771</v>
      </c>
      <c r="M28" s="144">
        <f>+'01-FR-03 POA INSTITUCIONAL'!M28</f>
        <v>1092</v>
      </c>
      <c r="N28" s="144">
        <f>+'01-FR-03 POA INSTITUCIONAL'!N28</f>
        <v>1046</v>
      </c>
      <c r="O28" s="353">
        <f>'05-POA PROM DEFENSA DERECHOS'!V31</f>
        <v>678</v>
      </c>
      <c r="P28" s="353">
        <f>'05-POA PROM DEFENSA DERECHOS'!W31</f>
        <v>602</v>
      </c>
      <c r="Q28" s="353">
        <f>+'05-POA PROM DEFENSA DERECHOS'!AD31</f>
        <v>702</v>
      </c>
      <c r="R28" s="607">
        <f>+'05-POA PROM DEFENSA DERECHOS'!AE31</f>
        <v>0</v>
      </c>
      <c r="S28" s="353">
        <f>+'05-POA PROM DEFENSA DERECHOS'!AL31</f>
        <v>703</v>
      </c>
      <c r="T28" s="353">
        <f>+'05-POA PROM DEFENSA DERECHOS'!AM31</f>
        <v>0</v>
      </c>
      <c r="U28" s="353">
        <f>+'05-POA PROM DEFENSA DERECHOS'!AT31</f>
        <v>688</v>
      </c>
      <c r="V28" s="353">
        <f>+'05-POA PROM DEFENSA DERECHOS'!AU31</f>
        <v>0</v>
      </c>
      <c r="W28" s="353">
        <f>+'05-POA PROM DEFENSA DERECHOS'!AV31</f>
        <v>2771</v>
      </c>
      <c r="X28" s="355">
        <f t="shared" si="7"/>
        <v>602</v>
      </c>
      <c r="Y28" s="679">
        <f t="shared" si="6"/>
        <v>0.21725009022013714</v>
      </c>
      <c r="Z28" s="356">
        <f t="shared" si="3"/>
        <v>7.8070289197250675E-2</v>
      </c>
      <c r="AA28" s="362">
        <f t="shared" si="4"/>
        <v>7.807028919725068E-4</v>
      </c>
      <c r="AB28" s="1192"/>
      <c r="AD28" s="359">
        <f>+'05-POA PROM DEFENSA DERECHOS'!BD31</f>
        <v>0.21725009022013714</v>
      </c>
      <c r="AE28" s="361">
        <f t="shared" si="2"/>
        <v>0</v>
      </c>
      <c r="AG28" s="359">
        <f>+'05-POA PROM DEFENSA DERECHOS'!BH31</f>
        <v>7.8070289197250675E-2</v>
      </c>
      <c r="AH28" s="361">
        <f t="shared" si="5"/>
        <v>0</v>
      </c>
    </row>
    <row r="29" spans="2:34" ht="105">
      <c r="B29" s="1485"/>
      <c r="C29" s="1488"/>
      <c r="D29" s="31" t="str">
        <f>+'01-FR-03 POA INSTITUCIONAL'!D29</f>
        <v>1.2.6 Realizar 738 seguimientos a la amenaza y vulneración de los derechos, con énfasis en sujetos de especial protección constitucional, en particular, persona mayor, mujer y población migrante</v>
      </c>
      <c r="E29" s="52">
        <f>+'01-FR-03 POA INSTITUCIONAL'!E29</f>
        <v>0.01</v>
      </c>
      <c r="F29" s="139">
        <f>+'01-FR-03 POA INSTITUCIONAL'!F29</f>
        <v>712</v>
      </c>
      <c r="G29" s="585" t="str">
        <f>+'01-FR-03 POA INSTITUCIONAL'!G29</f>
        <v>S.I.</v>
      </c>
      <c r="H29" s="141" t="str">
        <f>+'01-FR-03 POA INSTITUCIONAL'!H29</f>
        <v>Seguimientos a la Amenaza y Vulneración de los Derechos Realizados</v>
      </c>
      <c r="I29" s="142" t="str">
        <f>+'01-FR-03 POA INSTITUCIONAL'!I29</f>
        <v>Promoción y Defensa de Derechos</v>
      </c>
      <c r="J29" s="143" t="str">
        <f>+'01-FR-03 POA INSTITUCIONAL'!J29</f>
        <v>P.D. para la Coordinación del MP y DDHH, P.D. para Asuntos Policivos y Civiles, Penales I, Penales II, Derechos Humanos, Familia, Víctimas, Consumidor y Asuntos Jurisdiccionales.
 P.D. para la Coordinación de la Gestión de Personerías Locales y sus Personerías Locales adscritas</v>
      </c>
      <c r="K29" s="144">
        <f>+'01-FR-03 POA INSTITUCIONAL'!K29</f>
        <v>228</v>
      </c>
      <c r="L29" s="144">
        <f>+'01-FR-03 POA INSTITUCIONAL'!L29</f>
        <v>208</v>
      </c>
      <c r="M29" s="144">
        <f>+'01-FR-03 POA INSTITUCIONAL'!M29</f>
        <v>182</v>
      </c>
      <c r="N29" s="144">
        <f>+'01-FR-03 POA INSTITUCIONAL'!N29</f>
        <v>120</v>
      </c>
      <c r="O29" s="353">
        <f>'05-POA PROM DEFENSA DERECHOS'!V32</f>
        <v>45</v>
      </c>
      <c r="P29" s="353">
        <f>'05-POA PROM DEFENSA DERECHOS'!W32</f>
        <v>88</v>
      </c>
      <c r="Q29" s="353">
        <f>+'05-POA PROM DEFENSA DERECHOS'!AD32</f>
        <v>64</v>
      </c>
      <c r="R29" s="607">
        <f>+'05-POA PROM DEFENSA DERECHOS'!AE32</f>
        <v>0</v>
      </c>
      <c r="S29" s="353">
        <f>+'05-POA PROM DEFENSA DERECHOS'!AL32</f>
        <v>57</v>
      </c>
      <c r="T29" s="353">
        <f>+'05-POA PROM DEFENSA DERECHOS'!AM32</f>
        <v>0</v>
      </c>
      <c r="U29" s="353">
        <f>+'05-POA PROM DEFENSA DERECHOS'!AT32</f>
        <v>42</v>
      </c>
      <c r="V29" s="353">
        <f>+'05-POA PROM DEFENSA DERECHOS'!AU32</f>
        <v>0</v>
      </c>
      <c r="W29" s="353">
        <f>+'05-POA PROM DEFENSA DERECHOS'!AV32</f>
        <v>208</v>
      </c>
      <c r="X29" s="355">
        <f t="shared" si="7"/>
        <v>88</v>
      </c>
      <c r="Y29" s="679">
        <f t="shared" si="6"/>
        <v>0.42307692307692307</v>
      </c>
      <c r="Z29" s="356">
        <f t="shared" si="3"/>
        <v>0.12359550561797752</v>
      </c>
      <c r="AA29" s="362">
        <f t="shared" si="4"/>
        <v>1.2359550561797752E-3</v>
      </c>
      <c r="AB29" s="1336"/>
      <c r="AD29" s="359">
        <f>+'05-POA PROM DEFENSA DERECHOS'!BD32</f>
        <v>0.42307692307692307</v>
      </c>
      <c r="AE29" s="361">
        <f t="shared" si="2"/>
        <v>0</v>
      </c>
      <c r="AG29" s="359">
        <f>+'05-POA PROM DEFENSA DERECHOS'!BH32</f>
        <v>0.12359550561797752</v>
      </c>
      <c r="AH29" s="361">
        <f t="shared" si="5"/>
        <v>0</v>
      </c>
    </row>
    <row r="30" spans="2:34" ht="90" customHeight="1">
      <c r="B30" s="1485"/>
      <c r="C30" s="1486" t="s">
        <v>133</v>
      </c>
      <c r="D30" s="31" t="str">
        <f>+'01-FR-03 POA INSTITUCIONAL'!D30</f>
        <v>1.3.1 Realizar 20 actividades que permitan el acercamiento de la Entidad a la Comunidad.</v>
      </c>
      <c r="E30" s="52">
        <f>+'01-FR-03 POA INSTITUCIONAL'!E30</f>
        <v>0.56000000000000005</v>
      </c>
      <c r="F30" s="139">
        <f>+'01-FR-03 POA INSTITUCIONAL'!F30</f>
        <v>20</v>
      </c>
      <c r="G30" s="585" t="str">
        <f>+'01-FR-03 POA INSTITUCIONAL'!G30</f>
        <v>S.I.</v>
      </c>
      <c r="H30" s="141" t="str">
        <f>+'01-FR-03 POA INSTITUCIONAL'!H30</f>
        <v>Actividades de acercamiento de la Entidad a la comunidad realizadas</v>
      </c>
      <c r="I30" s="142" t="str">
        <f>+'01-FR-03 POA INSTITUCIONAL'!I30</f>
        <v>Promoción y Defensa de Derechos</v>
      </c>
      <c r="J30" s="143" t="str">
        <f>+'01-FR-03 POA INSTITUCIONAL'!J30</f>
        <v>P.D. para la Coordinación del MP y DDHH y sus dependencias adscritas
 P.D. para la Coordinación de la Gestión de Personerías Locales y sus Personerías Locales adscritas</v>
      </c>
      <c r="K30" s="144">
        <f>+'01-FR-03 POA INSTITUCIONAL'!K30</f>
        <v>2</v>
      </c>
      <c r="L30" s="144">
        <f>+'01-FR-03 POA INSTITUCIONAL'!L30</f>
        <v>8</v>
      </c>
      <c r="M30" s="144">
        <f>+'01-FR-03 POA INSTITUCIONAL'!M30</f>
        <v>8</v>
      </c>
      <c r="N30" s="144">
        <f>+'01-FR-03 POA INSTITUCIONAL'!N30</f>
        <v>2</v>
      </c>
      <c r="O30" s="353">
        <f>'05-POA PROM DEFENSA DERECHOS'!V33</f>
        <v>0</v>
      </c>
      <c r="P30" s="353">
        <f>'05-POA PROM DEFENSA DERECHOS'!W33</f>
        <v>0</v>
      </c>
      <c r="Q30" s="353">
        <f>+'05-POA PROM DEFENSA DERECHOS'!AD33</f>
        <v>2</v>
      </c>
      <c r="R30" s="607">
        <f>+'05-POA PROM DEFENSA DERECHOS'!AE33</f>
        <v>0</v>
      </c>
      <c r="S30" s="353">
        <f>+'05-POA PROM DEFENSA DERECHOS'!AL33</f>
        <v>5</v>
      </c>
      <c r="T30" s="353">
        <f>+'05-POA PROM DEFENSA DERECHOS'!AM33</f>
        <v>0</v>
      </c>
      <c r="U30" s="353">
        <f>+'05-POA PROM DEFENSA DERECHOS'!AT33</f>
        <v>1</v>
      </c>
      <c r="V30" s="353">
        <f>+'05-POA PROM DEFENSA DERECHOS'!AU33</f>
        <v>0</v>
      </c>
      <c r="W30" s="353">
        <f>+'05-POA PROM DEFENSA DERECHOS'!AV33</f>
        <v>8</v>
      </c>
      <c r="X30" s="355">
        <f t="shared" si="7"/>
        <v>0</v>
      </c>
      <c r="Y30" s="679">
        <f t="shared" ref="Y30:Y31" si="8">IF(AND($W30&gt;0),X30/$W30,"No programado")</f>
        <v>0</v>
      </c>
      <c r="Z30" s="356">
        <f t="shared" si="3"/>
        <v>0</v>
      </c>
      <c r="AA30" s="362">
        <f t="shared" si="4"/>
        <v>0</v>
      </c>
      <c r="AB30" s="1246">
        <f>+AA30+AA31+AA32</f>
        <v>0</v>
      </c>
      <c r="AD30" s="359">
        <f>+'05-POA PROM DEFENSA DERECHOS'!BD33</f>
        <v>0</v>
      </c>
      <c r="AE30" s="361">
        <f t="shared" si="2"/>
        <v>0</v>
      </c>
      <c r="AG30" s="359">
        <f>+'05-POA PROM DEFENSA DERECHOS'!BH33</f>
        <v>0</v>
      </c>
      <c r="AH30" s="361">
        <f t="shared" si="5"/>
        <v>0</v>
      </c>
    </row>
    <row r="31" spans="2:34" ht="92.25" customHeight="1">
      <c r="B31" s="1485"/>
      <c r="C31" s="1487"/>
      <c r="D31" s="31" t="str">
        <f>+'01-FR-03 POA INSTITUCIONAL'!D31</f>
        <v>1.3.2 Incrementar la cobertura de los servicios que presta el proceso de Promoción y Defensa de Derechos, mediante la implementación de 11 acciones que propendan por el mejoramiento de los mismos.</v>
      </c>
      <c r="E31" s="52">
        <f>+'01-FR-03 POA INSTITUCIONAL'!E31</f>
        <v>0.31</v>
      </c>
      <c r="F31" s="139">
        <f>+'01-FR-03 POA INSTITUCIONAL'!F31</f>
        <v>11</v>
      </c>
      <c r="G31" s="585" t="str">
        <f>+'01-FR-03 POA INSTITUCIONAL'!G31</f>
        <v>S.I.</v>
      </c>
      <c r="H31" s="141" t="str">
        <f>+'01-FR-03 POA INSTITUCIONAL'!H31</f>
        <v>Acciones realizadas para incrementar la cobertura de los servicios</v>
      </c>
      <c r="I31" s="142" t="str">
        <f>+'01-FR-03 POA INSTITUCIONAL'!I31</f>
        <v>Promoción y Defensa de Derechos</v>
      </c>
      <c r="J31" s="143" t="str">
        <f>+'01-FR-03 POA INSTITUCIONAL'!J31</f>
        <v>P.D. para la Coordinación del MP y DDHH y sus dependencias adscritas
 P.D. para la Coordinación de la Gestión de Personerías Locales y sus Personerías Locales adscritas</v>
      </c>
      <c r="K31" s="144">
        <f>+'01-FR-03 POA INSTITUCIONAL'!K31</f>
        <v>3</v>
      </c>
      <c r="L31" s="144">
        <f>+'01-FR-03 POA INSTITUCIONAL'!L31</f>
        <v>3</v>
      </c>
      <c r="M31" s="144">
        <f>+'01-FR-03 POA INSTITUCIONAL'!M31</f>
        <v>3</v>
      </c>
      <c r="N31" s="144">
        <f>+'01-FR-03 POA INSTITUCIONAL'!N31</f>
        <v>2</v>
      </c>
      <c r="O31" s="353">
        <f>'05-POA PROM DEFENSA DERECHOS'!V34</f>
        <v>0</v>
      </c>
      <c r="P31" s="353">
        <f>'05-POA PROM DEFENSA DERECHOS'!W34</f>
        <v>0</v>
      </c>
      <c r="Q31" s="353">
        <f>+'05-POA PROM DEFENSA DERECHOS'!AD34</f>
        <v>0</v>
      </c>
      <c r="R31" s="607">
        <f>+'05-POA PROM DEFENSA DERECHOS'!AE34</f>
        <v>0</v>
      </c>
      <c r="S31" s="353">
        <f>+'05-POA PROM DEFENSA DERECHOS'!AL34</f>
        <v>3</v>
      </c>
      <c r="T31" s="353">
        <f>+'05-POA PROM DEFENSA DERECHOS'!AM34</f>
        <v>0</v>
      </c>
      <c r="U31" s="353">
        <f>+'05-POA PROM DEFENSA DERECHOS'!AT34</f>
        <v>0</v>
      </c>
      <c r="V31" s="353">
        <f>+'05-POA PROM DEFENSA DERECHOS'!AU34</f>
        <v>0</v>
      </c>
      <c r="W31" s="353">
        <f>+'05-POA PROM DEFENSA DERECHOS'!AV34</f>
        <v>3</v>
      </c>
      <c r="X31" s="355">
        <f t="shared" si="7"/>
        <v>0</v>
      </c>
      <c r="Y31" s="679">
        <f t="shared" si="8"/>
        <v>0</v>
      </c>
      <c r="Z31" s="356">
        <f t="shared" si="3"/>
        <v>0</v>
      </c>
      <c r="AA31" s="362">
        <f t="shared" si="4"/>
        <v>0</v>
      </c>
      <c r="AB31" s="1192"/>
      <c r="AD31" s="359">
        <f>+'05-POA PROM DEFENSA DERECHOS'!BD34</f>
        <v>0</v>
      </c>
      <c r="AE31" s="361">
        <f t="shared" si="2"/>
        <v>0</v>
      </c>
      <c r="AG31" s="359">
        <f>+'05-POA PROM DEFENSA DERECHOS'!BH34</f>
        <v>0</v>
      </c>
      <c r="AH31" s="361">
        <f t="shared" si="5"/>
        <v>0</v>
      </c>
    </row>
    <row r="32" spans="2:34" ht="83.25" customHeight="1">
      <c r="B32" s="1485"/>
      <c r="C32" s="1487"/>
      <c r="D32" s="31" t="str">
        <f>+'01-FR-03 POA INSTITUCIONAL'!D32</f>
        <v>1.3.3 Implementar 4 herramientas para la promoción y prevención a infracciones del Derecho Internacional Humanitario en el Distrito Capital</v>
      </c>
      <c r="E32" s="52">
        <f>+'01-FR-03 POA INSTITUCIONAL'!E32</f>
        <v>0.11</v>
      </c>
      <c r="F32" s="139">
        <f>+'01-FR-03 POA INSTITUCIONAL'!F32</f>
        <v>4</v>
      </c>
      <c r="G32" s="585" t="str">
        <f>+'01-FR-03 POA INSTITUCIONAL'!G32</f>
        <v>S.I.</v>
      </c>
      <c r="H32" s="141" t="str">
        <f>+'01-FR-03 POA INSTITUCIONAL'!H32</f>
        <v>Herramientas de promoción y prevención a infracciones del Derecho Internacional Humanitario implementadas</v>
      </c>
      <c r="I32" s="142" t="str">
        <f>+'01-FR-03 POA INSTITUCIONAL'!I32</f>
        <v>Promoción y Defensa de Derechos</v>
      </c>
      <c r="J32" s="143" t="str">
        <f>+'01-FR-03 POA INSTITUCIONAL'!J32</f>
        <v>P.D. para la Coordinación del MP y DDHH y sus dependencias adscritas
 P.D. para la Coordinación de la Gestión de Personerías Locales y sus Personerías Locales adscritas</v>
      </c>
      <c r="K32" s="144">
        <f>+'01-FR-03 POA INSTITUCIONAL'!K32</f>
        <v>1</v>
      </c>
      <c r="L32" s="144">
        <f>+'01-FR-03 POA INSTITUCIONAL'!L32</f>
        <v>1</v>
      </c>
      <c r="M32" s="144">
        <f>+'01-FR-03 POA INSTITUCIONAL'!M32</f>
        <v>1</v>
      </c>
      <c r="N32" s="144">
        <f>+'01-FR-03 POA INSTITUCIONAL'!N32</f>
        <v>1</v>
      </c>
      <c r="O32" s="353">
        <f>'05-POA PROM DEFENSA DERECHOS'!V35</f>
        <v>0</v>
      </c>
      <c r="P32" s="353">
        <f>'05-POA PROM DEFENSA DERECHOS'!W35</f>
        <v>0</v>
      </c>
      <c r="Q32" s="353">
        <f>+'05-POA PROM DEFENSA DERECHOS'!AD35</f>
        <v>0</v>
      </c>
      <c r="R32" s="607">
        <f>+'05-POA PROM DEFENSA DERECHOS'!AE35</f>
        <v>0</v>
      </c>
      <c r="S32" s="353">
        <f>+'05-POA PROM DEFENSA DERECHOS'!AL35</f>
        <v>0</v>
      </c>
      <c r="T32" s="353">
        <f>+'05-POA PROM DEFENSA DERECHOS'!AM35</f>
        <v>0</v>
      </c>
      <c r="U32" s="353">
        <f>+'05-POA PROM DEFENSA DERECHOS'!AT35</f>
        <v>1</v>
      </c>
      <c r="V32" s="353">
        <f>+'05-POA PROM DEFENSA DERECHOS'!AU35</f>
        <v>0</v>
      </c>
      <c r="W32" s="353">
        <f>+'05-POA PROM DEFENSA DERECHOS'!AV35</f>
        <v>1</v>
      </c>
      <c r="X32" s="355">
        <f t="shared" si="7"/>
        <v>0</v>
      </c>
      <c r="Y32" s="679">
        <f t="shared" ref="Y32:Y40" si="9">IF(AND($W32&gt;0),X32/$W32,"No programado")</f>
        <v>0</v>
      </c>
      <c r="Z32" s="356">
        <f t="shared" si="3"/>
        <v>0</v>
      </c>
      <c r="AA32" s="362">
        <f t="shared" si="4"/>
        <v>0</v>
      </c>
      <c r="AB32" s="1192"/>
      <c r="AD32" s="359">
        <f>+'05-POA PROM DEFENSA DERECHOS'!BD35</f>
        <v>0</v>
      </c>
      <c r="AE32" s="361">
        <f t="shared" si="2"/>
        <v>0</v>
      </c>
      <c r="AG32" s="359">
        <f>+'05-POA PROM DEFENSA DERECHOS'!BH35</f>
        <v>0</v>
      </c>
      <c r="AH32" s="361">
        <f t="shared" si="5"/>
        <v>0</v>
      </c>
    </row>
    <row r="33" spans="2:34" ht="102" customHeight="1">
      <c r="B33" s="1504" t="s">
        <v>134</v>
      </c>
      <c r="C33" s="1479" t="s">
        <v>135</v>
      </c>
      <c r="D33" s="151" t="str">
        <f>+'01-FR-03 POA INSTITUCIONAL'!D33</f>
        <v>2.1.1 Realizar 16 informes en los cuales se evalúen las políticas ambientales, el manejo de recursos hídricos, protección y bienestar animal y desarrollo urbano en el Distrito Capital.</v>
      </c>
      <c r="E33" s="152">
        <f>+'01-FR-03 POA INSTITUCIONAL'!E33</f>
        <v>0.72727272727272696</v>
      </c>
      <c r="F33" s="153">
        <f>+'01-FR-03 POA INSTITUCIONAL'!F33</f>
        <v>16</v>
      </c>
      <c r="G33" s="154" t="str">
        <f>+'01-FR-03 POA INSTITUCIONAL'!G33</f>
        <v>S.I.</v>
      </c>
      <c r="H33" s="155" t="str">
        <f>+'01-FR-03 POA INSTITUCIONAL'!H33</f>
        <v>Informes realizados en temas específicos.</v>
      </c>
      <c r="I33" s="156" t="str">
        <f>+'01-FR-03 POA INSTITUCIONAL'!I33</f>
        <v>Prevención y Control a la Función Pública</v>
      </c>
      <c r="J33" s="157" t="str">
        <f>+'01-FR-03 POA INSTITUCIONAL'!J33</f>
        <v xml:space="preserve">Personería Delegada para la Coordinación de Prevención y Control a la Función Pública y sus Personerías Delegadas.
Personería Delegada para la Coordinación de Gestión de las Personerías Locales y sus Personerías Locales. </v>
      </c>
      <c r="K33" s="158">
        <f>+'01-FR-03 POA INSTITUCIONAL'!K33</f>
        <v>2</v>
      </c>
      <c r="L33" s="158">
        <f>+'01-FR-03 POA INSTITUCIONAL'!L33</f>
        <v>7</v>
      </c>
      <c r="M33" s="158">
        <f>+'01-FR-03 POA INSTITUCIONAL'!M33</f>
        <v>6</v>
      </c>
      <c r="N33" s="158">
        <f>+'01-FR-03 POA INSTITUCIONAL'!N33</f>
        <v>1</v>
      </c>
      <c r="O33" s="357">
        <f>+'06-PREV CTRL FUN PÚBLICA'!V16</f>
        <v>0</v>
      </c>
      <c r="P33" s="357">
        <f>+'06-PREV CTRL FUN PÚBLICA'!W16</f>
        <v>0</v>
      </c>
      <c r="Q33" s="357">
        <f>+'06-PREV CTRL FUN PÚBLICA'!AD16</f>
        <v>2</v>
      </c>
      <c r="R33" s="357">
        <f>+'06-PREV CTRL FUN PÚBLICA'!AE16</f>
        <v>0</v>
      </c>
      <c r="S33" s="357">
        <f>+'06-PREV CTRL FUN PÚBLICA'!AL16</f>
        <v>3</v>
      </c>
      <c r="T33" s="357">
        <f>+'06-PREV CTRL FUN PÚBLICA'!AM16</f>
        <v>0</v>
      </c>
      <c r="U33" s="357">
        <f>+'06-PREV CTRL FUN PÚBLICA'!AT16</f>
        <v>2</v>
      </c>
      <c r="V33" s="357">
        <f>+'06-PREV CTRL FUN PÚBLICA'!AU16</f>
        <v>0</v>
      </c>
      <c r="W33" s="357">
        <f>+'06-PREV CTRL FUN PÚBLICA'!AV16</f>
        <v>7</v>
      </c>
      <c r="X33" s="364">
        <f t="shared" si="7"/>
        <v>0</v>
      </c>
      <c r="Y33" s="681">
        <f t="shared" si="9"/>
        <v>0</v>
      </c>
      <c r="Z33" s="367">
        <f>IF(AND(X33&gt;0,$F33&gt;0),X33/$F33,0)</f>
        <v>0</v>
      </c>
      <c r="AA33" s="368">
        <f>IF(AND(Z33&gt;0,E33&gt;0),Z33*E33,0)</f>
        <v>0</v>
      </c>
      <c r="AB33" s="1194">
        <f>+AA33+AA34</f>
        <v>0</v>
      </c>
      <c r="AD33" s="359">
        <f>+'06-PREV CTRL FUN PÚBLICA'!BD16</f>
        <v>0</v>
      </c>
      <c r="AE33" s="361">
        <f t="shared" si="2"/>
        <v>0</v>
      </c>
      <c r="AG33" s="359">
        <f>+'06-PREV CTRL FUN PÚBLICA'!BH16</f>
        <v>0</v>
      </c>
      <c r="AH33" s="361">
        <f t="shared" si="5"/>
        <v>0</v>
      </c>
    </row>
    <row r="34" spans="2:34" ht="120" customHeight="1">
      <c r="B34" s="1505"/>
      <c r="C34" s="1481"/>
      <c r="D34" s="151" t="str">
        <f>+'01-FR-03 POA INSTITUCIONAL'!D34</f>
        <v>2.1.2 Realizar 6 informes de seguimiento a los resultados de las acciones de prevención y control a la función pública en los cuales se evaluaron las políticas ambientales, el manejo de recursos hídricos, protección y bienestar animal y desarrollo urbano, en el Distrito Capital</v>
      </c>
      <c r="E34" s="152">
        <f>+'01-FR-03 POA INSTITUCIONAL'!E34</f>
        <v>0.27272727272727298</v>
      </c>
      <c r="F34" s="153">
        <f>+'01-FR-03 POA INSTITUCIONAL'!F34</f>
        <v>6</v>
      </c>
      <c r="G34" s="154" t="str">
        <f>+'01-FR-03 POA INSTITUCIONAL'!G34</f>
        <v>S.I.</v>
      </c>
      <c r="H34" s="155" t="str">
        <f>+'01-FR-03 POA INSTITUCIONAL'!H34</f>
        <v>Informes de seguimientos realizados en temas específicos.</v>
      </c>
      <c r="I34" s="156" t="str">
        <f>+'01-FR-03 POA INSTITUCIONAL'!I34</f>
        <v>Prevención y Control a la Función Pública</v>
      </c>
      <c r="J34" s="157" t="str">
        <f>+'01-FR-03 POA INSTITUCIONAL'!J34</f>
        <v xml:space="preserve">Personería Delegada para la Coordinación de Prevención y Control a la Función Pública y sus Personerías Delegadas.
Personería Delegada para la Coordinación de Gestión de las Personerías Locales y sus Personerías Locales. </v>
      </c>
      <c r="K34" s="158">
        <f>+'01-FR-03 POA INSTITUCIONAL'!K34</f>
        <v>1</v>
      </c>
      <c r="L34" s="158">
        <f>+'01-FR-03 POA INSTITUCIONAL'!L34</f>
        <v>1</v>
      </c>
      <c r="M34" s="158">
        <f>+'01-FR-03 POA INSTITUCIONAL'!M34</f>
        <v>3</v>
      </c>
      <c r="N34" s="158">
        <f>+'01-FR-03 POA INSTITUCIONAL'!N34</f>
        <v>1</v>
      </c>
      <c r="O34" s="357">
        <f>+'06-PREV CTRL FUN PÚBLICA'!V17</f>
        <v>0</v>
      </c>
      <c r="P34" s="357">
        <f>+'06-PREV CTRL FUN PÚBLICA'!W17</f>
        <v>0</v>
      </c>
      <c r="Q34" s="357">
        <f>+'06-PREV CTRL FUN PÚBLICA'!AD17</f>
        <v>0</v>
      </c>
      <c r="R34" s="357">
        <f>+'06-PREV CTRL FUN PÚBLICA'!AE17</f>
        <v>0</v>
      </c>
      <c r="S34" s="357">
        <f>+'06-PREV CTRL FUN PÚBLICA'!AL17</f>
        <v>1</v>
      </c>
      <c r="T34" s="357">
        <f>+'06-PREV CTRL FUN PÚBLICA'!AM17</f>
        <v>0</v>
      </c>
      <c r="U34" s="357">
        <f>+'06-PREV CTRL FUN PÚBLICA'!AT17</f>
        <v>0</v>
      </c>
      <c r="V34" s="357">
        <f>+'06-PREV CTRL FUN PÚBLICA'!AU17</f>
        <v>0</v>
      </c>
      <c r="W34" s="357">
        <f>+'06-PREV CTRL FUN PÚBLICA'!AV17</f>
        <v>1</v>
      </c>
      <c r="X34" s="364">
        <f t="shared" si="7"/>
        <v>0</v>
      </c>
      <c r="Y34" s="681">
        <f t="shared" si="9"/>
        <v>0</v>
      </c>
      <c r="Z34" s="367">
        <f t="shared" ref="Z34:Z48" si="10">IF(AND(X34&gt;0,$F34&gt;0),X34/$F34,0)</f>
        <v>0</v>
      </c>
      <c r="AA34" s="368">
        <f t="shared" ref="AA34:AA38" si="11">IF(AND(Z34&gt;0,E34&gt;0),Z34*E34,0)</f>
        <v>0</v>
      </c>
      <c r="AB34" s="1196"/>
      <c r="AD34" s="359">
        <f>+'06-PREV CTRL FUN PÚBLICA'!BD17</f>
        <v>0</v>
      </c>
      <c r="AE34" s="361">
        <f t="shared" si="2"/>
        <v>0</v>
      </c>
      <c r="AG34" s="359">
        <f>+'06-PREV CTRL FUN PÚBLICA'!BH17</f>
        <v>0</v>
      </c>
      <c r="AH34" s="361">
        <f t="shared" si="5"/>
        <v>0</v>
      </c>
    </row>
    <row r="35" spans="2:34" ht="100.5" customHeight="1">
      <c r="B35" s="1505"/>
      <c r="C35" s="1479" t="s">
        <v>136</v>
      </c>
      <c r="D35" s="151" t="str">
        <f>+'01-FR-03 POA INSTITUCIONAL'!D35</f>
        <v>2.2.1 Realizar 817 acciones de prevención y control a la función pública para fortalecer la moralidad pública.</v>
      </c>
      <c r="E35" s="152">
        <f>+'01-FR-03 POA INSTITUCIONAL'!E35</f>
        <v>0.92840909090909096</v>
      </c>
      <c r="F35" s="153">
        <f>+'01-FR-03 POA INSTITUCIONAL'!F35</f>
        <v>817</v>
      </c>
      <c r="G35" s="154" t="str">
        <f>+'01-FR-03 POA INSTITUCIONAL'!G35</f>
        <v>S.I.</v>
      </c>
      <c r="H35" s="155" t="str">
        <f>+'01-FR-03 POA INSTITUCIONAL'!H35</f>
        <v>Acciones de Prevención y Control a la Función Pública realizadas, con informe.</v>
      </c>
      <c r="I35" s="156" t="str">
        <f>+'01-FR-03 POA INSTITUCIONAL'!I35</f>
        <v>Prevención y Control a la Función Pública</v>
      </c>
      <c r="J35" s="157" t="str">
        <f>+'01-FR-03 POA INSTITUCIONAL'!J35</f>
        <v xml:space="preserve">Personería Delegada para la Coordinación de Prevención y Control a la Función Pública y sus Personerías Delegadas.
Personería Delegada para la Coordinación de Gestión de las Personerías Locales y sus Personerías Locales. </v>
      </c>
      <c r="K35" s="158">
        <f>+'01-FR-03 POA INSTITUCIONAL'!K35</f>
        <v>200</v>
      </c>
      <c r="L35" s="158">
        <f>+'01-FR-03 POA INSTITUCIONAL'!L35</f>
        <v>286</v>
      </c>
      <c r="M35" s="158">
        <f>+'01-FR-03 POA INSTITUCIONAL'!M35</f>
        <v>259</v>
      </c>
      <c r="N35" s="158">
        <f>+'01-FR-03 POA INSTITUCIONAL'!N35</f>
        <v>72</v>
      </c>
      <c r="O35" s="357">
        <f>+'06-PREV CTRL FUN PÚBLICA'!V18</f>
        <v>41</v>
      </c>
      <c r="P35" s="357">
        <f>+'06-PREV CTRL FUN PÚBLICA'!W18</f>
        <v>16</v>
      </c>
      <c r="Q35" s="357">
        <f>+'06-PREV CTRL FUN PÚBLICA'!AD18</f>
        <v>77</v>
      </c>
      <c r="R35" s="357">
        <f>+'06-PREV CTRL FUN PÚBLICA'!AE18</f>
        <v>0</v>
      </c>
      <c r="S35" s="357">
        <f>+'06-PREV CTRL FUN PÚBLICA'!AL18</f>
        <v>114</v>
      </c>
      <c r="T35" s="357">
        <f>+'06-PREV CTRL FUN PÚBLICA'!AM18</f>
        <v>0</v>
      </c>
      <c r="U35" s="357">
        <f>+'06-PREV CTRL FUN PÚBLICA'!AT18</f>
        <v>54</v>
      </c>
      <c r="V35" s="357">
        <f>+'06-PREV CTRL FUN PÚBLICA'!AU18</f>
        <v>0</v>
      </c>
      <c r="W35" s="357">
        <f>+'06-PREV CTRL FUN PÚBLICA'!AV18</f>
        <v>286</v>
      </c>
      <c r="X35" s="364">
        <f t="shared" si="7"/>
        <v>16</v>
      </c>
      <c r="Y35" s="681">
        <f t="shared" si="9"/>
        <v>5.5944055944055944E-2</v>
      </c>
      <c r="Z35" s="367">
        <f t="shared" si="10"/>
        <v>1.9583843329253364E-2</v>
      </c>
      <c r="AA35" s="368">
        <f t="shared" si="11"/>
        <v>1.8181818181818181E-2</v>
      </c>
      <c r="AB35" s="1194">
        <f>+AA35+AA36</f>
        <v>2.0454545454545454E-2</v>
      </c>
      <c r="AD35" s="359">
        <f>+'06-PREV CTRL FUN PÚBLICA'!BD18</f>
        <v>5.5944055944055944E-2</v>
      </c>
      <c r="AE35" s="361">
        <f t="shared" si="2"/>
        <v>0</v>
      </c>
      <c r="AG35" s="359">
        <f>+'06-PREV CTRL FUN PÚBLICA'!BH18</f>
        <v>1.9583843329253364E-2</v>
      </c>
      <c r="AH35" s="361">
        <f t="shared" si="5"/>
        <v>0</v>
      </c>
    </row>
    <row r="36" spans="2:34" ht="100.5" customHeight="1">
      <c r="B36" s="1505"/>
      <c r="C36" s="1481"/>
      <c r="D36" s="151" t="str">
        <f>+'01-FR-03 POA INSTITUCIONAL'!D36</f>
        <v>2.2.2 Realizar 135 acciones de prevención y control a la función pública - seguimientos, para fortalecer la moralidad pública en el Distrito Capital.</v>
      </c>
      <c r="E36" s="152">
        <f>+'01-FR-03 POA INSTITUCIONAL'!E36</f>
        <v>0.15340909090909091</v>
      </c>
      <c r="F36" s="153">
        <f>+'01-FR-03 POA INSTITUCIONAL'!F36</f>
        <v>135</v>
      </c>
      <c r="G36" s="154" t="str">
        <f>+'01-FR-03 POA INSTITUCIONAL'!G36</f>
        <v>S.I.</v>
      </c>
      <c r="H36" s="155" t="str">
        <f>+'01-FR-03 POA INSTITUCIONAL'!H36</f>
        <v>Seguimientos realizados sobre acciones previas, con informe</v>
      </c>
      <c r="I36" s="156" t="str">
        <f>+'01-FR-03 POA INSTITUCIONAL'!I36</f>
        <v>Prevención y Control a la Función Pública</v>
      </c>
      <c r="J36" s="157" t="str">
        <f>+'01-FR-03 POA INSTITUCIONAL'!J36</f>
        <v xml:space="preserve">Personería Delegada para la Coordinación de Prevención y Control a la Función Pública y sus Personerías Delegadas.
Personería Delegada para la Coordinación de Gestión de las Personerías Locales y sus Personerías Locales. </v>
      </c>
      <c r="K36" s="158">
        <f>+'01-FR-03 POA INSTITUCIONAL'!K36</f>
        <v>28</v>
      </c>
      <c r="L36" s="158">
        <f>+'01-FR-03 POA INSTITUCIONAL'!L36</f>
        <v>67</v>
      </c>
      <c r="M36" s="158">
        <f>+'01-FR-03 POA INSTITUCIONAL'!M36</f>
        <v>30</v>
      </c>
      <c r="N36" s="158">
        <f>+'01-FR-03 POA INSTITUCIONAL'!N36</f>
        <v>10</v>
      </c>
      <c r="O36" s="357">
        <f>+'06-PREV CTRL FUN PÚBLICA'!V19</f>
        <v>1</v>
      </c>
      <c r="P36" s="357">
        <f>+'06-PREV CTRL FUN PÚBLICA'!W19</f>
        <v>2</v>
      </c>
      <c r="Q36" s="357">
        <f>+'06-PREV CTRL FUN PÚBLICA'!AD19</f>
        <v>20</v>
      </c>
      <c r="R36" s="357">
        <f>+'06-PREV CTRL FUN PÚBLICA'!AE19</f>
        <v>0</v>
      </c>
      <c r="S36" s="357">
        <f>+'06-PREV CTRL FUN PÚBLICA'!AL19</f>
        <v>46</v>
      </c>
      <c r="T36" s="357">
        <f>+'06-PREV CTRL FUN PÚBLICA'!AM19</f>
        <v>0</v>
      </c>
      <c r="U36" s="357">
        <f>+'06-PREV CTRL FUN PÚBLICA'!AT19</f>
        <v>0</v>
      </c>
      <c r="V36" s="357">
        <f>+'06-PREV CTRL FUN PÚBLICA'!AU19</f>
        <v>0</v>
      </c>
      <c r="W36" s="357">
        <f>+'06-PREV CTRL FUN PÚBLICA'!AV19</f>
        <v>67</v>
      </c>
      <c r="X36" s="364">
        <f t="shared" si="7"/>
        <v>2</v>
      </c>
      <c r="Y36" s="681">
        <f t="shared" si="9"/>
        <v>2.9850746268656716E-2</v>
      </c>
      <c r="Z36" s="367">
        <f t="shared" si="10"/>
        <v>1.4814814814814815E-2</v>
      </c>
      <c r="AA36" s="368">
        <f t="shared" si="11"/>
        <v>2.2727272727272731E-3</v>
      </c>
      <c r="AB36" s="1196"/>
      <c r="AD36" s="359">
        <f>+'06-PREV CTRL FUN PÚBLICA'!BD19</f>
        <v>2.9850746268656716E-2</v>
      </c>
      <c r="AE36" s="361">
        <f t="shared" si="2"/>
        <v>0</v>
      </c>
      <c r="AG36" s="359">
        <f>+'06-PREV CTRL FUN PÚBLICA'!BH19</f>
        <v>1.4814814814814815E-2</v>
      </c>
      <c r="AH36" s="361">
        <f t="shared" si="5"/>
        <v>0</v>
      </c>
    </row>
    <row r="37" spans="2:34" ht="65.25" customHeight="1">
      <c r="B37" s="1505"/>
      <c r="C37" s="1479" t="s">
        <v>137</v>
      </c>
      <c r="D37" s="151" t="str">
        <f>+'01-FR-03 POA INSTITUCIONAL'!D37</f>
        <v>2.3.1 Realizar 60 audiencias públicas y/o mesas de trabajo, las cuales permitan la participación ciudadana, con énfasis en los Derechos e intereses colectivos.</v>
      </c>
      <c r="E37" s="152">
        <f>+'01-FR-03 POA INSTITUCIONAL'!E37</f>
        <v>0.20338983050847459</v>
      </c>
      <c r="F37" s="153">
        <f>+'01-FR-03 POA INSTITUCIONAL'!F37</f>
        <v>60</v>
      </c>
      <c r="G37" s="154">
        <f>+'01-FR-03 POA INSTITUCIONAL'!G37</f>
        <v>75</v>
      </c>
      <c r="H37" s="155" t="str">
        <f>+'01-FR-03 POA INSTITUCIONAL'!H37</f>
        <v>Audiencias públicas y/o mesas de trabajo realizadas.</v>
      </c>
      <c r="I37" s="156" t="str">
        <f>+'01-FR-03 POA INSTITUCIONAL'!I37</f>
        <v>Prevención y Control a la Función Pública</v>
      </c>
      <c r="J37" s="157" t="str">
        <f>+'01-FR-03 POA INSTITUCIONAL'!J37</f>
        <v>Personería Delegada para la Coordinación de Prevención y Control a la Función Pública y sus Personerías Delegadas.</v>
      </c>
      <c r="K37" s="158">
        <f>+'01-FR-03 POA INSTITUCIONAL'!K37</f>
        <v>12</v>
      </c>
      <c r="L37" s="158">
        <f>+'01-FR-03 POA INSTITUCIONAL'!L37</f>
        <v>21</v>
      </c>
      <c r="M37" s="158">
        <f>+'01-FR-03 POA INSTITUCIONAL'!M37</f>
        <v>23</v>
      </c>
      <c r="N37" s="158">
        <f>+'01-FR-03 POA INSTITUCIONAL'!N37</f>
        <v>4</v>
      </c>
      <c r="O37" s="357">
        <f>+'06-PREV CTRL FUN PÚBLICA'!V20</f>
        <v>2</v>
      </c>
      <c r="P37" s="357">
        <f>+'06-PREV CTRL FUN PÚBLICA'!W20</f>
        <v>0</v>
      </c>
      <c r="Q37" s="357">
        <f>+'06-PREV CTRL FUN PÚBLICA'!AD20</f>
        <v>6</v>
      </c>
      <c r="R37" s="357">
        <f>+'06-PREV CTRL FUN PÚBLICA'!AE20</f>
        <v>0</v>
      </c>
      <c r="S37" s="357">
        <f>+'06-PREV CTRL FUN PÚBLICA'!AL20</f>
        <v>6</v>
      </c>
      <c r="T37" s="357">
        <f>+'06-PREV CTRL FUN PÚBLICA'!AM20</f>
        <v>0</v>
      </c>
      <c r="U37" s="357">
        <f>+'06-PREV CTRL FUN PÚBLICA'!AT20</f>
        <v>7</v>
      </c>
      <c r="V37" s="357">
        <f>+'06-PREV CTRL FUN PÚBLICA'!AU20</f>
        <v>0</v>
      </c>
      <c r="W37" s="357">
        <f>+'06-PREV CTRL FUN PÚBLICA'!AV20</f>
        <v>21</v>
      </c>
      <c r="X37" s="364">
        <f t="shared" si="7"/>
        <v>0</v>
      </c>
      <c r="Y37" s="681">
        <f t="shared" si="9"/>
        <v>0</v>
      </c>
      <c r="Z37" s="367">
        <f t="shared" si="10"/>
        <v>0</v>
      </c>
      <c r="AA37" s="368">
        <f t="shared" si="11"/>
        <v>0</v>
      </c>
      <c r="AB37" s="1194">
        <f>+AA37+AA38+AA39</f>
        <v>0.10508474576271187</v>
      </c>
      <c r="AD37" s="359">
        <f>+'06-PREV CTRL FUN PÚBLICA'!BD20</f>
        <v>0</v>
      </c>
      <c r="AE37" s="361">
        <f t="shared" si="2"/>
        <v>0</v>
      </c>
      <c r="AG37" s="359">
        <f>+'06-PREV CTRL FUN PÚBLICA'!BH20</f>
        <v>0</v>
      </c>
      <c r="AH37" s="361">
        <f t="shared" si="5"/>
        <v>0</v>
      </c>
    </row>
    <row r="38" spans="2:34" ht="63.75" customHeight="1">
      <c r="B38" s="1505"/>
      <c r="C38" s="1480"/>
      <c r="D38" s="151" t="str">
        <f>+'01-FR-03 POA INSTITUCIONAL'!D38</f>
        <v>2.3.2 Realizar 160 acompañamientos a los ciudadanos que intervienen en los diferentes espacios de participación ciudadana.</v>
      </c>
      <c r="E38" s="152">
        <f>+'01-FR-03 POA INSTITUCIONAL'!E38</f>
        <v>0.5423728813559322</v>
      </c>
      <c r="F38" s="153">
        <f>+'01-FR-03 POA INSTITUCIONAL'!F38</f>
        <v>160</v>
      </c>
      <c r="G38" s="154" t="str">
        <f>+'01-FR-03 POA INSTITUCIONAL'!G38</f>
        <v>S.I.</v>
      </c>
      <c r="H38" s="155" t="str">
        <f>+'01-FR-03 POA INSTITUCIONAL'!H38</f>
        <v>Acompañamientos a los ciudadanos realizados.</v>
      </c>
      <c r="I38" s="156" t="str">
        <f>+'01-FR-03 POA INSTITUCIONAL'!I38</f>
        <v>Prevención y Control a la Función Pública</v>
      </c>
      <c r="J38" s="157" t="str">
        <f>+'01-FR-03 POA INSTITUCIONAL'!J38</f>
        <v xml:space="preserve">Personería Delegada para la Coordinación de Gestión de las Personerías Locales y sus Personerías Locales. </v>
      </c>
      <c r="K38" s="158">
        <f>+'01-FR-03 POA INSTITUCIONAL'!K38</f>
        <v>40</v>
      </c>
      <c r="L38" s="158">
        <f>+'01-FR-03 POA INSTITUCIONAL'!L38</f>
        <v>60</v>
      </c>
      <c r="M38" s="158">
        <f>+'01-FR-03 POA INSTITUCIONAL'!M38</f>
        <v>40</v>
      </c>
      <c r="N38" s="158">
        <f>+'01-FR-03 POA INSTITUCIONAL'!N38</f>
        <v>20</v>
      </c>
      <c r="O38" s="357">
        <f>+'06-PREV CTRL FUN PÚBLICA'!V21</f>
        <v>12</v>
      </c>
      <c r="P38" s="357">
        <f>+'06-PREV CTRL FUN PÚBLICA'!W21</f>
        <v>18</v>
      </c>
      <c r="Q38" s="357">
        <f>+'06-PREV CTRL FUN PÚBLICA'!AD21</f>
        <v>18</v>
      </c>
      <c r="R38" s="357">
        <f>+'06-PREV CTRL FUN PÚBLICA'!AE21</f>
        <v>0</v>
      </c>
      <c r="S38" s="357">
        <f>+'06-PREV CTRL FUN PÚBLICA'!AL21</f>
        <v>18</v>
      </c>
      <c r="T38" s="357">
        <f>+'06-PREV CTRL FUN PÚBLICA'!AM21</f>
        <v>0</v>
      </c>
      <c r="U38" s="357">
        <f>+'06-PREV CTRL FUN PÚBLICA'!AT21</f>
        <v>12</v>
      </c>
      <c r="V38" s="357">
        <f>+'06-PREV CTRL FUN PÚBLICA'!AU21</f>
        <v>0</v>
      </c>
      <c r="W38" s="357">
        <f>+'06-PREV CTRL FUN PÚBLICA'!AV21</f>
        <v>60</v>
      </c>
      <c r="X38" s="364">
        <f t="shared" si="7"/>
        <v>18</v>
      </c>
      <c r="Y38" s="681">
        <f t="shared" si="9"/>
        <v>0.3</v>
      </c>
      <c r="Z38" s="367">
        <f t="shared" si="10"/>
        <v>0.1125</v>
      </c>
      <c r="AA38" s="368">
        <f t="shared" si="11"/>
        <v>6.1016949152542375E-2</v>
      </c>
      <c r="AB38" s="1195"/>
      <c r="AD38" s="359">
        <f>+'06-PREV CTRL FUN PÚBLICA'!BD21</f>
        <v>0.3</v>
      </c>
      <c r="AE38" s="361">
        <f t="shared" si="2"/>
        <v>0</v>
      </c>
      <c r="AG38" s="359">
        <f>+'06-PREV CTRL FUN PÚBLICA'!BH21</f>
        <v>0.1125</v>
      </c>
      <c r="AH38" s="361">
        <f t="shared" si="5"/>
        <v>0</v>
      </c>
    </row>
    <row r="39" spans="2:34" ht="102" customHeight="1">
      <c r="B39" s="1506"/>
      <c r="C39" s="1481"/>
      <c r="D39" s="151" t="str">
        <f>+'01-FR-03 POA INSTITUCIONAL'!D39</f>
        <v>2.3.3 Realizar 100 espacios de diálogo con las personas para retroalimentar las actividades de participación ciudadana</v>
      </c>
      <c r="E39" s="152">
        <f>+'01-FR-03 POA INSTITUCIONAL'!E39</f>
        <v>0.33898305084745761</v>
      </c>
      <c r="F39" s="153">
        <f>+'01-FR-03 POA INSTITUCIONAL'!F39</f>
        <v>100</v>
      </c>
      <c r="G39" s="154" t="str">
        <f>+'01-FR-03 POA INSTITUCIONAL'!G39</f>
        <v>S.I.</v>
      </c>
      <c r="H39" s="155" t="str">
        <f>+'01-FR-03 POA INSTITUCIONAL'!H39</f>
        <v>Espacios de dialogo realizados.</v>
      </c>
      <c r="I39" s="156" t="str">
        <f>+'01-FR-03 POA INSTITUCIONAL'!I39</f>
        <v>Prevención y Control a la Función Pública</v>
      </c>
      <c r="J39" s="157" t="str">
        <f>+'01-FR-03 POA INSTITUCIONAL'!J39</f>
        <v>Personería Delegada para la Coordinación de Gestión de las Personerías Locales y sus Personerías Locales. 
Personería Delegada para la Coordinación de Prevención y Control a la Función Pública y sus Personerías Delegadas.</v>
      </c>
      <c r="K39" s="158">
        <f>+'01-FR-03 POA INSTITUCIONAL'!K39</f>
        <v>20</v>
      </c>
      <c r="L39" s="158">
        <f>+'01-FR-03 POA INSTITUCIONAL'!L39</f>
        <v>30</v>
      </c>
      <c r="M39" s="158">
        <f>+'01-FR-03 POA INSTITUCIONAL'!M39</f>
        <v>30</v>
      </c>
      <c r="N39" s="158">
        <f>+'01-FR-03 POA INSTITUCIONAL'!N39</f>
        <v>20</v>
      </c>
      <c r="O39" s="357">
        <f>+'06-PREV CTRL FUN PÚBLICA'!V22</f>
        <v>6</v>
      </c>
      <c r="P39" s="357">
        <f>+'06-PREV CTRL FUN PÚBLICA'!W22</f>
        <v>13</v>
      </c>
      <c r="Q39" s="357">
        <f>+'06-PREV CTRL FUN PÚBLICA'!AD22</f>
        <v>9</v>
      </c>
      <c r="R39" s="357">
        <f>+'06-PREV CTRL FUN PÚBLICA'!AE22</f>
        <v>0</v>
      </c>
      <c r="S39" s="357">
        <f>+'06-PREV CTRL FUN PÚBLICA'!AL22</f>
        <v>9</v>
      </c>
      <c r="T39" s="357">
        <f>+'06-PREV CTRL FUN PÚBLICA'!AM22</f>
        <v>0</v>
      </c>
      <c r="U39" s="357">
        <f>+'06-PREV CTRL FUN PÚBLICA'!AT22</f>
        <v>6</v>
      </c>
      <c r="V39" s="357">
        <f>+'06-PREV CTRL FUN PÚBLICA'!AU22</f>
        <v>0</v>
      </c>
      <c r="W39" s="357">
        <f>+'06-PREV CTRL FUN PÚBLICA'!AV22</f>
        <v>30</v>
      </c>
      <c r="X39" s="364">
        <f t="shared" si="7"/>
        <v>13</v>
      </c>
      <c r="Y39" s="681">
        <f t="shared" si="9"/>
        <v>0.43333333333333335</v>
      </c>
      <c r="Z39" s="367">
        <f t="shared" si="10"/>
        <v>0.13</v>
      </c>
      <c r="AA39" s="368">
        <f>IF(AND(Z39&gt;0,E39&gt;0),Z39*E39,0)</f>
        <v>4.4067796610169491E-2</v>
      </c>
      <c r="AB39" s="1196"/>
      <c r="AD39" s="359">
        <f>+'06-PREV CTRL FUN PÚBLICA'!BD22</f>
        <v>0.43333333333333335</v>
      </c>
      <c r="AE39" s="361">
        <f t="shared" si="2"/>
        <v>0</v>
      </c>
      <c r="AG39" s="359">
        <f>+'06-PREV CTRL FUN PÚBLICA'!BH22</f>
        <v>0.13</v>
      </c>
      <c r="AH39" s="361">
        <f t="shared" si="5"/>
        <v>0</v>
      </c>
    </row>
    <row r="40" spans="2:34" ht="93.75" customHeight="1">
      <c r="B40" s="1484" t="s">
        <v>138</v>
      </c>
      <c r="C40" s="1486" t="s">
        <v>279</v>
      </c>
      <c r="D40" s="31" t="str">
        <f>+'01-FR-03 POA INSTITUCIONAL'!D40</f>
        <v xml:space="preserve">3.1.1 Identificar y decidir de fondo 6,700  procesos, priorizando aquellos que se encuentren con riesgo de prescripción y/o vencidos en su etapa procesal (indagación, investigación y juzgamiento). </v>
      </c>
      <c r="E40" s="52">
        <f>+'01-FR-03 POA INSTITUCIONAL'!E40</f>
        <v>0.8</v>
      </c>
      <c r="F40" s="139">
        <f>+'01-FR-03 POA INSTITUCIONAL'!F40</f>
        <v>6700</v>
      </c>
      <c r="G40" s="585">
        <f>+'01-FR-03 POA INSTITUCIONAL'!G40</f>
        <v>6287</v>
      </c>
      <c r="H40" s="141" t="str">
        <f>+'01-FR-03 POA INSTITUCIONAL'!H40</f>
        <v>Procesos priorizados identificados y decididos de fondo</v>
      </c>
      <c r="I40" s="142" t="str">
        <f>+'01-FR-03 POA INSTITUCIONAL'!I40</f>
        <v>Potestad Disciplinaria</v>
      </c>
      <c r="J40" s="143" t="str">
        <f>+'01-FR-03 POA INSTITUCIONAL'!J40</f>
        <v>Personería Delegada para la Coordinación de Potestad Disciplinaria</v>
      </c>
      <c r="K40" s="144">
        <f>+'01-FR-03 POA INSTITUCIONAL'!K40</f>
        <v>1600</v>
      </c>
      <c r="L40" s="144">
        <f>+'01-FR-03 POA INSTITUCIONAL'!L40</f>
        <v>1800</v>
      </c>
      <c r="M40" s="144">
        <f>+'01-FR-03 POA INSTITUCIONAL'!M40</f>
        <v>1800</v>
      </c>
      <c r="N40" s="144">
        <f>+'01-FR-03 POA INSTITUCIONAL'!N40</f>
        <v>1500</v>
      </c>
      <c r="O40" s="369">
        <f>+'07-POTESTAD DISCIPLINARIA'!V16</f>
        <v>300</v>
      </c>
      <c r="P40" s="369">
        <f>+'07-POTESTAD DISCIPLINARIA'!W16</f>
        <v>318</v>
      </c>
      <c r="Q40" s="369">
        <f>+'07-POTESTAD DISCIPLINARIA'!AD16</f>
        <v>490</v>
      </c>
      <c r="R40" s="369">
        <f>+'07-POTESTAD DISCIPLINARIA'!AE16</f>
        <v>0</v>
      </c>
      <c r="S40" s="369">
        <f>+'07-POTESTAD DISCIPLINARIA'!AL16</f>
        <v>630</v>
      </c>
      <c r="T40" s="369">
        <f>+'07-POTESTAD DISCIPLINARIA'!AM16</f>
        <v>0</v>
      </c>
      <c r="U40" s="369">
        <f>+'07-POTESTAD DISCIPLINARIA'!AT16</f>
        <v>380</v>
      </c>
      <c r="V40" s="369">
        <f>+'07-POTESTAD DISCIPLINARIA'!AU16</f>
        <v>0</v>
      </c>
      <c r="W40" s="369">
        <f>+'07-POTESTAD DISCIPLINARIA'!AV16</f>
        <v>1800</v>
      </c>
      <c r="X40" s="371">
        <f t="shared" si="7"/>
        <v>318</v>
      </c>
      <c r="Y40" s="679">
        <f t="shared" si="9"/>
        <v>0.17666666666666667</v>
      </c>
      <c r="Z40" s="356">
        <f t="shared" si="10"/>
        <v>4.7462686567164181E-2</v>
      </c>
      <c r="AA40" s="362">
        <f t="shared" ref="AA40:AA48" si="12">IF(AND(Z40&gt;0,E40&gt;0),Z40*E40,0)</f>
        <v>3.797014925373135E-2</v>
      </c>
      <c r="AB40" s="1158">
        <f>SUM(AA40:AA41)</f>
        <v>4.7820149253731348E-2</v>
      </c>
      <c r="AD40" s="359">
        <f>+'07-POTESTAD DISCIPLINARIA'!BD16</f>
        <v>0.17666666666666667</v>
      </c>
      <c r="AE40" s="361">
        <f t="shared" si="2"/>
        <v>0</v>
      </c>
      <c r="AG40" s="359">
        <f>+'07-POTESTAD DISCIPLINARIA'!BH16</f>
        <v>4.7462686567164181E-2</v>
      </c>
      <c r="AH40" s="361">
        <f t="shared" si="5"/>
        <v>0</v>
      </c>
    </row>
    <row r="41" spans="2:34" ht="67.5" customHeight="1">
      <c r="B41" s="1485"/>
      <c r="C41" s="1488"/>
      <c r="D41" s="31" t="str">
        <f>+'01-FR-03 POA INSTITUCIONAL'!D41</f>
        <v>3.1.2 Evaluar y dar impulso procesal al 100% las noticias disciplinarias (quejas) puestas en conocimiento de la Entidad.</v>
      </c>
      <c r="E41" s="52">
        <f>+'01-FR-03 POA INSTITUCIONAL'!E41</f>
        <v>0.2</v>
      </c>
      <c r="F41" s="139">
        <f>+'01-FR-03 POA INSTITUCIONAL'!F41</f>
        <v>1</v>
      </c>
      <c r="G41" s="585">
        <f>+'01-FR-03 POA INSTITUCIONAL'!G41</f>
        <v>0.98</v>
      </c>
      <c r="H41" s="141" t="str">
        <f>+'01-FR-03 POA INSTITUCIONAL'!H41</f>
        <v>Noticias disciplinarias  evaluadas y con impulso procesal</v>
      </c>
      <c r="I41" s="142" t="str">
        <f>+'01-FR-03 POA INSTITUCIONAL'!I41</f>
        <v>Potestad Disciplinaria</v>
      </c>
      <c r="J41" s="143" t="str">
        <f>+'01-FR-03 POA INSTITUCIONAL'!J41</f>
        <v>Personería Delegada para la Coordinación de Potestad Disciplinaria</v>
      </c>
      <c r="K41" s="144">
        <f>+'01-FR-03 POA INSTITUCIONAL'!K41</f>
        <v>1</v>
      </c>
      <c r="L41" s="144">
        <f>+'01-FR-03 POA INSTITUCIONAL'!L41</f>
        <v>1</v>
      </c>
      <c r="M41" s="144">
        <f>+'01-FR-03 POA INSTITUCIONAL'!M41</f>
        <v>1</v>
      </c>
      <c r="N41" s="144">
        <f>+'01-FR-03 POA INSTITUCIONAL'!N41</f>
        <v>1</v>
      </c>
      <c r="O41" s="354">
        <f>+'07-POTESTAD DISCIPLINARIA'!V17</f>
        <v>1</v>
      </c>
      <c r="P41" s="354">
        <f>+'07-POTESTAD DISCIPLINARIA'!W17</f>
        <v>0.79066666666666663</v>
      </c>
      <c r="Q41" s="354">
        <f>+'07-POTESTAD DISCIPLINARIA'!AD17</f>
        <v>1</v>
      </c>
      <c r="R41" s="354">
        <f>+'07-POTESTAD DISCIPLINARIA'!AE17</f>
        <v>0</v>
      </c>
      <c r="S41" s="354">
        <f>+'07-POTESTAD DISCIPLINARIA'!AL17</f>
        <v>1</v>
      </c>
      <c r="T41" s="354">
        <f>+'07-POTESTAD DISCIPLINARIA'!AM17</f>
        <v>0</v>
      </c>
      <c r="U41" s="32">
        <f>+'07-POTESTAD DISCIPLINARIA'!AT17</f>
        <v>1</v>
      </c>
      <c r="V41" s="32">
        <f>+'07-POTESTAD DISCIPLINARIA'!AU17</f>
        <v>0</v>
      </c>
      <c r="W41" s="354">
        <f>+'07-POTESTAD DISCIPLINARIA'!AV17</f>
        <v>1</v>
      </c>
      <c r="X41" s="356">
        <f>IFERROR(IF(OR($W$41="",$W$41=0),0,ROUNDDOWN(AVERAGE($P41,R41,T41,V41),3)),0)</f>
        <v>0.19700000000000001</v>
      </c>
      <c r="Y41" s="679">
        <f>IF(AND($W41&gt;0),X41/$W41,"No programado")*0.25</f>
        <v>4.9250000000000002E-2</v>
      </c>
      <c r="Z41" s="356">
        <f>(IF(AND(X41&gt;0,$F41&gt;0),X41/$F41,0)/4)*1</f>
        <v>4.9250000000000002E-2</v>
      </c>
      <c r="AA41" s="362">
        <f t="shared" si="12"/>
        <v>9.8500000000000011E-3</v>
      </c>
      <c r="AB41" s="1159"/>
      <c r="AD41" s="359">
        <f>+'07-POTESTAD DISCIPLINARIA'!BD17</f>
        <v>0.19700000000000001</v>
      </c>
      <c r="AE41" s="361">
        <f t="shared" si="2"/>
        <v>-0.14774999999999999</v>
      </c>
      <c r="AG41" s="359">
        <f>+'07-POTESTAD DISCIPLINARIA'!BH17</f>
        <v>4.9250000000000002E-2</v>
      </c>
      <c r="AH41" s="361">
        <f t="shared" si="5"/>
        <v>0</v>
      </c>
    </row>
    <row r="42" spans="2:34" ht="95.25" customHeight="1">
      <c r="B42" s="1485"/>
      <c r="C42" s="1486" t="s">
        <v>139</v>
      </c>
      <c r="D42" s="31" t="str">
        <f>+'01-FR-03 POA INSTITUCIONAL'!D42</f>
        <v>3.2.1 Realizar una visita de seguimiento a las 51 Oficinas de Control Interno Disciplinario del Distrito e identificar hechos constitutivos de faltas relevantes en temas de interés e impacto en cada anualidad.</v>
      </c>
      <c r="E42" s="52">
        <f>+'01-FR-03 POA INSTITUCIONAL'!E42</f>
        <v>0.5</v>
      </c>
      <c r="F42" s="139">
        <f>+'01-FR-03 POA INSTITUCIONAL'!F42</f>
        <v>204</v>
      </c>
      <c r="G42" s="585">
        <f>+'01-FR-03 POA INSTITUCIONAL'!G42</f>
        <v>204</v>
      </c>
      <c r="H42" s="141" t="str">
        <f>+'01-FR-03 POA INSTITUCIONAL'!H42</f>
        <v>Visitas de seguimiento a Oficinas de Control Interno Disciplinario realizadas</v>
      </c>
      <c r="I42" s="142" t="str">
        <f>+'01-FR-03 POA INSTITUCIONAL'!I42</f>
        <v>Potestad Disciplinaria</v>
      </c>
      <c r="J42" s="143" t="str">
        <f>+'01-FR-03 POA INSTITUCIONAL'!J42</f>
        <v>Personería Delegada para la Coordinación de Potestad Disciplinaria</v>
      </c>
      <c r="K42" s="144">
        <f>+'01-FR-03 POA INSTITUCIONAL'!K42</f>
        <v>51</v>
      </c>
      <c r="L42" s="144">
        <f>+'01-FR-03 POA INSTITUCIONAL'!L42</f>
        <v>51</v>
      </c>
      <c r="M42" s="144">
        <f>+'01-FR-03 POA INSTITUCIONAL'!M42</f>
        <v>51</v>
      </c>
      <c r="N42" s="144">
        <f>+'01-FR-03 POA INSTITUCIONAL'!N42</f>
        <v>51</v>
      </c>
      <c r="O42" s="369">
        <f>+'07-POTESTAD DISCIPLINARIA'!V18</f>
        <v>0</v>
      </c>
      <c r="P42" s="369">
        <f>+'07-POTESTAD DISCIPLINARIA'!W18</f>
        <v>0</v>
      </c>
      <c r="Q42" s="369">
        <f>+'07-POTESTAD DISCIPLINARIA'!AD18</f>
        <v>30</v>
      </c>
      <c r="R42" s="369">
        <f>+'07-POTESTAD DISCIPLINARIA'!AE18</f>
        <v>0</v>
      </c>
      <c r="S42" s="369">
        <f>+'07-POTESTAD DISCIPLINARIA'!AL18</f>
        <v>21</v>
      </c>
      <c r="T42" s="369">
        <f>+'07-POTESTAD DISCIPLINARIA'!AM18</f>
        <v>0</v>
      </c>
      <c r="U42" s="369">
        <f>+'07-POTESTAD DISCIPLINARIA'!AT18</f>
        <v>0</v>
      </c>
      <c r="V42" s="369">
        <f>+'07-POTESTAD DISCIPLINARIA'!AU18</f>
        <v>0</v>
      </c>
      <c r="W42" s="369">
        <f>+'07-POTESTAD DISCIPLINARIA'!AV18</f>
        <v>51</v>
      </c>
      <c r="X42" s="371">
        <f t="shared" si="7"/>
        <v>0</v>
      </c>
      <c r="Y42" s="679">
        <f t="shared" ref="Y42:Y60" si="13">IF(AND(X42&gt;0,$W42&gt;0),X42/$W42,0)</f>
        <v>0</v>
      </c>
      <c r="Z42" s="356">
        <f t="shared" si="10"/>
        <v>0</v>
      </c>
      <c r="AA42" s="362">
        <f t="shared" si="12"/>
        <v>0</v>
      </c>
      <c r="AB42" s="1158">
        <f>SUM(AA42:AA43)</f>
        <v>7.8125E-3</v>
      </c>
      <c r="AD42" s="359">
        <f>+'07-POTESTAD DISCIPLINARIA'!BD18</f>
        <v>0</v>
      </c>
      <c r="AE42" s="361">
        <f t="shared" si="2"/>
        <v>0</v>
      </c>
      <c r="AG42" s="359">
        <f>+'07-POTESTAD DISCIPLINARIA'!BH18</f>
        <v>0</v>
      </c>
      <c r="AH42" s="361">
        <f t="shared" si="5"/>
        <v>0</v>
      </c>
    </row>
    <row r="43" spans="2:34" ht="95.25" customHeight="1">
      <c r="B43" s="1485"/>
      <c r="C43" s="1488"/>
      <c r="D43" s="31" t="str">
        <f>+'01-FR-03 POA INSTITUCIONAL'!D43</f>
        <v>3.2.2 Asumir por competencia preferente el 100% de los procesos cuyos temas sean considerados de interés e impacto el Distrito Capital.</v>
      </c>
      <c r="E43" s="52">
        <f>+'01-FR-03 POA INSTITUCIONAL'!E43</f>
        <v>0.5</v>
      </c>
      <c r="F43" s="32">
        <f>+'01-FR-03 POA INSTITUCIONAL'!F43</f>
        <v>1</v>
      </c>
      <c r="G43" s="174">
        <f>+'01-FR-03 POA INSTITUCIONAL'!G43</f>
        <v>1</v>
      </c>
      <c r="H43" s="141" t="str">
        <f>+'01-FR-03 POA INSTITUCIONAL'!H43</f>
        <v>Procesos de interés e impacto asumidos por competencia</v>
      </c>
      <c r="I43" s="142" t="str">
        <f>+'01-FR-03 POA INSTITUCIONAL'!I43</f>
        <v>Potestad Disciplinaria</v>
      </c>
      <c r="J43" s="143" t="str">
        <f>+'01-FR-03 POA INSTITUCIONAL'!J43</f>
        <v>Personería Delegada para la Coordinación de Potestad Disciplinaria</v>
      </c>
      <c r="K43" s="145">
        <f>+'01-FR-03 POA INSTITUCIONAL'!K43</f>
        <v>1</v>
      </c>
      <c r="L43" s="145">
        <f>+'01-FR-03 POA INSTITUCIONAL'!L43</f>
        <v>1</v>
      </c>
      <c r="M43" s="145">
        <f>+'01-FR-03 POA INSTITUCIONAL'!M43</f>
        <v>1</v>
      </c>
      <c r="N43" s="145">
        <f>+'01-FR-03 POA INSTITUCIONAL'!N43</f>
        <v>1</v>
      </c>
      <c r="O43" s="32">
        <f>+'07-POTESTAD DISCIPLINARIA'!V19</f>
        <v>1</v>
      </c>
      <c r="P43" s="32">
        <f>+'07-POTESTAD DISCIPLINARIA'!W19</f>
        <v>1</v>
      </c>
      <c r="Q43" s="354">
        <f>+'07-POTESTAD DISCIPLINARIA'!AD19</f>
        <v>1</v>
      </c>
      <c r="R43" s="354">
        <f>+'07-POTESTAD DISCIPLINARIA'!AE19</f>
        <v>0</v>
      </c>
      <c r="S43" s="354">
        <f>+'07-POTESTAD DISCIPLINARIA'!AL19</f>
        <v>1</v>
      </c>
      <c r="T43" s="354">
        <f>+'07-POTESTAD DISCIPLINARIA'!AM19</f>
        <v>0</v>
      </c>
      <c r="U43" s="32">
        <f>+'07-POTESTAD DISCIPLINARIA'!AT19</f>
        <v>1</v>
      </c>
      <c r="V43" s="32">
        <f>+'07-POTESTAD DISCIPLINARIA'!AU19</f>
        <v>0</v>
      </c>
      <c r="W43" s="354">
        <f>+'07-POTESTAD DISCIPLINARIA'!AV19</f>
        <v>1</v>
      </c>
      <c r="X43" s="655">
        <f>IFERROR(IF(OR($W$43="",$W$43=0),0,ROUNDDOWN(AVERAGE($P43,R43,T43,V43),3)),0)</f>
        <v>0.25</v>
      </c>
      <c r="Y43" s="676">
        <f>IF(AND(X43&gt;0,$W43&gt;0),X43/$W43,0)*0.25</f>
        <v>6.25E-2</v>
      </c>
      <c r="Z43" s="356">
        <f>(IF(AND(X43&gt;0,$F43&gt;0),X43/$F43,0)/4)*1</f>
        <v>6.25E-2</v>
      </c>
      <c r="AA43" s="362">
        <f>IF(AND(Z43&gt;0,E43&gt;0),Z43*E43,0)*0.25</f>
        <v>7.8125E-3</v>
      </c>
      <c r="AB43" s="1160"/>
      <c r="AD43" s="359">
        <f>+'07-POTESTAD DISCIPLINARIA'!BD19</f>
        <v>0.18099999999999999</v>
      </c>
      <c r="AE43" s="361">
        <f t="shared" si="2"/>
        <v>-0.11849999999999999</v>
      </c>
      <c r="AG43" s="359">
        <f>+'07-POTESTAD DISCIPLINARIA'!BH19</f>
        <v>4.5249999999999999E-2</v>
      </c>
      <c r="AH43" s="361">
        <f t="shared" si="5"/>
        <v>1.7250000000000001E-2</v>
      </c>
    </row>
    <row r="44" spans="2:34" ht="126.75" customHeight="1">
      <c r="B44" s="1485"/>
      <c r="C44" s="163" t="s">
        <v>140</v>
      </c>
      <c r="D44" s="31" t="str">
        <f>+'01-FR-03 POA INSTITUCIONAL'!D44</f>
        <v>3.3.1 Generar 8 escenarios de intercambio de conocimiento con los(as) servidores(as) públicos(as) para fortalecer el conocimiento en la sustanciación de procesos disciplinarios en el Distrito Capital.</v>
      </c>
      <c r="E44" s="52">
        <f>+'01-FR-03 POA INSTITUCIONAL'!E44</f>
        <v>1</v>
      </c>
      <c r="F44" s="139">
        <f>+'01-FR-03 POA INSTITUCIONAL'!F44</f>
        <v>8</v>
      </c>
      <c r="G44" s="585">
        <f>+'01-FR-03 POA INSTITUCIONAL'!G44</f>
        <v>8</v>
      </c>
      <c r="H44" s="141" t="str">
        <f>+'01-FR-03 POA INSTITUCIONAL'!H44</f>
        <v>Escenarios de intercambio de conocimiento generados</v>
      </c>
      <c r="I44" s="142" t="str">
        <f>+'01-FR-03 POA INSTITUCIONAL'!I44</f>
        <v>Potestad Disciplinaria</v>
      </c>
      <c r="J44" s="143" t="str">
        <f>+'01-FR-03 POA INSTITUCIONAL'!J44</f>
        <v>Personería Delegada para la Coordinación de Potestad Disciplinaria</v>
      </c>
      <c r="K44" s="144">
        <f>+'01-FR-03 POA INSTITUCIONAL'!K44</f>
        <v>2</v>
      </c>
      <c r="L44" s="144">
        <f>+'01-FR-03 POA INSTITUCIONAL'!L44</f>
        <v>2</v>
      </c>
      <c r="M44" s="144">
        <f>+'01-FR-03 POA INSTITUCIONAL'!M44</f>
        <v>2</v>
      </c>
      <c r="N44" s="144">
        <f>+'01-FR-03 POA INSTITUCIONAL'!N44</f>
        <v>2</v>
      </c>
      <c r="O44" s="369">
        <f>+'07-POTESTAD DISCIPLINARIA'!V20</f>
        <v>0</v>
      </c>
      <c r="P44" s="369">
        <f>+'07-POTESTAD DISCIPLINARIA'!W20</f>
        <v>0</v>
      </c>
      <c r="Q44" s="369">
        <f>+'07-POTESTAD DISCIPLINARIA'!AD20</f>
        <v>0</v>
      </c>
      <c r="R44" s="369">
        <f>+'07-POTESTAD DISCIPLINARIA'!AE20</f>
        <v>0</v>
      </c>
      <c r="S44" s="369">
        <f>+'07-POTESTAD DISCIPLINARIA'!AL20</f>
        <v>1</v>
      </c>
      <c r="T44" s="369">
        <f>+'07-POTESTAD DISCIPLINARIA'!AM20</f>
        <v>0</v>
      </c>
      <c r="U44" s="369">
        <f>+'07-POTESTAD DISCIPLINARIA'!AT20</f>
        <v>1</v>
      </c>
      <c r="V44" s="369">
        <f>+'07-POTESTAD DISCIPLINARIA'!AU20</f>
        <v>0</v>
      </c>
      <c r="W44" s="370">
        <f>+'07-POTESTAD DISCIPLINARIA'!AV20</f>
        <v>2</v>
      </c>
      <c r="X44" s="371">
        <f t="shared" si="7"/>
        <v>0</v>
      </c>
      <c r="Y44" s="679">
        <f t="shared" si="13"/>
        <v>0</v>
      </c>
      <c r="Z44" s="356">
        <f t="shared" si="10"/>
        <v>0</v>
      </c>
      <c r="AA44" s="362">
        <f t="shared" si="12"/>
        <v>0</v>
      </c>
      <c r="AB44" s="689">
        <f>SUM(AA44)</f>
        <v>0</v>
      </c>
      <c r="AD44" s="359">
        <f>+'07-POTESTAD DISCIPLINARIA'!BD20</f>
        <v>0</v>
      </c>
      <c r="AE44" s="361">
        <f t="shared" si="2"/>
        <v>0</v>
      </c>
      <c r="AG44" s="359">
        <f>+'07-POTESTAD DISCIPLINARIA'!BH20</f>
        <v>0</v>
      </c>
      <c r="AH44" s="361">
        <f t="shared" si="5"/>
        <v>0</v>
      </c>
    </row>
    <row r="45" spans="2:34" ht="61.5" customHeight="1">
      <c r="B45" s="1485"/>
      <c r="C45" s="1486" t="s">
        <v>278</v>
      </c>
      <c r="D45" s="31" t="str">
        <f>+'01-FR-03 POA INSTITUCIONAL'!D45</f>
        <v>3.4.1 Implementar un sistema de comunicación efectiva y eficiente con las Oficinas de Control Interno del Distrito Capital.</v>
      </c>
      <c r="E45" s="52">
        <f>+'01-FR-03 POA INSTITUCIONAL'!E45</f>
        <v>0.2</v>
      </c>
      <c r="F45" s="139">
        <f>+'01-FR-03 POA INSTITUCIONAL'!F45</f>
        <v>1</v>
      </c>
      <c r="G45" s="585" t="str">
        <f>+'01-FR-03 POA INSTITUCIONAL'!G45</f>
        <v>S.I.</v>
      </c>
      <c r="H45" s="141" t="str">
        <f>+'01-FR-03 POA INSTITUCIONAL'!H45</f>
        <v xml:space="preserve">Sistema de Comunicación con las Oficinas de Control Interno Disciplinario implementado </v>
      </c>
      <c r="I45" s="142" t="str">
        <f>+'01-FR-03 POA INSTITUCIONAL'!I45</f>
        <v>Potestad Disciplinaria</v>
      </c>
      <c r="J45" s="143" t="str">
        <f>+'01-FR-03 POA INSTITUCIONAL'!J45</f>
        <v>Personería Delegada para la Coordinación de Potestad Disciplinaria</v>
      </c>
      <c r="K45" s="604">
        <f>+'01-FR-03 POA INSTITUCIONAL'!K45</f>
        <v>0.5</v>
      </c>
      <c r="L45" s="604">
        <f>+'01-FR-03 POA INSTITUCIONAL'!L45</f>
        <v>0.5</v>
      </c>
      <c r="M45" s="604">
        <f>+'01-FR-03 POA INSTITUCIONAL'!M45</f>
        <v>0</v>
      </c>
      <c r="N45" s="604">
        <f>+'01-FR-03 POA INSTITUCIONAL'!N45</f>
        <v>0</v>
      </c>
      <c r="O45" s="370">
        <f>+'07-POTESTAD DISCIPLINARIA'!V21</f>
        <v>0.15000000000000002</v>
      </c>
      <c r="P45" s="370">
        <f>+'07-POTESTAD DISCIPLINARIA'!W21</f>
        <v>0.15000000000000002</v>
      </c>
      <c r="Q45" s="370">
        <f>+'07-POTESTAD DISCIPLINARIA'!AD21</f>
        <v>0.15000000000000002</v>
      </c>
      <c r="R45" s="370">
        <f>+'07-POTESTAD DISCIPLINARIA'!AE21</f>
        <v>0</v>
      </c>
      <c r="S45" s="370">
        <f>+'07-POTESTAD DISCIPLINARIA'!AL21</f>
        <v>0.15000000000000002</v>
      </c>
      <c r="T45" s="370">
        <f>+'07-POTESTAD DISCIPLINARIA'!AM21</f>
        <v>0</v>
      </c>
      <c r="U45" s="370">
        <f>+'07-POTESTAD DISCIPLINARIA'!AT21</f>
        <v>0.05</v>
      </c>
      <c r="V45" s="370">
        <f>+'07-POTESTAD DISCIPLINARIA'!AU21</f>
        <v>0</v>
      </c>
      <c r="W45" s="370">
        <f>+'07-POTESTAD DISCIPLINARIA'!AV21</f>
        <v>0.50000000000000011</v>
      </c>
      <c r="X45" s="372">
        <f t="shared" si="7"/>
        <v>0.15000000000000002</v>
      </c>
      <c r="Y45" s="679">
        <f t="shared" si="13"/>
        <v>0.3</v>
      </c>
      <c r="Z45" s="356">
        <f t="shared" si="10"/>
        <v>0.15000000000000002</v>
      </c>
      <c r="AA45" s="362">
        <f t="shared" si="12"/>
        <v>3.0000000000000006E-2</v>
      </c>
      <c r="AB45" s="1206">
        <f>SUM(AA45:AA47)</f>
        <v>3.6000000000000004E-2</v>
      </c>
      <c r="AD45" s="359">
        <f>+'07-POTESTAD DISCIPLINARIA'!BD21</f>
        <v>0.3</v>
      </c>
      <c r="AE45" s="361">
        <f t="shared" si="2"/>
        <v>0</v>
      </c>
      <c r="AG45" s="359">
        <f>+'07-POTESTAD DISCIPLINARIA'!BH21</f>
        <v>0.15000000000000002</v>
      </c>
      <c r="AH45" s="361">
        <f t="shared" si="5"/>
        <v>0</v>
      </c>
    </row>
    <row r="46" spans="2:34" ht="61.5" customHeight="1">
      <c r="B46" s="1485"/>
      <c r="C46" s="1487"/>
      <c r="D46" s="31" t="str">
        <f>+'01-FR-03 POA INSTITUCIONAL'!D46</f>
        <v xml:space="preserve">3.4.2 Diseñar e implementar un sistema de información misional que generé el expediente electrónico  </v>
      </c>
      <c r="E46" s="52">
        <f>+'01-FR-03 POA INSTITUCIONAL'!E46</f>
        <v>0.7</v>
      </c>
      <c r="F46" s="139">
        <f>+'01-FR-03 POA INSTITUCIONAL'!F46</f>
        <v>1</v>
      </c>
      <c r="G46" s="585" t="str">
        <f>+'01-FR-03 POA INSTITUCIONAL'!G46</f>
        <v>S.I.</v>
      </c>
      <c r="H46" s="141" t="str">
        <f>+'01-FR-03 POA INSTITUCIONAL'!H46</f>
        <v xml:space="preserve">Sistema de información misional implementado </v>
      </c>
      <c r="I46" s="142" t="str">
        <f>+'01-FR-03 POA INSTITUCIONAL'!I46</f>
        <v>Potestad Disciplinaria</v>
      </c>
      <c r="J46" s="143" t="str">
        <f>+'01-FR-03 POA INSTITUCIONAL'!J46</f>
        <v>Personería Delegada para la Coordinación de Potestad Disciplinaria</v>
      </c>
      <c r="K46" s="604">
        <f>+'01-FR-03 POA INSTITUCIONAL'!K46</f>
        <v>0.2</v>
      </c>
      <c r="L46" s="604">
        <f>+'01-FR-03 POA INSTITUCIONAL'!L46</f>
        <v>0.4</v>
      </c>
      <c r="M46" s="604">
        <f>+'01-FR-03 POA INSTITUCIONAL'!M46</f>
        <v>0.3</v>
      </c>
      <c r="N46" s="604">
        <f>+'01-FR-03 POA INSTITUCIONAL'!N46</f>
        <v>0.1</v>
      </c>
      <c r="O46" s="370">
        <f>+'07-POTESTAD DISCIPLINARIA'!V22</f>
        <v>0.05</v>
      </c>
      <c r="P46" s="370">
        <f>+'07-POTESTAD DISCIPLINARIA'!W22</f>
        <v>0</v>
      </c>
      <c r="Q46" s="370">
        <f>+'07-POTESTAD DISCIPLINARIA'!AD22</f>
        <v>0.11</v>
      </c>
      <c r="R46" s="370">
        <f>+'07-POTESTAD DISCIPLINARIA'!AE22</f>
        <v>0</v>
      </c>
      <c r="S46" s="370">
        <f>+'07-POTESTAD DISCIPLINARIA'!AL22</f>
        <v>0.15000000000000002</v>
      </c>
      <c r="T46" s="370">
        <f>+'07-POTESTAD DISCIPLINARIA'!AM22</f>
        <v>0</v>
      </c>
      <c r="U46" s="370">
        <f>+'07-POTESTAD DISCIPLINARIA'!AT22</f>
        <v>0.09</v>
      </c>
      <c r="V46" s="370">
        <f>+'07-POTESTAD DISCIPLINARIA'!AU22</f>
        <v>0</v>
      </c>
      <c r="W46" s="370">
        <f>+'07-POTESTAD DISCIPLINARIA'!AV22</f>
        <v>0.4</v>
      </c>
      <c r="X46" s="372">
        <f t="shared" si="7"/>
        <v>0</v>
      </c>
      <c r="Y46" s="679">
        <f t="shared" si="13"/>
        <v>0</v>
      </c>
      <c r="Z46" s="356">
        <f t="shared" si="10"/>
        <v>0</v>
      </c>
      <c r="AA46" s="362">
        <f t="shared" si="12"/>
        <v>0</v>
      </c>
      <c r="AB46" s="1206"/>
      <c r="AD46" s="359">
        <f>+'07-POTESTAD DISCIPLINARIA'!BD22</f>
        <v>0</v>
      </c>
      <c r="AE46" s="361">
        <f t="shared" si="2"/>
        <v>0</v>
      </c>
      <c r="AG46" s="359">
        <f>+'07-POTESTAD DISCIPLINARIA'!BH22</f>
        <v>0</v>
      </c>
      <c r="AH46" s="361">
        <f t="shared" si="5"/>
        <v>0</v>
      </c>
    </row>
    <row r="47" spans="2:34" ht="61.5" customHeight="1">
      <c r="B47" s="1503"/>
      <c r="C47" s="1488"/>
      <c r="D47" s="31" t="str">
        <f>+'01-FR-03 POA INSTITUCIONAL'!D47</f>
        <v xml:space="preserve">3.4.3 Diseñar e implementar una relatoría de las decisiones de fondo adoptadas en ejercicio de la potestad disciplinaria  </v>
      </c>
      <c r="E47" s="52">
        <f>+'01-FR-03 POA INSTITUCIONAL'!E47</f>
        <v>0.1</v>
      </c>
      <c r="F47" s="139">
        <f>+'01-FR-03 POA INSTITUCIONAL'!F47</f>
        <v>1</v>
      </c>
      <c r="G47" s="585" t="str">
        <f>+'01-FR-03 POA INSTITUCIONAL'!G47</f>
        <v>S.I.</v>
      </c>
      <c r="H47" s="141" t="str">
        <f>+'01-FR-03 POA INSTITUCIONAL'!H47</f>
        <v>Relatoría diseñada e implementada</v>
      </c>
      <c r="I47" s="142" t="str">
        <f>+'01-FR-03 POA INSTITUCIONAL'!I47</f>
        <v>Potestad Disciplinaria</v>
      </c>
      <c r="J47" s="143" t="str">
        <f>+'01-FR-03 POA INSTITUCIONAL'!J47</f>
        <v>Personería Delegada para la Coordinación de Potestad Disciplinaria</v>
      </c>
      <c r="K47" s="604">
        <f>+'01-FR-03 POA INSTITUCIONAL'!K47</f>
        <v>0.1</v>
      </c>
      <c r="L47" s="604">
        <f>+'01-FR-03 POA INSTITUCIONAL'!L47</f>
        <v>0.3</v>
      </c>
      <c r="M47" s="604">
        <f>+'01-FR-03 POA INSTITUCIONAL'!M47</f>
        <v>0.4</v>
      </c>
      <c r="N47" s="604">
        <f>+'01-FR-03 POA INSTITUCIONAL'!N47</f>
        <v>0.2</v>
      </c>
      <c r="O47" s="370">
        <f>+'07-POTESTAD DISCIPLINARIA'!V23</f>
        <v>0.06</v>
      </c>
      <c r="P47" s="370">
        <f>+'07-POTESTAD DISCIPLINARIA'!W23</f>
        <v>0.06</v>
      </c>
      <c r="Q47" s="370">
        <f>+'07-POTESTAD DISCIPLINARIA'!AD23</f>
        <v>0.09</v>
      </c>
      <c r="R47" s="370">
        <f>+'07-POTESTAD DISCIPLINARIA'!AE23</f>
        <v>0</v>
      </c>
      <c r="S47" s="370">
        <f>+'07-POTESTAD DISCIPLINARIA'!AL23</f>
        <v>0.09</v>
      </c>
      <c r="T47" s="906">
        <f>+'07-POTESTAD DISCIPLINARIA'!AM23</f>
        <v>0</v>
      </c>
      <c r="U47" s="370">
        <f>+'07-POTESTAD DISCIPLINARIA'!AT23</f>
        <v>0.06</v>
      </c>
      <c r="V47" s="370">
        <f>+'07-POTESTAD DISCIPLINARIA'!AU23</f>
        <v>0</v>
      </c>
      <c r="W47" s="370">
        <f>+'07-POTESTAD DISCIPLINARIA'!AV23</f>
        <v>0.3</v>
      </c>
      <c r="X47" s="372">
        <f t="shared" si="7"/>
        <v>0.06</v>
      </c>
      <c r="Y47" s="679">
        <f t="shared" si="13"/>
        <v>0.2</v>
      </c>
      <c r="Z47" s="356">
        <f t="shared" si="10"/>
        <v>0.06</v>
      </c>
      <c r="AA47" s="362">
        <f t="shared" si="12"/>
        <v>6.0000000000000001E-3</v>
      </c>
      <c r="AB47" s="1206"/>
      <c r="AD47" s="359">
        <f>+'07-POTESTAD DISCIPLINARIA'!BD23</f>
        <v>0.2</v>
      </c>
      <c r="AE47" s="361">
        <f t="shared" si="2"/>
        <v>0</v>
      </c>
      <c r="AG47" s="359">
        <f>+'07-POTESTAD DISCIPLINARIA'!BH23</f>
        <v>0.06</v>
      </c>
      <c r="AH47" s="361">
        <f t="shared" si="5"/>
        <v>0</v>
      </c>
    </row>
    <row r="48" spans="2:34" ht="75" customHeight="1">
      <c r="B48" s="1505" t="s">
        <v>141</v>
      </c>
      <c r="C48" s="1479" t="s">
        <v>142</v>
      </c>
      <c r="D48" s="151" t="str">
        <f>+'01-FR-03 POA INSTITUCIONAL'!D48</f>
        <v>4.1.1 Implementar el 100 % de los proyectos de hoja de ruta del Plan Estratégico de Tecnología de la Información de tal forma que se optimicen los procesos de la Entidad</v>
      </c>
      <c r="E48" s="164">
        <f>+'01-FR-03 POA INSTITUCIONAL'!E48</f>
        <v>0.14000000000000001</v>
      </c>
      <c r="F48" s="165">
        <f>+'01-FR-03 POA INSTITUCIONAL'!F48</f>
        <v>1</v>
      </c>
      <c r="G48" s="154" t="str">
        <f>+'01-FR-03 POA INSTITUCIONAL'!G48</f>
        <v>S.I.</v>
      </c>
      <c r="H48" s="166" t="str">
        <f>+'01-FR-03 POA INSTITUCIONAL'!H48</f>
        <v>Porcentaje de proyectos implementados de acuerdo al plan de tecnologías de la Información</v>
      </c>
      <c r="I48" s="151" t="str">
        <f>+'01-FR-03 POA INSTITUCIONAL'!I48</f>
        <v>Direccionamiento TIC</v>
      </c>
      <c r="J48" s="167" t="str">
        <f>+'01-FR-03 POA INSTITUCIONAL'!J48</f>
        <v>Dirección de Tecnologías de la  Información y las Comunicaciones</v>
      </c>
      <c r="K48" s="168">
        <f>+'01-FR-03 POA INSTITUCIONAL'!K48</f>
        <v>0.3</v>
      </c>
      <c r="L48" s="168">
        <f>+'01-FR-03 POA INSTITUCIONAL'!L48</f>
        <v>0.4</v>
      </c>
      <c r="M48" s="168">
        <f>+'01-FR-03 POA INSTITUCIONAL'!M48</f>
        <v>0.25</v>
      </c>
      <c r="N48" s="168">
        <f>+'01-FR-03 POA INSTITUCIONAL'!N48</f>
        <v>0.05</v>
      </c>
      <c r="O48" s="373">
        <f>+'03-DIRECCIONAMIENTO TIC'!V16</f>
        <v>7.0000000000000007E-2</v>
      </c>
      <c r="P48" s="373">
        <f>+'03-DIRECCIONAMIENTO TIC'!W16</f>
        <v>7.0000000000000007E-2</v>
      </c>
      <c r="Q48" s="373">
        <f>+'03-DIRECCIONAMIENTO TIC'!AD16</f>
        <v>0.13</v>
      </c>
      <c r="R48" s="373">
        <f>+'03-DIRECCIONAMIENTO TIC'!AE16</f>
        <v>0</v>
      </c>
      <c r="S48" s="373">
        <f>+'03-DIRECCIONAMIENTO TIC'!AL16</f>
        <v>0.13</v>
      </c>
      <c r="T48" s="373">
        <f>+'03-DIRECCIONAMIENTO TIC'!AM16</f>
        <v>0</v>
      </c>
      <c r="U48" s="373">
        <f>+'03-DIRECCIONAMIENTO TIC'!AT16</f>
        <v>7.0000000000000007E-2</v>
      </c>
      <c r="V48" s="373">
        <f>+'03-DIRECCIONAMIENTO TIC'!AU16</f>
        <v>0</v>
      </c>
      <c r="W48" s="373">
        <f>+'03-DIRECCIONAMIENTO TIC'!AV16</f>
        <v>0.4</v>
      </c>
      <c r="X48" s="374">
        <f t="shared" si="7"/>
        <v>7.0000000000000007E-2</v>
      </c>
      <c r="Y48" s="678">
        <f t="shared" si="13"/>
        <v>0.17500000000000002</v>
      </c>
      <c r="Z48" s="373">
        <f t="shared" si="10"/>
        <v>7.0000000000000007E-2</v>
      </c>
      <c r="AA48" s="373">
        <f t="shared" si="12"/>
        <v>9.8000000000000014E-3</v>
      </c>
      <c r="AB48" s="1533">
        <f>SUM(AA48:AA54)</f>
        <v>7.0000000000000007E-2</v>
      </c>
      <c r="AD48" s="359">
        <f>+'03-DIRECCIONAMIENTO TIC'!BD16</f>
        <v>0.17500000000000002</v>
      </c>
      <c r="AE48" s="361">
        <f t="shared" si="2"/>
        <v>0</v>
      </c>
      <c r="AG48" s="359">
        <f>+'03-DIRECCIONAMIENTO TIC'!BH16</f>
        <v>7.0000000000000007E-2</v>
      </c>
      <c r="AH48" s="361">
        <f t="shared" si="5"/>
        <v>0</v>
      </c>
    </row>
    <row r="49" spans="2:35" ht="80.25" customHeight="1">
      <c r="B49" s="1505"/>
      <c r="C49" s="1480"/>
      <c r="D49" s="151" t="str">
        <f>+'01-FR-03 POA INSTITUCIONAL'!D49</f>
        <v>4.1.2 Ejecutar en un 100 % las actividades programadas en el plan de Seguridad de la Información, garantizando la disponibilidad, confiabilidad e integridad de los activos de información</v>
      </c>
      <c r="E49" s="164">
        <f>+'01-FR-03 POA INSTITUCIONAL'!E49</f>
        <v>0.14000000000000001</v>
      </c>
      <c r="F49" s="165">
        <f>+'01-FR-03 POA INSTITUCIONAL'!F49</f>
        <v>1</v>
      </c>
      <c r="G49" s="154" t="str">
        <f>+'01-FR-03 POA INSTITUCIONAL'!G49</f>
        <v>S.I.</v>
      </c>
      <c r="H49" s="166" t="str">
        <f>+'01-FR-03 POA INSTITUCIONAL'!H49</f>
        <v>Porcentaje de actividades ejecutadas de acuerdo al plan de Seguridad de información</v>
      </c>
      <c r="I49" s="151" t="str">
        <f>+'01-FR-03 POA INSTITUCIONAL'!I49</f>
        <v>Direccionamiento TIC</v>
      </c>
      <c r="J49" s="167" t="str">
        <f>+'01-FR-03 POA INSTITUCIONAL'!J49</f>
        <v>Dirección de Tecnologías de la  Información y las Comunicaciones</v>
      </c>
      <c r="K49" s="168">
        <f>+'01-FR-03 POA INSTITUCIONAL'!K49</f>
        <v>0.3</v>
      </c>
      <c r="L49" s="168">
        <f>+'01-FR-03 POA INSTITUCIONAL'!L49</f>
        <v>0.4</v>
      </c>
      <c r="M49" s="168">
        <f>+'01-FR-03 POA INSTITUCIONAL'!M49</f>
        <v>0.25</v>
      </c>
      <c r="N49" s="168">
        <f>+'01-FR-03 POA INSTITUCIONAL'!N49</f>
        <v>0.05</v>
      </c>
      <c r="O49" s="373">
        <f>+'03-DIRECCIONAMIENTO TIC'!V17</f>
        <v>7.0000000000000007E-2</v>
      </c>
      <c r="P49" s="373">
        <f>+'03-DIRECCIONAMIENTO TIC'!W17</f>
        <v>7.0000000000000007E-2</v>
      </c>
      <c r="Q49" s="373">
        <f>+'03-DIRECCIONAMIENTO TIC'!AD17</f>
        <v>0.13</v>
      </c>
      <c r="R49" s="373">
        <f>+'03-DIRECCIONAMIENTO TIC'!AE17</f>
        <v>0</v>
      </c>
      <c r="S49" s="373">
        <f>+'03-DIRECCIONAMIENTO TIC'!AL17</f>
        <v>0.13</v>
      </c>
      <c r="T49" s="373">
        <f>+'03-DIRECCIONAMIENTO TIC'!AM17</f>
        <v>0</v>
      </c>
      <c r="U49" s="373">
        <f>+'03-DIRECCIONAMIENTO TIC'!AT17</f>
        <v>7.0000000000000007E-2</v>
      </c>
      <c r="V49" s="373">
        <f>+'03-DIRECCIONAMIENTO TIC'!AU17</f>
        <v>0</v>
      </c>
      <c r="W49" s="373">
        <f>+'03-DIRECCIONAMIENTO TIC'!AV17</f>
        <v>0.4</v>
      </c>
      <c r="X49" s="374">
        <f t="shared" si="7"/>
        <v>7.0000000000000007E-2</v>
      </c>
      <c r="Y49" s="678">
        <f t="shared" si="13"/>
        <v>0.17500000000000002</v>
      </c>
      <c r="Z49" s="373">
        <f t="shared" ref="Z49:Z58" si="14">IF(AND(X49&gt;0,$F49&gt;0),X49/$F49,0)</f>
        <v>7.0000000000000007E-2</v>
      </c>
      <c r="AA49" s="373">
        <f t="shared" ref="AA49:AA63" si="15">IF(AND(Z49&gt;0,E49&gt;0),Z49*E49,0)</f>
        <v>9.8000000000000014E-3</v>
      </c>
      <c r="AB49" s="1187"/>
      <c r="AD49" s="359">
        <f>+'03-DIRECCIONAMIENTO TIC'!BD17</f>
        <v>0.17500000000000002</v>
      </c>
      <c r="AE49" s="361">
        <f t="shared" ref="AE49:AE51" si="16">Y49-AD49</f>
        <v>0</v>
      </c>
      <c r="AG49" s="359">
        <f>+'03-DIRECCIONAMIENTO TIC'!BH17</f>
        <v>7.0000000000000007E-2</v>
      </c>
      <c r="AH49" s="361">
        <f t="shared" ref="AH49:AH51" si="17">+Z49-AG49</f>
        <v>0</v>
      </c>
    </row>
    <row r="50" spans="2:35" ht="111" customHeight="1">
      <c r="B50" s="1505"/>
      <c r="C50" s="1480"/>
      <c r="D50" s="151" t="str">
        <f>+'01-FR-03 POA INSTITUCIONAL'!D50</f>
        <v>4.1.3 Realizar el 100% de las actividades definidas en la estrategia de servicios ciudadanos digitales, que permitan acceder a los tramites y servicios de la Entidad a través de canales digitales rápidos, fiables y seguros</v>
      </c>
      <c r="E50" s="164">
        <f>+'01-FR-03 POA INSTITUCIONAL'!E50</f>
        <v>0.14000000000000001</v>
      </c>
      <c r="F50" s="165">
        <f>+'01-FR-03 POA INSTITUCIONAL'!F50</f>
        <v>1</v>
      </c>
      <c r="G50" s="154" t="str">
        <f>+'01-FR-03 POA INSTITUCIONAL'!G50</f>
        <v>S.I.</v>
      </c>
      <c r="H50" s="166" t="str">
        <f>+'01-FR-03 POA INSTITUCIONAL'!H50</f>
        <v xml:space="preserve">Porcentaje de actividades ejecutadas  en la estrategia de servicios ciudadanos digitales </v>
      </c>
      <c r="I50" s="151" t="str">
        <f>+'01-FR-03 POA INSTITUCIONAL'!I50</f>
        <v>Direccionamiento TIC</v>
      </c>
      <c r="J50" s="167" t="str">
        <f>+'01-FR-03 POA INSTITUCIONAL'!J50</f>
        <v>Dirección de Tecnologías de la  Información y las Comunicaciones</v>
      </c>
      <c r="K50" s="168">
        <f>+'01-FR-03 POA INSTITUCIONAL'!K50</f>
        <v>0.3</v>
      </c>
      <c r="L50" s="168">
        <f>+'01-FR-03 POA INSTITUCIONAL'!L50</f>
        <v>0.4</v>
      </c>
      <c r="M50" s="168">
        <f>+'01-FR-03 POA INSTITUCIONAL'!M50</f>
        <v>0.25</v>
      </c>
      <c r="N50" s="168">
        <f>+'01-FR-03 POA INSTITUCIONAL'!N50</f>
        <v>0.05</v>
      </c>
      <c r="O50" s="373">
        <f>+'03-DIRECCIONAMIENTO TIC'!V18</f>
        <v>7.0000000000000007E-2</v>
      </c>
      <c r="P50" s="373">
        <f>+'03-DIRECCIONAMIENTO TIC'!W18</f>
        <v>7.0000000000000007E-2</v>
      </c>
      <c r="Q50" s="373">
        <f>+'03-DIRECCIONAMIENTO TIC'!AD18</f>
        <v>0.13</v>
      </c>
      <c r="R50" s="373">
        <f>+'03-DIRECCIONAMIENTO TIC'!AE18</f>
        <v>0</v>
      </c>
      <c r="S50" s="373">
        <f>+'03-DIRECCIONAMIENTO TIC'!AL18</f>
        <v>0.13</v>
      </c>
      <c r="T50" s="373">
        <f>+'03-DIRECCIONAMIENTO TIC'!AM18</f>
        <v>0</v>
      </c>
      <c r="U50" s="373">
        <f>+'03-DIRECCIONAMIENTO TIC'!AT18</f>
        <v>7.0000000000000007E-2</v>
      </c>
      <c r="V50" s="373">
        <f>+'03-DIRECCIONAMIENTO TIC'!AU18</f>
        <v>0</v>
      </c>
      <c r="W50" s="373">
        <f>+'03-DIRECCIONAMIENTO TIC'!AV18</f>
        <v>0.4</v>
      </c>
      <c r="X50" s="374">
        <f t="shared" si="7"/>
        <v>7.0000000000000007E-2</v>
      </c>
      <c r="Y50" s="678">
        <f t="shared" si="13"/>
        <v>0.17500000000000002</v>
      </c>
      <c r="Z50" s="373">
        <f t="shared" si="14"/>
        <v>7.0000000000000007E-2</v>
      </c>
      <c r="AA50" s="373">
        <f t="shared" si="15"/>
        <v>9.8000000000000014E-3</v>
      </c>
      <c r="AB50" s="1187"/>
      <c r="AD50" s="359">
        <f>+'03-DIRECCIONAMIENTO TIC'!BD18</f>
        <v>0.17500000000000002</v>
      </c>
      <c r="AE50" s="361">
        <f t="shared" si="16"/>
        <v>0</v>
      </c>
      <c r="AG50" s="359">
        <f>+'03-DIRECCIONAMIENTO TIC'!BH18</f>
        <v>7.0000000000000007E-2</v>
      </c>
      <c r="AH50" s="361">
        <f t="shared" si="17"/>
        <v>0</v>
      </c>
    </row>
    <row r="51" spans="2:35" ht="82.5" customHeight="1">
      <c r="B51" s="1505"/>
      <c r="C51" s="1480"/>
      <c r="D51" s="151" t="str">
        <f>+'01-FR-03 POA INSTITUCIONAL'!D51</f>
        <v>4.1.4 Implementar en un 100% los lineamientos que adopte la Entidad para mejorar la gestión de datos que facilite la toma de decisiones</v>
      </c>
      <c r="E51" s="164">
        <f>+'01-FR-03 POA INSTITUCIONAL'!E51</f>
        <v>0.14000000000000001</v>
      </c>
      <c r="F51" s="165">
        <f>+'01-FR-03 POA INSTITUCIONAL'!F51</f>
        <v>1</v>
      </c>
      <c r="G51" s="154" t="str">
        <f>+'01-FR-03 POA INSTITUCIONAL'!G51</f>
        <v>S.I.</v>
      </c>
      <c r="H51" s="166" t="str">
        <f>+'01-FR-03 POA INSTITUCIONAL'!H51</f>
        <v>Porcentaje de lineamientos adoptados  en la estrategia de gestión de datos</v>
      </c>
      <c r="I51" s="151" t="str">
        <f>+'01-FR-03 POA INSTITUCIONAL'!I51</f>
        <v>Direccionamiento TIC</v>
      </c>
      <c r="J51" s="167" t="str">
        <f>+'01-FR-03 POA INSTITUCIONAL'!J51</f>
        <v>Dirección de Tecnologías de la  Información y las Comunicaciones</v>
      </c>
      <c r="K51" s="168">
        <f>+'01-FR-03 POA INSTITUCIONAL'!K51</f>
        <v>0.3</v>
      </c>
      <c r="L51" s="168">
        <f>+'01-FR-03 POA INSTITUCIONAL'!L51</f>
        <v>0.4</v>
      </c>
      <c r="M51" s="168">
        <f>+'01-FR-03 POA INSTITUCIONAL'!M51</f>
        <v>0.25</v>
      </c>
      <c r="N51" s="168">
        <f>+'01-FR-03 POA INSTITUCIONAL'!N51</f>
        <v>0.05</v>
      </c>
      <c r="O51" s="373">
        <f>+'03-DIRECCIONAMIENTO TIC'!V19</f>
        <v>7.0000000000000007E-2</v>
      </c>
      <c r="P51" s="373">
        <f>+'03-DIRECCIONAMIENTO TIC'!W19</f>
        <v>7.0000000000000007E-2</v>
      </c>
      <c r="Q51" s="373">
        <f>+'03-DIRECCIONAMIENTO TIC'!AD19</f>
        <v>0.13</v>
      </c>
      <c r="R51" s="373">
        <f>+'03-DIRECCIONAMIENTO TIC'!AE19</f>
        <v>0</v>
      </c>
      <c r="S51" s="373">
        <f>+'03-DIRECCIONAMIENTO TIC'!AL19</f>
        <v>0.13</v>
      </c>
      <c r="T51" s="373">
        <f>+'03-DIRECCIONAMIENTO TIC'!AM19</f>
        <v>0</v>
      </c>
      <c r="U51" s="373">
        <f>+'03-DIRECCIONAMIENTO TIC'!AT19</f>
        <v>7.0000000000000007E-2</v>
      </c>
      <c r="V51" s="373">
        <f>+'03-DIRECCIONAMIENTO TIC'!AU19</f>
        <v>0</v>
      </c>
      <c r="W51" s="373">
        <f>+'03-DIRECCIONAMIENTO TIC'!AV19</f>
        <v>0.4</v>
      </c>
      <c r="X51" s="374">
        <f t="shared" si="7"/>
        <v>7.0000000000000007E-2</v>
      </c>
      <c r="Y51" s="678">
        <f t="shared" si="13"/>
        <v>0.17500000000000002</v>
      </c>
      <c r="Z51" s="373">
        <f t="shared" si="14"/>
        <v>7.0000000000000007E-2</v>
      </c>
      <c r="AA51" s="373">
        <f t="shared" si="15"/>
        <v>9.8000000000000014E-3</v>
      </c>
      <c r="AB51" s="1187"/>
      <c r="AD51" s="359">
        <f>+'03-DIRECCIONAMIENTO TIC'!BD19</f>
        <v>0.17500000000000002</v>
      </c>
      <c r="AE51" s="361">
        <f t="shared" si="16"/>
        <v>0</v>
      </c>
      <c r="AG51" s="359">
        <f>+'03-DIRECCIONAMIENTO TIC'!BH19</f>
        <v>7.0000000000000007E-2</v>
      </c>
      <c r="AH51" s="361">
        <f t="shared" si="17"/>
        <v>0</v>
      </c>
    </row>
    <row r="52" spans="2:35" ht="94.5" customHeight="1">
      <c r="B52" s="1505"/>
      <c r="C52" s="1480"/>
      <c r="D52" s="151" t="str">
        <f>+'01-FR-03 POA INSTITUCIONAL'!D52</f>
        <v>4.1.5 Desarrollar el 100% de los requerimientos prioritarios a Sistemas de Información y de apoyo que garanticen el óptimo desempeño de la gestión de los procesos en la Entidad</v>
      </c>
      <c r="E52" s="164">
        <f>+'01-FR-03 POA INSTITUCIONAL'!E52</f>
        <v>0.14000000000000001</v>
      </c>
      <c r="F52" s="165">
        <f>+'01-FR-03 POA INSTITUCIONAL'!F52</f>
        <v>1</v>
      </c>
      <c r="G52" s="154" t="str">
        <f>+'01-FR-03 POA INSTITUCIONAL'!G52</f>
        <v>S.I.</v>
      </c>
      <c r="H52" s="166" t="str">
        <f>+'01-FR-03 POA INSTITUCIONAL'!H52</f>
        <v>Cantidad de requerimientos prioritarios desarrollados para los sistemas información</v>
      </c>
      <c r="I52" s="151" t="str">
        <f>+'01-FR-03 POA INSTITUCIONAL'!I52</f>
        <v>Direccionamiento TIC</v>
      </c>
      <c r="J52" s="167" t="str">
        <f>+'01-FR-03 POA INSTITUCIONAL'!J52</f>
        <v>Dirección de Tecnologías de la  Información y las Comunicaciones</v>
      </c>
      <c r="K52" s="168">
        <f>+'01-FR-03 POA INSTITUCIONAL'!K52</f>
        <v>0.3</v>
      </c>
      <c r="L52" s="168">
        <f>+'01-FR-03 POA INSTITUCIONAL'!L52</f>
        <v>0.4</v>
      </c>
      <c r="M52" s="168">
        <f>+'01-FR-03 POA INSTITUCIONAL'!M52</f>
        <v>0.25</v>
      </c>
      <c r="N52" s="168">
        <f>+'01-FR-03 POA INSTITUCIONAL'!N52</f>
        <v>0.05</v>
      </c>
      <c r="O52" s="373">
        <f>+'03-DIRECCIONAMIENTO TIC'!V20</f>
        <v>7.0000000000000007E-2</v>
      </c>
      <c r="P52" s="373">
        <f>+'03-DIRECCIONAMIENTO TIC'!W20</f>
        <v>7.0000000000000007E-2</v>
      </c>
      <c r="Q52" s="373">
        <f>+'03-DIRECCIONAMIENTO TIC'!AD20</f>
        <v>0.13</v>
      </c>
      <c r="R52" s="373">
        <f>+'03-DIRECCIONAMIENTO TIC'!AE20</f>
        <v>0</v>
      </c>
      <c r="S52" s="373">
        <f>+'03-DIRECCIONAMIENTO TIC'!AL20</f>
        <v>0.13</v>
      </c>
      <c r="T52" s="373">
        <f>+'03-DIRECCIONAMIENTO TIC'!AM20</f>
        <v>0</v>
      </c>
      <c r="U52" s="373">
        <f>+'03-DIRECCIONAMIENTO TIC'!AT20</f>
        <v>7.0000000000000007E-2</v>
      </c>
      <c r="V52" s="373">
        <f>+'03-DIRECCIONAMIENTO TIC'!AU20</f>
        <v>0</v>
      </c>
      <c r="W52" s="373">
        <f>+'03-DIRECCIONAMIENTO TIC'!AV20</f>
        <v>0.4</v>
      </c>
      <c r="X52" s="374">
        <f t="shared" si="7"/>
        <v>7.0000000000000007E-2</v>
      </c>
      <c r="Y52" s="678">
        <f t="shared" si="13"/>
        <v>0.17500000000000002</v>
      </c>
      <c r="Z52" s="373">
        <f t="shared" si="14"/>
        <v>7.0000000000000007E-2</v>
      </c>
      <c r="AA52" s="373">
        <f t="shared" si="15"/>
        <v>9.8000000000000014E-3</v>
      </c>
      <c r="AB52" s="1187"/>
      <c r="AD52" s="359">
        <f>+'03-DIRECCIONAMIENTO TIC'!BD20</f>
        <v>0.17500000000000002</v>
      </c>
      <c r="AE52" s="361">
        <f t="shared" ref="AE52:AE55" si="18">Y52-AD52</f>
        <v>0</v>
      </c>
      <c r="AG52" s="359">
        <f>+'03-DIRECCIONAMIENTO TIC'!BH20</f>
        <v>7.0000000000000007E-2</v>
      </c>
      <c r="AH52" s="361">
        <f t="shared" ref="AH52:AH55" si="19">+Z52-AG52</f>
        <v>0</v>
      </c>
    </row>
    <row r="53" spans="2:35" ht="71.25" customHeight="1">
      <c r="B53" s="1505"/>
      <c r="C53" s="1480"/>
      <c r="D53" s="151" t="str">
        <f>+'01-FR-03 POA INSTITUCIONAL'!D53</f>
        <v>4.1.6 Implementar en un 100% las actividades programadas en el plan de uso y apropiación de las TIC, para una óptima gestión institucional</v>
      </c>
      <c r="E53" s="164">
        <f>+'01-FR-03 POA INSTITUCIONAL'!E53</f>
        <v>0.15</v>
      </c>
      <c r="F53" s="165">
        <f>+'01-FR-03 POA INSTITUCIONAL'!F53</f>
        <v>1</v>
      </c>
      <c r="G53" s="154" t="str">
        <f>+'01-FR-03 POA INSTITUCIONAL'!G53</f>
        <v>S.I.</v>
      </c>
      <c r="H53" s="166" t="str">
        <f>+'01-FR-03 POA INSTITUCIONAL'!H53</f>
        <v>Porcentaje de actividades ejecutadas del plan de uso y apropiación</v>
      </c>
      <c r="I53" s="151" t="str">
        <f>+'01-FR-03 POA INSTITUCIONAL'!I53</f>
        <v>Direccionamiento TIC</v>
      </c>
      <c r="J53" s="167" t="str">
        <f>+'01-FR-03 POA INSTITUCIONAL'!J53</f>
        <v>Dirección de Tecnologías de la  Información y las Comunicaciones</v>
      </c>
      <c r="K53" s="168">
        <f>+'01-FR-03 POA INSTITUCIONAL'!K53</f>
        <v>0.3</v>
      </c>
      <c r="L53" s="168">
        <f>+'01-FR-03 POA INSTITUCIONAL'!L53</f>
        <v>0.4</v>
      </c>
      <c r="M53" s="168">
        <f>+'01-FR-03 POA INSTITUCIONAL'!M53</f>
        <v>0.25</v>
      </c>
      <c r="N53" s="168">
        <f>+'01-FR-03 POA INSTITUCIONAL'!N53</f>
        <v>0.05</v>
      </c>
      <c r="O53" s="373">
        <f>+'03-DIRECCIONAMIENTO TIC'!V21</f>
        <v>7.0000000000000007E-2</v>
      </c>
      <c r="P53" s="373">
        <f>+'03-DIRECCIONAMIENTO TIC'!W21</f>
        <v>7.0000000000000007E-2</v>
      </c>
      <c r="Q53" s="373">
        <f>+'03-DIRECCIONAMIENTO TIC'!AD21</f>
        <v>0.13</v>
      </c>
      <c r="R53" s="373">
        <f>+'03-DIRECCIONAMIENTO TIC'!AE21</f>
        <v>0</v>
      </c>
      <c r="S53" s="373">
        <f>+'03-DIRECCIONAMIENTO TIC'!AL21</f>
        <v>0.13</v>
      </c>
      <c r="T53" s="373">
        <f>+'03-DIRECCIONAMIENTO TIC'!AM21</f>
        <v>0</v>
      </c>
      <c r="U53" s="373">
        <f>+'03-DIRECCIONAMIENTO TIC'!AT21</f>
        <v>7.0000000000000007E-2</v>
      </c>
      <c r="V53" s="373">
        <f>+'03-DIRECCIONAMIENTO TIC'!AU21</f>
        <v>0</v>
      </c>
      <c r="W53" s="373">
        <f>+'03-DIRECCIONAMIENTO TIC'!AV21</f>
        <v>0.4</v>
      </c>
      <c r="X53" s="374">
        <f t="shared" si="7"/>
        <v>7.0000000000000007E-2</v>
      </c>
      <c r="Y53" s="678">
        <f t="shared" si="13"/>
        <v>0.17500000000000002</v>
      </c>
      <c r="Z53" s="373">
        <f t="shared" si="14"/>
        <v>7.0000000000000007E-2</v>
      </c>
      <c r="AA53" s="373">
        <f t="shared" si="15"/>
        <v>1.0500000000000001E-2</v>
      </c>
      <c r="AB53" s="1187"/>
      <c r="AD53" s="359">
        <f>+'03-DIRECCIONAMIENTO TIC'!BD21</f>
        <v>0.17500000000000002</v>
      </c>
      <c r="AE53" s="361">
        <f t="shared" si="18"/>
        <v>0</v>
      </c>
      <c r="AG53" s="359">
        <f>+'03-DIRECCIONAMIENTO TIC'!BH21</f>
        <v>7.0000000000000007E-2</v>
      </c>
      <c r="AH53" s="361">
        <f t="shared" si="19"/>
        <v>0</v>
      </c>
    </row>
    <row r="54" spans="2:35" ht="87.75" customHeight="1">
      <c r="B54" s="1505"/>
      <c r="C54" s="1481"/>
      <c r="D54" s="151" t="str">
        <f>+'01-FR-03 POA INSTITUCIONAL'!D54</f>
        <v>4.1.7 Optimizar la infraestructura tecnológica cumpliendo el 100% de las actividades de la hoja de ruta proyectada para garantizar la prestación continua de los servicios en la Entidad</v>
      </c>
      <c r="E54" s="164">
        <f>+'01-FR-03 POA INSTITUCIONAL'!E54</f>
        <v>0.15</v>
      </c>
      <c r="F54" s="165">
        <f>+'01-FR-03 POA INSTITUCIONAL'!F54</f>
        <v>1</v>
      </c>
      <c r="G54" s="154" t="str">
        <f>+'01-FR-03 POA INSTITUCIONAL'!G54</f>
        <v>S.I</v>
      </c>
      <c r="H54" s="166" t="str">
        <f>+'01-FR-03 POA INSTITUCIONAL'!H54</f>
        <v>Porcentaje de actividades ejecutadas de la hoja de ruta de optimización tecnológica</v>
      </c>
      <c r="I54" s="151" t="str">
        <f>+'01-FR-03 POA INSTITUCIONAL'!I54</f>
        <v>Direccionamiento TIC</v>
      </c>
      <c r="J54" s="167" t="str">
        <f>+'01-FR-03 POA INSTITUCIONAL'!J54</f>
        <v>Dirección de Tecnologías de la  Información y las Comunicaciones</v>
      </c>
      <c r="K54" s="168">
        <f>+'01-FR-03 POA INSTITUCIONAL'!K54</f>
        <v>0.3</v>
      </c>
      <c r="L54" s="168">
        <f>+'01-FR-03 POA INSTITUCIONAL'!L54</f>
        <v>0.4</v>
      </c>
      <c r="M54" s="168">
        <f>+'01-FR-03 POA INSTITUCIONAL'!M54</f>
        <v>0.25</v>
      </c>
      <c r="N54" s="168">
        <f>+'01-FR-03 POA INSTITUCIONAL'!N54</f>
        <v>0.05</v>
      </c>
      <c r="O54" s="373">
        <f>+'03-DIRECCIONAMIENTO TIC'!V22</f>
        <v>7.0000000000000007E-2</v>
      </c>
      <c r="P54" s="373">
        <f>+'03-DIRECCIONAMIENTO TIC'!W22</f>
        <v>7.0000000000000007E-2</v>
      </c>
      <c r="Q54" s="373">
        <f>+'03-DIRECCIONAMIENTO TIC'!AD22</f>
        <v>0.13</v>
      </c>
      <c r="R54" s="373">
        <f>+'03-DIRECCIONAMIENTO TIC'!AE22</f>
        <v>0</v>
      </c>
      <c r="S54" s="373">
        <f>+'03-DIRECCIONAMIENTO TIC'!AL22</f>
        <v>0.13</v>
      </c>
      <c r="T54" s="373">
        <f>+'03-DIRECCIONAMIENTO TIC'!AM22</f>
        <v>0</v>
      </c>
      <c r="U54" s="373">
        <f>+'03-DIRECCIONAMIENTO TIC'!AT22</f>
        <v>7.0000000000000007E-2</v>
      </c>
      <c r="V54" s="373">
        <f>+'03-DIRECCIONAMIENTO TIC'!AU22</f>
        <v>0</v>
      </c>
      <c r="W54" s="373">
        <f>+'03-DIRECCIONAMIENTO TIC'!AV22</f>
        <v>0.4</v>
      </c>
      <c r="X54" s="374">
        <f t="shared" si="7"/>
        <v>7.0000000000000007E-2</v>
      </c>
      <c r="Y54" s="678">
        <f t="shared" si="13"/>
        <v>0.17500000000000002</v>
      </c>
      <c r="Z54" s="373">
        <f t="shared" si="14"/>
        <v>7.0000000000000007E-2</v>
      </c>
      <c r="AA54" s="373">
        <f t="shared" si="15"/>
        <v>1.0500000000000001E-2</v>
      </c>
      <c r="AB54" s="1534"/>
      <c r="AD54" s="359">
        <f>+'03-DIRECCIONAMIENTO TIC'!BD22</f>
        <v>0.17500000000000002</v>
      </c>
      <c r="AE54" s="361">
        <f t="shared" si="18"/>
        <v>0</v>
      </c>
      <c r="AG54" s="359">
        <f>+'03-DIRECCIONAMIENTO TIC'!BH22</f>
        <v>7.0000000000000007E-2</v>
      </c>
      <c r="AH54" s="361">
        <f t="shared" si="19"/>
        <v>0</v>
      </c>
    </row>
    <row r="55" spans="2:35" ht="105" customHeight="1">
      <c r="B55" s="1505"/>
      <c r="C55" s="1482" t="s">
        <v>143</v>
      </c>
      <c r="D55" s="31" t="str">
        <f>+'01-FR-03 POA INSTITUCIONAL'!D55</f>
        <v>4.2.1 Formular e implementar el 100% de las acciones para la Sostenibilidad y mejora del Sistema de Gestión de la Calidad 
-SGC- (Meta Transversal)</v>
      </c>
      <c r="E55" s="52">
        <f>+'01-FR-03 POA INSTITUCIONAL'!E55</f>
        <v>0.2</v>
      </c>
      <c r="F55" s="32">
        <f>+'01-FR-03 POA INSTITUCIONAL'!F55</f>
        <v>1</v>
      </c>
      <c r="G55" s="174">
        <f>+'01-FR-03 POA INSTITUCIONAL'!G55</f>
        <v>1</v>
      </c>
      <c r="H55" s="141" t="str">
        <f>+'01-FR-03 POA INSTITUCIONAL'!H55</f>
        <v xml:space="preserve">Porcentaje de acciones implementadas para la sostenibilidad y mejora del SGC </v>
      </c>
      <c r="I55" s="142" t="str">
        <f>+'01-FR-03 POA INSTITUCIONAL'!I55</f>
        <v>Direccionamiento Estratégico</v>
      </c>
      <c r="J55" s="143" t="str">
        <f>+'01-FR-03 POA INSTITUCIONAL'!J55</f>
        <v>Dirección de Planeación
Aportan: Dependencias lideradas por  Responsables de procesos y operativos de todos los procesos institucionales</v>
      </c>
      <c r="K55" s="145">
        <f>+'01-FR-03 POA INSTITUCIONAL'!K55</f>
        <v>1</v>
      </c>
      <c r="L55" s="145">
        <f>+'01-FR-03 POA INSTITUCIONAL'!L55</f>
        <v>1</v>
      </c>
      <c r="M55" s="145">
        <f>+'01-FR-03 POA INSTITUCIONAL'!M55</f>
        <v>1</v>
      </c>
      <c r="N55" s="145">
        <f>+'01-FR-03 POA INSTITUCIONAL'!N55</f>
        <v>1</v>
      </c>
      <c r="O55" s="377">
        <f>+'01-DIRECCIONAMIENTO ESTRATÉGICO'!V16</f>
        <v>0.24000000000000002</v>
      </c>
      <c r="P55" s="621">
        <f>+'01-DIRECCIONAMIENTO ESTRATÉGICO'!W16</f>
        <v>0.24000000000000002</v>
      </c>
      <c r="Q55" s="377">
        <f>+'01-DIRECCIONAMIENTO ESTRATÉGICO'!AD16</f>
        <v>0.27</v>
      </c>
      <c r="R55" s="621">
        <f>+'01-DIRECCIONAMIENTO ESTRATÉGICO'!AE16</f>
        <v>0</v>
      </c>
      <c r="S55" s="377">
        <f>+'01-DIRECCIONAMIENTO ESTRATÉGICO'!AL16</f>
        <v>0.27</v>
      </c>
      <c r="T55" s="377">
        <f>+'01-DIRECCIONAMIENTO ESTRATÉGICO'!AM16</f>
        <v>0</v>
      </c>
      <c r="U55" s="377">
        <f>+'01-DIRECCIONAMIENTO ESTRATÉGICO'!AT16</f>
        <v>0.22</v>
      </c>
      <c r="V55" s="943">
        <f>+'01-DIRECCIONAMIENTO ESTRATÉGICO'!AU16</f>
        <v>0</v>
      </c>
      <c r="W55" s="377">
        <f>+'01-DIRECCIONAMIENTO ESTRATÉGICO'!AV16</f>
        <v>1</v>
      </c>
      <c r="X55" s="396">
        <f t="shared" si="7"/>
        <v>0.24000000000000002</v>
      </c>
      <c r="Y55" s="675">
        <f t="shared" si="13"/>
        <v>0.24000000000000002</v>
      </c>
      <c r="Z55" s="356">
        <f>(IF(AND(X55&gt;0,$F55&gt;0),X55/$F55,0)/4)</f>
        <v>6.0000000000000005E-2</v>
      </c>
      <c r="AA55" s="362">
        <f t="shared" si="15"/>
        <v>1.2000000000000002E-2</v>
      </c>
      <c r="AB55" s="1246">
        <f>SUM(AA55:AA60)</f>
        <v>0.13373968253968255</v>
      </c>
      <c r="AD55" s="359">
        <f>+'01-DIRECCIONAMIENTO ESTRATÉGICO'!BD16</f>
        <v>0.24000000000000002</v>
      </c>
      <c r="AE55" s="361">
        <f t="shared" si="18"/>
        <v>0</v>
      </c>
      <c r="AG55" s="359">
        <f>+'01-DIRECCIONAMIENTO ESTRATÉGICO'!BH16</f>
        <v>6.0000000000000005E-2</v>
      </c>
      <c r="AH55" s="361">
        <f t="shared" si="19"/>
        <v>0</v>
      </c>
    </row>
    <row r="56" spans="2:35" ht="96" customHeight="1">
      <c r="B56" s="1505"/>
      <c r="C56" s="1489"/>
      <c r="D56" s="31" t="str">
        <f>+'01-FR-03 POA INSTITUCIONAL'!D56</f>
        <v>4.2.2 Implementar el 40% de las actividades requeridas para la sostenibilidad y mejora del MIPG, de acuerdo con la metodología establecida por la Función Pública. (Meta Transversal)</v>
      </c>
      <c r="E56" s="52">
        <f>+'01-FR-03 POA INSTITUCIONAL'!E56</f>
        <v>0.2</v>
      </c>
      <c r="F56" s="32">
        <f>+'01-FR-03 POA INSTITUCIONAL'!F56</f>
        <v>0.4</v>
      </c>
      <c r="G56" s="174">
        <f>+'01-FR-03 POA INSTITUCIONAL'!G56</f>
        <v>0.6</v>
      </c>
      <c r="H56" s="141" t="str">
        <f>+'01-FR-03 POA INSTITUCIONAL'!H56</f>
        <v>Porcentaje de actividades implementadas para la sostenibilidad  y mejora del MIPG</v>
      </c>
      <c r="I56" s="142" t="str">
        <f>+'01-FR-03 POA INSTITUCIONAL'!I56</f>
        <v>Direccionamiento Estratégico</v>
      </c>
      <c r="J56" s="143" t="str">
        <f>+'01-FR-03 POA INSTITUCIONAL'!J56</f>
        <v>Dirección de Planeación
Aportan: Dependencias lideradas por  Responsables de procesos y operativos de todos los procesos institucionales</v>
      </c>
      <c r="K56" s="145">
        <f>+'01-FR-03 POA INSTITUCIONAL'!K56</f>
        <v>0.22</v>
      </c>
      <c r="L56" s="145">
        <f>+'01-FR-03 POA INSTITUCIONAL'!L56</f>
        <v>0.14000000000000001</v>
      </c>
      <c r="M56" s="145">
        <f>+'01-FR-03 POA INSTITUCIONAL'!M56</f>
        <v>0.02</v>
      </c>
      <c r="N56" s="145">
        <f>+'01-FR-03 POA INSTITUCIONAL'!N56</f>
        <v>0.02</v>
      </c>
      <c r="O56" s="377">
        <f>+'01-DIRECCIONAMIENTO ESTRATÉGICO'!V17</f>
        <v>5.1000000000000004E-2</v>
      </c>
      <c r="P56" s="377">
        <f>+'01-DIRECCIONAMIENTO ESTRATÉGICO'!W17</f>
        <v>5.1000000000000004E-2</v>
      </c>
      <c r="Q56" s="377">
        <f>+'01-DIRECCIONAMIENTO ESTRATÉGICO'!AD17</f>
        <v>3.5999999999999997E-2</v>
      </c>
      <c r="R56" s="377">
        <f>+'01-DIRECCIONAMIENTO ESTRATÉGICO'!AE17</f>
        <v>0</v>
      </c>
      <c r="S56" s="377">
        <f>+'01-DIRECCIONAMIENTO ESTRATÉGICO'!AL17</f>
        <v>2.7E-2</v>
      </c>
      <c r="T56" s="377">
        <f>+'01-DIRECCIONAMIENTO ESTRATÉGICO'!AM17</f>
        <v>0</v>
      </c>
      <c r="U56" s="377">
        <f>+'01-DIRECCIONAMIENTO ESTRATÉGICO'!AT17</f>
        <v>2.6000000000000002E-2</v>
      </c>
      <c r="V56" s="377">
        <f>+'01-DIRECCIONAMIENTO ESTRATÉGICO'!AU17</f>
        <v>0</v>
      </c>
      <c r="W56" s="377">
        <f>+'01-DIRECCIONAMIENTO ESTRATÉGICO'!AV17</f>
        <v>0.13999999999999999</v>
      </c>
      <c r="X56" s="378">
        <f t="shared" si="7"/>
        <v>5.1000000000000004E-2</v>
      </c>
      <c r="Y56" s="676">
        <f t="shared" si="13"/>
        <v>0.36428571428571432</v>
      </c>
      <c r="Z56" s="356">
        <f t="shared" si="14"/>
        <v>0.1275</v>
      </c>
      <c r="AA56" s="362">
        <f t="shared" si="15"/>
        <v>2.5500000000000002E-2</v>
      </c>
      <c r="AB56" s="1535"/>
      <c r="AD56" s="359">
        <f>+'01-DIRECCIONAMIENTO ESTRATÉGICO'!BD17</f>
        <v>0.36428571428571432</v>
      </c>
      <c r="AE56" s="361">
        <f t="shared" ref="AE56:AE61" si="20">Y56-AD56</f>
        <v>0</v>
      </c>
      <c r="AG56" s="359">
        <f>+'01-DIRECCIONAMIENTO ESTRATÉGICO'!BH17</f>
        <v>0.1275</v>
      </c>
      <c r="AH56" s="361">
        <f t="shared" ref="AH56:AH61" si="21">+Z56-AG56</f>
        <v>0</v>
      </c>
    </row>
    <row r="57" spans="2:35" ht="74.25" customHeight="1">
      <c r="B57" s="1505"/>
      <c r="C57" s="1489"/>
      <c r="D57" s="31" t="str">
        <f>+'01-FR-03 POA INSTITUCIONAL'!D57</f>
        <v>4.2.3 Implementar el 100% de los requisitos del Sistema de Gestión Ambiental –SGA-, bajo los estándares de la norma ISO 14001</v>
      </c>
      <c r="E57" s="52">
        <f>+'01-FR-03 POA INSTITUCIONAL'!E57</f>
        <v>0.15</v>
      </c>
      <c r="F57" s="32">
        <f>+'01-FR-03 POA INSTITUCIONAL'!F57</f>
        <v>1</v>
      </c>
      <c r="G57" s="174" t="str">
        <f>+'01-FR-03 POA INSTITUCIONAL'!G57</f>
        <v>S.I.</v>
      </c>
      <c r="H57" s="141" t="str">
        <f>+'01-FR-03 POA INSTITUCIONAL'!H57</f>
        <v xml:space="preserve">Porcentaje de requisitos del  SGA implementados bajo los estándares de la norma ISO 14001 </v>
      </c>
      <c r="I57" s="142" t="str">
        <f>+'01-FR-03 POA INSTITUCIONAL'!I57</f>
        <v>Direccionamiento Estratégico</v>
      </c>
      <c r="J57" s="143" t="str">
        <f>+'01-FR-03 POA INSTITUCIONAL'!J57</f>
        <v>Dirección de Planeación</v>
      </c>
      <c r="K57" s="145">
        <f>+'01-FR-03 POA INSTITUCIONAL'!K57</f>
        <v>0.38</v>
      </c>
      <c r="L57" s="145">
        <f>+'01-FR-03 POA INSTITUCIONAL'!L57</f>
        <v>0.33</v>
      </c>
      <c r="M57" s="145">
        <f>+'01-FR-03 POA INSTITUCIONAL'!M57</f>
        <v>0.28999999999999998</v>
      </c>
      <c r="N57" s="145">
        <f>+'01-FR-03 POA INSTITUCIONAL'!N57</f>
        <v>0</v>
      </c>
      <c r="O57" s="377">
        <f>+'01-DIRECCIONAMIENTO ESTRATÉGICO'!V18</f>
        <v>8.7999999999999995E-2</v>
      </c>
      <c r="P57" s="377">
        <f>+'01-DIRECCIONAMIENTO ESTRATÉGICO'!W18</f>
        <v>8.7999999999999995E-2</v>
      </c>
      <c r="Q57" s="377">
        <f>+'01-DIRECCIONAMIENTO ESTRATÉGICO'!AD18</f>
        <v>8.7999999999999995E-2</v>
      </c>
      <c r="R57" s="377">
        <f>+'01-DIRECCIONAMIENTO ESTRATÉGICO'!AE18</f>
        <v>0</v>
      </c>
      <c r="S57" s="377">
        <f>+'01-DIRECCIONAMIENTO ESTRATÉGICO'!AL18</f>
        <v>8.7999999999999995E-2</v>
      </c>
      <c r="T57" s="377">
        <f>+'01-DIRECCIONAMIENTO ESTRATÉGICO'!AM18</f>
        <v>0</v>
      </c>
      <c r="U57" s="377">
        <f>+'01-DIRECCIONAMIENTO ESTRATÉGICO'!AT18</f>
        <v>6.6000000000000003E-2</v>
      </c>
      <c r="V57" s="377">
        <f>+'01-DIRECCIONAMIENTO ESTRATÉGICO'!AU18</f>
        <v>0</v>
      </c>
      <c r="W57" s="377">
        <f>+'01-DIRECCIONAMIENTO ESTRATÉGICO'!AV18</f>
        <v>0.33</v>
      </c>
      <c r="X57" s="378">
        <f t="shared" si="7"/>
        <v>8.7999999999999995E-2</v>
      </c>
      <c r="Y57" s="676">
        <f t="shared" si="13"/>
        <v>0.26666666666666666</v>
      </c>
      <c r="Z57" s="356">
        <f t="shared" si="14"/>
        <v>8.7999999999999995E-2</v>
      </c>
      <c r="AA57" s="362">
        <f t="shared" si="15"/>
        <v>1.3199999999999998E-2</v>
      </c>
      <c r="AB57" s="1535"/>
      <c r="AD57" s="359">
        <f>+'01-DIRECCIONAMIENTO ESTRATÉGICO'!BD18</f>
        <v>0.26666666666666666</v>
      </c>
      <c r="AE57" s="361">
        <f t="shared" si="20"/>
        <v>0</v>
      </c>
      <c r="AG57" s="359">
        <f>+'01-DIRECCIONAMIENTO ESTRATÉGICO'!BH18</f>
        <v>8.7999999999999995E-2</v>
      </c>
      <c r="AH57" s="361">
        <f t="shared" si="21"/>
        <v>0</v>
      </c>
    </row>
    <row r="58" spans="2:35" ht="63" customHeight="1">
      <c r="B58" s="1505"/>
      <c r="C58" s="1489"/>
      <c r="D58" s="31" t="str">
        <f>+'01-FR-03 POA INSTITUCIONAL'!D58</f>
        <v>4.2.4 Realizar 12 acciones de monitoreo y revisión  al Plan Anticorrupción y de Atención al Ciudadano -PAAC- de la vigencia.</v>
      </c>
      <c r="E58" s="52">
        <f>+'01-FR-03 POA INSTITUCIONAL'!E58</f>
        <v>0.1</v>
      </c>
      <c r="F58" s="139">
        <f>+'01-FR-03 POA INSTITUCIONAL'!F58</f>
        <v>12</v>
      </c>
      <c r="G58" s="585" t="str">
        <f>+'01-FR-03 POA INSTITUCIONAL'!G58</f>
        <v>3 
(En el último año)</v>
      </c>
      <c r="H58" s="141" t="str">
        <f>+'01-FR-03 POA INSTITUCIONAL'!H58</f>
        <v>Acciones de monitoreo y revisión realizadas al PAAC</v>
      </c>
      <c r="I58" s="142" t="str">
        <f>+'01-FR-03 POA INSTITUCIONAL'!I58</f>
        <v>Direccionamiento Estratégico</v>
      </c>
      <c r="J58" s="143" t="str">
        <f>+'01-FR-03 POA INSTITUCIONAL'!J58</f>
        <v>Dirección de Planeación</v>
      </c>
      <c r="K58" s="144">
        <f>+'01-FR-03 POA INSTITUCIONAL'!K58</f>
        <v>3</v>
      </c>
      <c r="L58" s="144">
        <f>+'01-FR-03 POA INSTITUCIONAL'!L58</f>
        <v>3</v>
      </c>
      <c r="M58" s="144">
        <f>+'01-FR-03 POA INSTITUCIONAL'!M58</f>
        <v>3</v>
      </c>
      <c r="N58" s="144">
        <f>+'01-FR-03 POA INSTITUCIONAL'!N58</f>
        <v>3</v>
      </c>
      <c r="O58" s="173">
        <f>+'01-DIRECCIONAMIENTO ESTRATÉGICO'!V19</f>
        <v>1</v>
      </c>
      <c r="P58" s="173">
        <f>+'01-DIRECCIONAMIENTO ESTRATÉGICO'!W19</f>
        <v>1</v>
      </c>
      <c r="Q58" s="172">
        <f>+'01-DIRECCIONAMIENTO ESTRATÉGICO'!AD19</f>
        <v>1</v>
      </c>
      <c r="R58" s="172">
        <f>+'01-DIRECCIONAMIENTO ESTRATÉGICO'!AE19</f>
        <v>0</v>
      </c>
      <c r="S58" s="172">
        <f>+'01-DIRECCIONAMIENTO ESTRATÉGICO'!AL19</f>
        <v>1</v>
      </c>
      <c r="T58" s="172">
        <f>+'01-DIRECCIONAMIENTO ESTRATÉGICO'!AM19</f>
        <v>0</v>
      </c>
      <c r="U58" s="172">
        <f>+'01-DIRECCIONAMIENTO ESTRATÉGICO'!AT19</f>
        <v>0</v>
      </c>
      <c r="V58" s="172">
        <f>+'01-DIRECCIONAMIENTO ESTRATÉGICO'!AU19</f>
        <v>0</v>
      </c>
      <c r="W58" s="172">
        <f>+'01-DIRECCIONAMIENTO ESTRATÉGICO'!AV19</f>
        <v>3</v>
      </c>
      <c r="X58" s="372">
        <f t="shared" ref="X58:X60" si="22">+P58+R58+T58+V58</f>
        <v>1</v>
      </c>
      <c r="Y58" s="676">
        <f t="shared" si="13"/>
        <v>0.33333333333333331</v>
      </c>
      <c r="Z58" s="356">
        <f t="shared" si="14"/>
        <v>8.3333333333333329E-2</v>
      </c>
      <c r="AA58" s="362">
        <f t="shared" si="15"/>
        <v>8.3333333333333332E-3</v>
      </c>
      <c r="AB58" s="1535"/>
      <c r="AD58" s="359">
        <f>+'01-DIRECCIONAMIENTO ESTRATÉGICO'!BD19</f>
        <v>0.33333333333333331</v>
      </c>
      <c r="AE58" s="361">
        <f t="shared" si="20"/>
        <v>0</v>
      </c>
      <c r="AG58" s="359">
        <f>+'01-DIRECCIONAMIENTO ESTRATÉGICO'!BH19</f>
        <v>8.3333333333333329E-2</v>
      </c>
      <c r="AH58" s="361">
        <f t="shared" si="21"/>
        <v>0</v>
      </c>
    </row>
    <row r="59" spans="2:35" ht="63" customHeight="1">
      <c r="B59" s="1505"/>
      <c r="C59" s="1489"/>
      <c r="D59" s="31" t="str">
        <f>+'01-FR-03 POA INSTITUCIONAL'!D59</f>
        <v>4.2.5 Incrementar al 90% la percepción de los usuarios que califican como excelente y bueno el servicio en la Personería de Bogotá</v>
      </c>
      <c r="E59" s="52">
        <f>+'01-FR-03 POA INSTITUCIONAL'!E59</f>
        <v>0.2</v>
      </c>
      <c r="F59" s="32">
        <f>+'01-FR-03 POA INSTITUCIONAL'!F59</f>
        <v>0.9</v>
      </c>
      <c r="G59" s="174">
        <f>+'01-FR-03 POA INSTITUCIONAL'!G59</f>
        <v>0.86</v>
      </c>
      <c r="H59" s="141" t="str">
        <f>+'01-FR-03 POA INSTITUCIONAL'!H59</f>
        <v>Porcentaje de Percepción de los usuarios en calificación excelente y bueno incrementado</v>
      </c>
      <c r="I59" s="142" t="str">
        <f>+'01-FR-03 POA INSTITUCIONAL'!I59</f>
        <v>Servicio al Usuario</v>
      </c>
      <c r="J59" s="143" t="str">
        <f>+'01-FR-03 POA INSTITUCIONAL'!J59</f>
        <v>Secretaría General</v>
      </c>
      <c r="K59" s="145">
        <f>+'01-FR-03 POA INSTITUCIONAL'!K59</f>
        <v>0.9</v>
      </c>
      <c r="L59" s="145">
        <f>+'01-FR-03 POA INSTITUCIONAL'!L59</f>
        <v>0.9</v>
      </c>
      <c r="M59" s="145">
        <f>+'01-FR-03 POA INSTITUCIONAL'!M59</f>
        <v>0.9</v>
      </c>
      <c r="N59" s="145">
        <f>+'01-FR-03 POA INSTITUCIONAL'!N59</f>
        <v>0.9</v>
      </c>
      <c r="O59" s="399">
        <f>+'14-SERVICIO AL USUARIO'!V16</f>
        <v>0.9</v>
      </c>
      <c r="P59" s="400">
        <f>+'14-SERVICIO AL USUARIO'!W16</f>
        <v>0.95899999999999996</v>
      </c>
      <c r="Q59" s="399">
        <f>+'14-SERVICIO AL USUARIO'!AD16</f>
        <v>0</v>
      </c>
      <c r="R59" s="399">
        <f>+'14-SERVICIO AL USUARIO'!AE16</f>
        <v>0</v>
      </c>
      <c r="S59" s="399">
        <f>+'14-SERVICIO AL USUARIO'!AL16</f>
        <v>0.9</v>
      </c>
      <c r="T59" s="399">
        <f>+'14-SERVICIO AL USUARIO'!AM16</f>
        <v>0</v>
      </c>
      <c r="U59" s="399">
        <f>+'14-SERVICIO AL USUARIO'!AT16</f>
        <v>0</v>
      </c>
      <c r="V59" s="969">
        <f>+'14-SERVICIO AL USUARIO'!AU16</f>
        <v>0</v>
      </c>
      <c r="W59" s="399">
        <f>+'14-SERVICIO AL USUARIO'!AV16</f>
        <v>0.9</v>
      </c>
      <c r="X59" s="385">
        <f>IFERROR(IF(OR($W$59="",$W$59=0),0,ROUNDDOWN(AVERAGE($P59),3)),0)</f>
        <v>0.95899999999999996</v>
      </c>
      <c r="Y59" s="680">
        <f>IF(AND(X59&gt;0,$W59&gt;0),X59/$W59,0)*0.25</f>
        <v>0.2663888888888889</v>
      </c>
      <c r="Z59" s="385">
        <f>(IF(AND(X59&gt;0,$F59&gt;0),X59/$F59,0)/4)</f>
        <v>0.2663888888888889</v>
      </c>
      <c r="AA59" s="401">
        <f t="shared" si="15"/>
        <v>5.3277777777777785E-2</v>
      </c>
      <c r="AB59" s="1535"/>
      <c r="AD59" s="359">
        <f>+'14-SERVICIO AL USUARIO'!BD16</f>
        <v>0</v>
      </c>
      <c r="AE59" s="361">
        <f t="shared" si="20"/>
        <v>0.2663888888888889</v>
      </c>
      <c r="AF59" s="138"/>
      <c r="AG59" s="359">
        <f>+'14-SERVICIO AL USUARIO'!BH16</f>
        <v>0</v>
      </c>
      <c r="AH59" s="361">
        <f t="shared" si="21"/>
        <v>0.2663888888888889</v>
      </c>
    </row>
    <row r="60" spans="2:35" ht="70.5" customHeight="1">
      <c r="B60" s="1505"/>
      <c r="C60" s="1483"/>
      <c r="D60" s="31" t="str">
        <f>+'01-FR-03 POA INSTITUCIONAL'!D60</f>
        <v xml:space="preserve">4.2.6 Implementar 7 lineamientos en compromiso con la calidad para satisfacer las necesidades y expectativas de los (as) usuarios(as) y partes interesadas </v>
      </c>
      <c r="E60" s="52">
        <f>+'01-FR-03 POA INSTITUCIONAL'!E60</f>
        <v>0.15</v>
      </c>
      <c r="F60" s="139">
        <f>+'01-FR-03 POA INSTITUCIONAL'!F60</f>
        <v>7</v>
      </c>
      <c r="G60" s="585">
        <f>+'01-FR-03 POA INSTITUCIONAL'!G60</f>
        <v>3</v>
      </c>
      <c r="H60" s="141" t="str">
        <f>+'01-FR-03 POA INSTITUCIONAL'!H60</f>
        <v>Lineamientos implementados</v>
      </c>
      <c r="I60" s="142" t="str">
        <f>+'01-FR-03 POA INSTITUCIONAL'!I60</f>
        <v>Servicio al Usuario</v>
      </c>
      <c r="J60" s="143" t="str">
        <f>+'01-FR-03 POA INSTITUCIONAL'!J60</f>
        <v>Secretaría General</v>
      </c>
      <c r="K60" s="144">
        <f>+'01-FR-03 POA INSTITUCIONAL'!K60</f>
        <v>2</v>
      </c>
      <c r="L60" s="144">
        <f>+'01-FR-03 POA INSTITUCIONAL'!L60</f>
        <v>3</v>
      </c>
      <c r="M60" s="144">
        <f>+'01-FR-03 POA INSTITUCIONAL'!M60</f>
        <v>1</v>
      </c>
      <c r="N60" s="144">
        <f>+'01-FR-03 POA INSTITUCIONAL'!N60</f>
        <v>1</v>
      </c>
      <c r="O60" s="402">
        <f>+'14-SERVICIO AL USUARIO'!V17</f>
        <v>1</v>
      </c>
      <c r="P60" s="402">
        <f>+'14-SERVICIO AL USUARIO'!W17</f>
        <v>1</v>
      </c>
      <c r="Q60" s="402">
        <f>+'14-SERVICIO AL USUARIO'!AD17</f>
        <v>1</v>
      </c>
      <c r="R60" s="402">
        <f>+'14-SERVICIO AL USUARIO'!AE17</f>
        <v>0</v>
      </c>
      <c r="S60" s="402">
        <f>+'14-SERVICIO AL USUARIO'!AL17</f>
        <v>0</v>
      </c>
      <c r="T60" s="402">
        <f>+'14-SERVICIO AL USUARIO'!AM17</f>
        <v>0</v>
      </c>
      <c r="U60" s="402">
        <f>+'14-SERVICIO AL USUARIO'!AT17</f>
        <v>1</v>
      </c>
      <c r="V60" s="402">
        <f>+'14-SERVICIO AL USUARIO'!AU17</f>
        <v>0</v>
      </c>
      <c r="W60" s="402">
        <f>+'14-SERVICIO AL USUARIO'!AV17</f>
        <v>3</v>
      </c>
      <c r="X60" s="403">
        <f t="shared" si="22"/>
        <v>1</v>
      </c>
      <c r="Y60" s="680">
        <f t="shared" si="13"/>
        <v>0.33333333333333331</v>
      </c>
      <c r="Z60" s="385">
        <f>IF(AND(X60&gt;0,$F60&gt;0),X60/$F60,0)</f>
        <v>0.14285714285714285</v>
      </c>
      <c r="AA60" s="401">
        <f t="shared" si="15"/>
        <v>2.1428571428571425E-2</v>
      </c>
      <c r="AB60" s="1536"/>
      <c r="AD60" s="359">
        <f>+'14-SERVICIO AL USUARIO'!BD17</f>
        <v>0.33333333333333331</v>
      </c>
      <c r="AE60" s="361">
        <f t="shared" si="20"/>
        <v>0</v>
      </c>
      <c r="AF60" s="138"/>
      <c r="AG60" s="359">
        <f>+'14-SERVICIO AL USUARIO'!BH17</f>
        <v>0.14285714285714285</v>
      </c>
      <c r="AH60" s="361">
        <f t="shared" si="21"/>
        <v>0</v>
      </c>
      <c r="AI60" s="941"/>
    </row>
    <row r="61" spans="2:35" ht="60" customHeight="1">
      <c r="B61" s="1505"/>
      <c r="C61" s="1479" t="s">
        <v>144</v>
      </c>
      <c r="D61" s="151" t="str">
        <f>+'01-FR-03 POA INSTITUCIONAL'!D61</f>
        <v xml:space="preserve">4.3.1 Gestionar el 100% de las novedades y situaciones administrativas de los servidores públicos de la Entidad.
</v>
      </c>
      <c r="E61" s="164">
        <f>+'01-FR-03 POA INSTITUCIONAL'!E61</f>
        <v>0.1</v>
      </c>
      <c r="F61" s="165">
        <f>+'01-FR-03 POA INSTITUCIONAL'!F61</f>
        <v>1</v>
      </c>
      <c r="G61" s="154">
        <f>+'01-FR-03 POA INSTITUCIONAL'!G61</f>
        <v>1</v>
      </c>
      <c r="H61" s="166" t="str">
        <f>+'01-FR-03 POA INSTITUCIONAL'!H61</f>
        <v>Porcentaje de novedades y situaciones administrativas gestionadas</v>
      </c>
      <c r="I61" s="151" t="str">
        <f>+'01-FR-03 POA INSTITUCIONAL'!I61</f>
        <v>Gestión del Talento Humano</v>
      </c>
      <c r="J61" s="167" t="str">
        <f>+'01-FR-03 POA INSTITUCIONAL'!J61</f>
        <v xml:space="preserve">
Dirección de Talento Humano
</v>
      </c>
      <c r="K61" s="168">
        <f>+'01-FR-03 POA INSTITUCIONAL'!K61</f>
        <v>1</v>
      </c>
      <c r="L61" s="168">
        <f>+'01-FR-03 POA INSTITUCIONAL'!L61</f>
        <v>1</v>
      </c>
      <c r="M61" s="168">
        <f>+'01-FR-03 POA INSTITUCIONAL'!M61</f>
        <v>1</v>
      </c>
      <c r="N61" s="168">
        <f>+'01-FR-03 POA INSTITUCIONAL'!N61</f>
        <v>1</v>
      </c>
      <c r="O61" s="381">
        <f>+'08-G. DEL TALENTO HUMANO'!V16</f>
        <v>1</v>
      </c>
      <c r="P61" s="381">
        <f>+'08-G. DEL TALENTO HUMANO'!W16</f>
        <v>1</v>
      </c>
      <c r="Q61" s="181">
        <f>+'08-G. DEL TALENTO HUMANO'!AD16</f>
        <v>1</v>
      </c>
      <c r="R61" s="381">
        <f>+'08-G. DEL TALENTO HUMANO'!AE16</f>
        <v>0</v>
      </c>
      <c r="S61" s="181">
        <f>+'08-G. DEL TALENTO HUMANO'!AL16</f>
        <v>1</v>
      </c>
      <c r="T61" s="181">
        <f>'08-G. DEL TALENTO HUMANO'!AM16</f>
        <v>0</v>
      </c>
      <c r="U61" s="181">
        <f>+'08-G. DEL TALENTO HUMANO'!AT16</f>
        <v>1</v>
      </c>
      <c r="V61" s="181">
        <f>+'08-G. DEL TALENTO HUMANO'!AU16</f>
        <v>0</v>
      </c>
      <c r="W61" s="181">
        <f>+'08-G. DEL TALENTO HUMANO'!AV16</f>
        <v>1</v>
      </c>
      <c r="X61" s="367">
        <f>IFERROR(IF(OR($W$61="",$W$61=0),0,ROUNDDOWN(AVERAGE($P61,R61,T61,V61),3)),0)</f>
        <v>0.25</v>
      </c>
      <c r="Y61" s="682">
        <f>IF(AND(X61&gt;0,$W61&gt;0),X61/$W61,0)*0.25</f>
        <v>6.25E-2</v>
      </c>
      <c r="Z61" s="382">
        <f>(IF(AND(X61&gt;0,$F61&gt;0),X61/$F61,0)/4)*1</f>
        <v>6.25E-2</v>
      </c>
      <c r="AA61" s="382">
        <f t="shared" si="15"/>
        <v>6.2500000000000003E-3</v>
      </c>
      <c r="AB61" s="1537">
        <f>SUM(AA61:AA68)</f>
        <v>6.7433403082091725E-2</v>
      </c>
      <c r="AD61" s="359">
        <f>+'08-G. DEL TALENTO HUMANO'!BD16</f>
        <v>0.25</v>
      </c>
      <c r="AE61" s="361">
        <f t="shared" si="20"/>
        <v>-0.1875</v>
      </c>
      <c r="AG61" s="359">
        <f>+'08-G. DEL TALENTO HUMANO'!BH16</f>
        <v>6.25E-2</v>
      </c>
      <c r="AH61" s="361">
        <f t="shared" si="21"/>
        <v>0</v>
      </c>
    </row>
    <row r="62" spans="2:35" ht="88.5" customHeight="1">
      <c r="B62" s="1505"/>
      <c r="C62" s="1480"/>
      <c r="D62" s="151" t="str">
        <f>+'01-FR-03 POA INSTITUCIONAL'!D62</f>
        <v xml:space="preserve">4.3.2 Incluir el 97,8% de las Novedades en la nómina oportunamente, para liquidación y pago </v>
      </c>
      <c r="E62" s="164">
        <f>+'01-FR-03 POA INSTITUCIONAL'!E62</f>
        <v>0.1</v>
      </c>
      <c r="F62" s="971">
        <f>+'01-FR-03 POA INSTITUCIONAL'!F62</f>
        <v>0.97799999999999998</v>
      </c>
      <c r="G62" s="154">
        <f>+'01-FR-03 POA INSTITUCIONAL'!G62</f>
        <v>0.97</v>
      </c>
      <c r="H62" s="166" t="str">
        <f>+'01-FR-03 POA INSTITUCIONAL'!H62</f>
        <v xml:space="preserve">Novedades incluidas en la nómina  oportunamente  </v>
      </c>
      <c r="I62" s="151" t="str">
        <f>+'01-FR-03 POA INSTITUCIONAL'!I62</f>
        <v>Gestión del Talento Humano</v>
      </c>
      <c r="J62" s="167" t="str">
        <f>+'01-FR-03 POA INSTITUCIONAL'!J62</f>
        <v>Dependencia Líder: 
Dirección de Talento Humano
Dependencia Operativa:
Subdirección de Gestión del Talento Humano</v>
      </c>
      <c r="K62" s="168">
        <f>+'01-FR-03 POA INSTITUCIONAL'!K62</f>
        <v>0.97</v>
      </c>
      <c r="L62" s="168">
        <f>+'01-FR-03 POA INSTITUCIONAL'!L62</f>
        <v>0.98</v>
      </c>
      <c r="M62" s="168">
        <f>+'01-FR-03 POA INSTITUCIONAL'!M62</f>
        <v>0.98</v>
      </c>
      <c r="N62" s="168">
        <f>+'01-FR-03 POA INSTITUCIONAL'!N62</f>
        <v>0.98</v>
      </c>
      <c r="O62" s="381">
        <f>+'08-G. DEL TALENTO HUMANO'!V17</f>
        <v>0.98</v>
      </c>
      <c r="P62" s="381">
        <f>+'08-G. DEL TALENTO HUMANO'!W17</f>
        <v>0.98766666666666669</v>
      </c>
      <c r="Q62" s="181">
        <f>+'08-G. DEL TALENTO HUMANO'!AD17</f>
        <v>0.98</v>
      </c>
      <c r="R62" s="381">
        <f>+'08-G. DEL TALENTO HUMANO'!AE17</f>
        <v>0</v>
      </c>
      <c r="S62" s="181">
        <f>+'08-G. DEL TALENTO HUMANO'!AL17</f>
        <v>0.98</v>
      </c>
      <c r="T62" s="381">
        <f>'08-G. DEL TALENTO HUMANO'!AM17</f>
        <v>0</v>
      </c>
      <c r="U62" s="181">
        <f>+'08-G. DEL TALENTO HUMANO'!AT17</f>
        <v>0.98</v>
      </c>
      <c r="V62" s="181">
        <f>+'08-G. DEL TALENTO HUMANO'!AU17</f>
        <v>0</v>
      </c>
      <c r="W62" s="181">
        <f>+'08-G. DEL TALENTO HUMANO'!AV17</f>
        <v>0.98000000000000032</v>
      </c>
      <c r="X62" s="367">
        <f>IFERROR(IF(OR($W$62="",$W$62=0),0,ROUNDDOWN(AVERAGE($P62,R62,T62,V62),3)),0)</f>
        <v>0.246</v>
      </c>
      <c r="Y62" s="682">
        <f>IF(AND(X62&gt;0,$W62&gt;0),X62/$W62,0)*0.25</f>
        <v>6.2755102040816302E-2</v>
      </c>
      <c r="Z62" s="382">
        <f>(IF(AND(X62&gt;0,$F62&gt;0),X62/$F62,0)/4)*1</f>
        <v>6.2883435582822084E-2</v>
      </c>
      <c r="AA62" s="382">
        <f t="shared" si="15"/>
        <v>6.2883435582822087E-3</v>
      </c>
      <c r="AB62" s="1538"/>
      <c r="AD62" s="359">
        <f>+'08-G. DEL TALENTO HUMANO'!BD17</f>
        <v>0.25102040816326521</v>
      </c>
      <c r="AE62" s="361">
        <f t="shared" ref="AE62:AE71" si="23">Y62-AD62</f>
        <v>-0.18826530612244891</v>
      </c>
      <c r="AG62" s="359">
        <f>+'08-G. DEL TALENTO HUMANO'!BH17</f>
        <v>6.2883435582822084E-2</v>
      </c>
      <c r="AH62" s="361">
        <f t="shared" ref="AH62:AH69" si="24">+Z62-AG62</f>
        <v>0</v>
      </c>
    </row>
    <row r="63" spans="2:35" ht="99.75" customHeight="1">
      <c r="B63" s="1505"/>
      <c r="C63" s="1480"/>
      <c r="D63" s="151" t="str">
        <f>+'01-FR-03 POA INSTITUCIONAL'!D63</f>
        <v xml:space="preserve">4.3.3 Lograr el 94,5 % de usuarios internos  satisfechos con las solicitudes de servicios atendidas de la SGTH (Certificaciones laborales, bonos pensionales y autorizaciones de retiro de cesantías). </v>
      </c>
      <c r="E63" s="164">
        <f>+'01-FR-03 POA INSTITUCIONAL'!E63</f>
        <v>0.1</v>
      </c>
      <c r="F63" s="971">
        <f>+'01-FR-03 POA INSTITUCIONAL'!F63</f>
        <v>0.94499999999999995</v>
      </c>
      <c r="G63" s="154" t="str">
        <f>+'01-FR-03 POA INSTITUCIONAL'!G63</f>
        <v>S.I.</v>
      </c>
      <c r="H63" s="166" t="str">
        <f>+'01-FR-03 POA INSTITUCIONAL'!H63</f>
        <v>Porcentaje de Usuarios internos satisfechos con las solicitudes de los servicios atendidas de la SGTH (Certificaciones laborales, bonos pensionales y autorizaciones de retiro de cesantías)</v>
      </c>
      <c r="I63" s="151" t="str">
        <f>+'01-FR-03 POA INSTITUCIONAL'!I63</f>
        <v>Gestión del Talento Humano</v>
      </c>
      <c r="J63" s="167" t="str">
        <f>+'01-FR-03 POA INSTITUCIONAL'!J63</f>
        <v>Dependencia Líder: 
Dirección de Talento Humano
Dependencia Operativa:
Subdirección de Gestión del Talento Humano</v>
      </c>
      <c r="K63" s="168">
        <f>+'01-FR-03 POA INSTITUCIONAL'!K63</f>
        <v>0.9</v>
      </c>
      <c r="L63" s="168">
        <f>+'01-FR-03 POA INSTITUCIONAL'!L63</f>
        <v>0.96</v>
      </c>
      <c r="M63" s="168">
        <f>+'01-FR-03 POA INSTITUCIONAL'!M63</f>
        <v>0.96</v>
      </c>
      <c r="N63" s="168">
        <f>+'01-FR-03 POA INSTITUCIONAL'!N63</f>
        <v>0.96</v>
      </c>
      <c r="O63" s="381">
        <f>+'08-G. DEL TALENTO HUMANO'!V18</f>
        <v>0.96</v>
      </c>
      <c r="P63" s="381">
        <f>+'08-G. DEL TALENTO HUMANO'!W18</f>
        <v>0.92900000000000005</v>
      </c>
      <c r="Q63" s="181">
        <f>+'08-G. DEL TALENTO HUMANO'!AD18</f>
        <v>0.96</v>
      </c>
      <c r="R63" s="381">
        <f>+'08-G. DEL TALENTO HUMANO'!AE18</f>
        <v>0</v>
      </c>
      <c r="S63" s="181">
        <f>+'08-G. DEL TALENTO HUMANO'!AL18</f>
        <v>0.96</v>
      </c>
      <c r="T63" s="381">
        <f>'08-G. DEL TALENTO HUMANO'!AM18</f>
        <v>0</v>
      </c>
      <c r="U63" s="181">
        <f>+'08-G. DEL TALENTO HUMANO'!AT18</f>
        <v>0.96</v>
      </c>
      <c r="V63" s="181">
        <f>+'08-G. DEL TALENTO HUMANO'!AU18</f>
        <v>0</v>
      </c>
      <c r="W63" s="181">
        <f>+'08-G. DEL TALENTO HUMANO'!AV18</f>
        <v>0.96000000000000008</v>
      </c>
      <c r="X63" s="367">
        <f>IFERROR(IF(OR($W$63="",$W$63=0),0,ROUNDDOWN(AVERAGE(R63,T63,V63),3)),0)</f>
        <v>0</v>
      </c>
      <c r="Y63" s="682">
        <f>IF(AND(X63&gt;0,$W63&gt;0),X63/$W63,0)*0.25</f>
        <v>0</v>
      </c>
      <c r="Z63" s="382">
        <f>(IF(AND(X63&gt;0,$F63&gt;0),X63/$F63,0)/4)*1</f>
        <v>0</v>
      </c>
      <c r="AA63" s="382">
        <f t="shared" si="15"/>
        <v>0</v>
      </c>
      <c r="AB63" s="1538"/>
      <c r="AD63" s="359">
        <f>+'08-G. DEL TALENTO HUMANO'!BD18</f>
        <v>0</v>
      </c>
      <c r="AE63" s="361">
        <f t="shared" si="23"/>
        <v>0</v>
      </c>
      <c r="AG63" s="359">
        <f>+'08-G. DEL TALENTO HUMANO'!BH18</f>
        <v>0</v>
      </c>
      <c r="AH63" s="361">
        <f t="shared" si="24"/>
        <v>0</v>
      </c>
    </row>
    <row r="64" spans="2:35" ht="87" customHeight="1">
      <c r="B64" s="1505"/>
      <c r="C64" s="1480"/>
      <c r="D64" s="151" t="str">
        <f>+'01-FR-03 POA INSTITUCIONAL'!D64</f>
        <v xml:space="preserve">4.3.4 Formular e implementar el 100% del Plan Institucional de Capacitación de la vigencia.
</v>
      </c>
      <c r="E64" s="164">
        <f>+'01-FR-03 POA INSTITUCIONAL'!E64</f>
        <v>0.15</v>
      </c>
      <c r="F64" s="165">
        <f>+'01-FR-03 POA INSTITUCIONAL'!F64</f>
        <v>1</v>
      </c>
      <c r="G64" s="154">
        <f>+'01-FR-03 POA INSTITUCIONAL'!G64</f>
        <v>1</v>
      </c>
      <c r="H64" s="166" t="str">
        <f>+'01-FR-03 POA INSTITUCIONAL'!H64</f>
        <v>Plan Institucional de Capacitación formulado y ejecutado</v>
      </c>
      <c r="I64" s="151" t="str">
        <f>+'01-FR-03 POA INSTITUCIONAL'!I64</f>
        <v>Gestión del Talento Humano</v>
      </c>
      <c r="J64" s="167" t="str">
        <f>+'01-FR-03 POA INSTITUCIONAL'!J64</f>
        <v>Dependencia Líder: 
Dirección de Talento Humano
Dependencia Operativa:
Subdirección de Desarrollo del Talento Humano</v>
      </c>
      <c r="K64" s="168">
        <f>+'01-FR-03 POA INSTITUCIONAL'!K64</f>
        <v>1</v>
      </c>
      <c r="L64" s="168">
        <f>+'01-FR-03 POA INSTITUCIONAL'!L64</f>
        <v>1</v>
      </c>
      <c r="M64" s="168">
        <f>+'01-FR-03 POA INSTITUCIONAL'!M64</f>
        <v>1</v>
      </c>
      <c r="N64" s="168">
        <f>+'01-FR-03 POA INSTITUCIONAL'!N64</f>
        <v>1</v>
      </c>
      <c r="O64" s="381">
        <f>+'08-G. DEL TALENTO HUMANO'!V19</f>
        <v>0.3</v>
      </c>
      <c r="P64" s="381">
        <f>+'08-G. DEL TALENTO HUMANO'!W19</f>
        <v>0.3</v>
      </c>
      <c r="Q64" s="381">
        <f>+'08-G. DEL TALENTO HUMANO'!AD19</f>
        <v>0.15000000000000002</v>
      </c>
      <c r="R64" s="381">
        <f>+'08-G. DEL TALENTO HUMANO'!AE19</f>
        <v>0</v>
      </c>
      <c r="S64" s="381">
        <f>+'08-G. DEL TALENTO HUMANO'!AL19</f>
        <v>0.2</v>
      </c>
      <c r="T64" s="907">
        <f>+'08-G. DEL TALENTO HUMANO'!AM19</f>
        <v>0</v>
      </c>
      <c r="U64" s="381">
        <f>+'08-G. DEL TALENTO HUMANO'!AT19</f>
        <v>0.35000000000000003</v>
      </c>
      <c r="V64" s="381">
        <f>+'08-G. DEL TALENTO HUMANO'!AU19</f>
        <v>0</v>
      </c>
      <c r="W64" s="381">
        <f>+'08-G. DEL TALENTO HUMANO'!AV19</f>
        <v>1</v>
      </c>
      <c r="X64" s="374">
        <f t="shared" ref="X64:X68" si="25">+P64+R64+T64+V64</f>
        <v>0.3</v>
      </c>
      <c r="Y64" s="683">
        <f>IF(AND(X64&gt;0,$W64&gt;0),X64/$W64,0)</f>
        <v>0.3</v>
      </c>
      <c r="Z64" s="382">
        <f>(IF(AND(X64&gt;0,$F64&gt;0),X64/$F64,0)/4)</f>
        <v>7.4999999999999997E-2</v>
      </c>
      <c r="AA64" s="383">
        <f>IF(AND(Z64&gt;0,E64&gt;0),Z64*E64,0)</f>
        <v>1.125E-2</v>
      </c>
      <c r="AB64" s="1538"/>
      <c r="AD64" s="359">
        <f>+'08-G. DEL TALENTO HUMANO'!BD19</f>
        <v>0.3</v>
      </c>
      <c r="AE64" s="361">
        <f t="shared" si="23"/>
        <v>0</v>
      </c>
      <c r="AG64" s="359">
        <f>+'08-G. DEL TALENTO HUMANO'!BH19</f>
        <v>7.4999999999999997E-2</v>
      </c>
      <c r="AH64" s="361">
        <f>+Z64-AG64</f>
        <v>0</v>
      </c>
    </row>
    <row r="65" spans="2:34" ht="88.2" customHeight="1">
      <c r="B65" s="1505"/>
      <c r="C65" s="1480"/>
      <c r="D65" s="151" t="str">
        <f>+'01-FR-03 POA INSTITUCIONAL'!D65</f>
        <v>4.3.5 Formular e implementar el 100% del Plan Institucional de Bienestar de la vigencia .</v>
      </c>
      <c r="E65" s="164">
        <f>+'01-FR-03 POA INSTITUCIONAL'!E65</f>
        <v>0.15</v>
      </c>
      <c r="F65" s="165">
        <f>+'01-FR-03 POA INSTITUCIONAL'!F65</f>
        <v>1</v>
      </c>
      <c r="G65" s="154">
        <f>+'01-FR-03 POA INSTITUCIONAL'!G65</f>
        <v>1</v>
      </c>
      <c r="H65" s="166" t="str">
        <f>+'01-FR-03 POA INSTITUCIONAL'!H65</f>
        <v>Plan Institucional de Bienestar formulado y ejecutado</v>
      </c>
      <c r="I65" s="151" t="str">
        <f>+'01-FR-03 POA INSTITUCIONAL'!I65</f>
        <v>Gestión del Talento Humano</v>
      </c>
      <c r="J65" s="167" t="str">
        <f>+'01-FR-03 POA INSTITUCIONAL'!J65</f>
        <v>Dependencia Líder: 
Dirección de Talento Humano
Dependencia Operativa:
Subdirección de Desarrollo del Talento Humano</v>
      </c>
      <c r="K65" s="168">
        <f>+'01-FR-03 POA INSTITUCIONAL'!K65</f>
        <v>1</v>
      </c>
      <c r="L65" s="168">
        <f>+'01-FR-03 POA INSTITUCIONAL'!L65</f>
        <v>1</v>
      </c>
      <c r="M65" s="168">
        <f>+'01-FR-03 POA INSTITUCIONAL'!M65</f>
        <v>1</v>
      </c>
      <c r="N65" s="168">
        <f>+'01-FR-03 POA INSTITUCIONAL'!N65</f>
        <v>1</v>
      </c>
      <c r="O65" s="381">
        <f>+'08-G. DEL TALENTO HUMANO'!V20</f>
        <v>0.25830000000000003</v>
      </c>
      <c r="P65" s="381">
        <f>+'08-G. DEL TALENTO HUMANO'!W20</f>
        <v>0.25830000000000003</v>
      </c>
      <c r="Q65" s="381">
        <f>+'08-G. DEL TALENTO HUMANO'!AD20</f>
        <v>0.17499999999999999</v>
      </c>
      <c r="R65" s="381">
        <f>+'08-G. DEL TALENTO HUMANO'!AE20</f>
        <v>0</v>
      </c>
      <c r="S65" s="181">
        <f>+'08-G. DEL TALENTO HUMANO'!AL20</f>
        <v>0.22369999999999995</v>
      </c>
      <c r="T65" s="381">
        <f>+'08-G. DEL TALENTO HUMANO'!AM20</f>
        <v>0</v>
      </c>
      <c r="U65" s="181">
        <f>+'08-G. DEL TALENTO HUMANO'!AT20</f>
        <v>0.34299999999999997</v>
      </c>
      <c r="V65" s="181">
        <f>+'08-G. DEL TALENTO HUMANO'!AU20</f>
        <v>0</v>
      </c>
      <c r="W65" s="181">
        <f>+'08-G. DEL TALENTO HUMANO'!AV20</f>
        <v>1</v>
      </c>
      <c r="X65" s="374">
        <f t="shared" si="25"/>
        <v>0.25830000000000003</v>
      </c>
      <c r="Y65" s="683">
        <f>IF(AND(X65&gt;0,$W65&gt;0),X65/$W65,0)</f>
        <v>0.25830000000000003</v>
      </c>
      <c r="Z65" s="382">
        <f t="shared" ref="Z65:Z67" si="26">(IF(AND(X65&gt;0,$F65&gt;0),X65/$F65,0)/4)</f>
        <v>6.4575000000000007E-2</v>
      </c>
      <c r="AA65" s="383">
        <f t="shared" ref="AA65:AA69" si="27">IF(AND(Z65&gt;0,E65&gt;0),Z65*E65,0)</f>
        <v>9.6862500000000004E-3</v>
      </c>
      <c r="AB65" s="1538"/>
      <c r="AD65" s="359">
        <f>+'08-G. DEL TALENTO HUMANO'!BD20</f>
        <v>0.25830000000000003</v>
      </c>
      <c r="AE65" s="361">
        <f t="shared" si="23"/>
        <v>0</v>
      </c>
      <c r="AG65" s="359">
        <f>+'08-G. DEL TALENTO HUMANO'!BH20</f>
        <v>6.4575000000000007E-2</v>
      </c>
      <c r="AH65" s="361">
        <f t="shared" si="24"/>
        <v>0</v>
      </c>
    </row>
    <row r="66" spans="2:34" ht="99.6" customHeight="1">
      <c r="B66" s="1505"/>
      <c r="C66" s="1480"/>
      <c r="D66" s="151" t="str">
        <f>+'01-FR-03 POA INSTITUCIONAL'!D66</f>
        <v>4.3.6 Formular e implementar el 100% del Plan Institucional de Incentivos de la vigencia.</v>
      </c>
      <c r="E66" s="164">
        <f>+'01-FR-03 POA INSTITUCIONAL'!E66</f>
        <v>0.15</v>
      </c>
      <c r="F66" s="165">
        <f>+'01-FR-03 POA INSTITUCIONAL'!F66</f>
        <v>1</v>
      </c>
      <c r="G66" s="154">
        <f>+'01-FR-03 POA INSTITUCIONAL'!G66</f>
        <v>1</v>
      </c>
      <c r="H66" s="166" t="str">
        <f>+'01-FR-03 POA INSTITUCIONAL'!H66</f>
        <v>Plan Institucional de Incentivos formulado y ejecutado</v>
      </c>
      <c r="I66" s="151" t="str">
        <f>+'01-FR-03 POA INSTITUCIONAL'!I66</f>
        <v>Gestión del Talento Humano</v>
      </c>
      <c r="J66" s="167" t="str">
        <f>+'01-FR-03 POA INSTITUCIONAL'!J66</f>
        <v>Dependencia Líder: 
Dirección de Talento Humano
Dependencia Operativa:
Subdirección de Desarrollo del Talento Humano</v>
      </c>
      <c r="K66" s="168">
        <f>+'01-FR-03 POA INSTITUCIONAL'!K66</f>
        <v>1</v>
      </c>
      <c r="L66" s="168">
        <f>+'01-FR-03 POA INSTITUCIONAL'!L66</f>
        <v>1</v>
      </c>
      <c r="M66" s="168">
        <f>+'01-FR-03 POA INSTITUCIONAL'!M66</f>
        <v>1</v>
      </c>
      <c r="N66" s="168">
        <f>+'01-FR-03 POA INSTITUCIONAL'!N66</f>
        <v>1</v>
      </c>
      <c r="O66" s="381">
        <f>+'08-G. DEL TALENTO HUMANO'!V21</f>
        <v>0.25</v>
      </c>
      <c r="P66" s="381">
        <f>+'08-G. DEL TALENTO HUMANO'!W21</f>
        <v>0.25</v>
      </c>
      <c r="Q66" s="381">
        <f>+'08-G. DEL TALENTO HUMANO'!AD21</f>
        <v>0.1</v>
      </c>
      <c r="R66" s="381">
        <f>+'08-G. DEL TALENTO HUMANO'!AE21</f>
        <v>0</v>
      </c>
      <c r="S66" s="181">
        <f>+'08-G. DEL TALENTO HUMANO'!AL21</f>
        <v>0.1</v>
      </c>
      <c r="T66" s="907">
        <f>+'08-G. DEL TALENTO HUMANO'!AM21</f>
        <v>0</v>
      </c>
      <c r="U66" s="181">
        <f>+'08-G. DEL TALENTO HUMANO'!AT21</f>
        <v>0.54999999999999993</v>
      </c>
      <c r="V66" s="181">
        <f>+'08-G. DEL TALENTO HUMANO'!AU21</f>
        <v>0</v>
      </c>
      <c r="W66" s="181">
        <f>+'08-G. DEL TALENTO HUMANO'!AV21</f>
        <v>0.99999999999999989</v>
      </c>
      <c r="X66" s="611">
        <f t="shared" si="25"/>
        <v>0.25</v>
      </c>
      <c r="Y66" s="683">
        <f t="shared" ref="Y66:Y68" si="28">IF(AND(X66&gt;0,$W66&gt;0),X66/$W66,0)</f>
        <v>0.25</v>
      </c>
      <c r="Z66" s="382">
        <f>(IF(AND(X66&gt;0,$F66&gt;0),X66/$F66,0)/4)</f>
        <v>6.25E-2</v>
      </c>
      <c r="AA66" s="383">
        <f t="shared" si="27"/>
        <v>9.3749999999999997E-3</v>
      </c>
      <c r="AB66" s="1538"/>
      <c r="AD66" s="359">
        <f>+'08-G. DEL TALENTO HUMANO'!BD21</f>
        <v>0.25</v>
      </c>
      <c r="AE66" s="361">
        <f t="shared" si="23"/>
        <v>0</v>
      </c>
      <c r="AG66" s="359">
        <f>+'08-G. DEL TALENTO HUMANO'!BH21</f>
        <v>6.25E-2</v>
      </c>
      <c r="AH66" s="361">
        <f t="shared" si="24"/>
        <v>0</v>
      </c>
    </row>
    <row r="67" spans="2:34" ht="85.95" customHeight="1">
      <c r="B67" s="1505"/>
      <c r="C67" s="1480"/>
      <c r="D67" s="151" t="str">
        <f>+'01-FR-03 POA INSTITUCIONAL'!D67</f>
        <v>4.3.7 Diseñar e implementar el 100 % del Plan Anual de Trabajo del Sistema de Gestión de Seguridad y Salud en el Trabajo SG-SST de la vigencia.</v>
      </c>
      <c r="E67" s="164">
        <f>+'01-FR-03 POA INSTITUCIONAL'!E67</f>
        <v>0.15</v>
      </c>
      <c r="F67" s="165">
        <f>+'01-FR-03 POA INSTITUCIONAL'!F67</f>
        <v>1</v>
      </c>
      <c r="G67" s="154">
        <f>+'01-FR-03 POA INSTITUCIONAL'!G67</f>
        <v>0.99</v>
      </c>
      <c r="H67" s="166" t="str">
        <f>+'01-FR-03 POA INSTITUCIONAL'!H67</f>
        <v>Plan Anual de Trabajo del Sistema de Gestión de Seguridad y Salud en el Trabajo SG-SST diseñado y ejecutado</v>
      </c>
      <c r="I67" s="151" t="str">
        <f>+'01-FR-03 POA INSTITUCIONAL'!I67</f>
        <v>Gestión del Talento Humano</v>
      </c>
      <c r="J67" s="167" t="str">
        <f>+'01-FR-03 POA INSTITUCIONAL'!J67</f>
        <v>Dependencia Líder: 
Dirección de Talento Humano
Dependencia Operativa:
Subdirección de Desarrollo del Talento Humano</v>
      </c>
      <c r="K67" s="168">
        <f>+'01-FR-03 POA INSTITUCIONAL'!K67</f>
        <v>1</v>
      </c>
      <c r="L67" s="168">
        <f>+'01-FR-03 POA INSTITUCIONAL'!L67</f>
        <v>1</v>
      </c>
      <c r="M67" s="168">
        <f>+'01-FR-03 POA INSTITUCIONAL'!M67</f>
        <v>1</v>
      </c>
      <c r="N67" s="168">
        <f>+'01-FR-03 POA INSTITUCIONAL'!N67</f>
        <v>1</v>
      </c>
      <c r="O67" s="381">
        <f>+'08-G. DEL TALENTO HUMANO'!V22</f>
        <v>0.40160000000000001</v>
      </c>
      <c r="P67" s="381">
        <f>+'08-G. DEL TALENTO HUMANO'!W22</f>
        <v>0.40160000000000001</v>
      </c>
      <c r="Q67" s="381">
        <f>+'08-G. DEL TALENTO HUMANO'!AD22</f>
        <v>0.19600000000000001</v>
      </c>
      <c r="R67" s="381">
        <f>+'08-G. DEL TALENTO HUMANO'!AE22</f>
        <v>0</v>
      </c>
      <c r="S67" s="181">
        <f>+'08-G. DEL TALENTO HUMANO'!AL22</f>
        <v>0.1232</v>
      </c>
      <c r="T67" s="907">
        <f>+'08-G. DEL TALENTO HUMANO'!AM22</f>
        <v>0</v>
      </c>
      <c r="U67" s="181">
        <f>+'08-G. DEL TALENTO HUMANO'!AT22</f>
        <v>0.2792</v>
      </c>
      <c r="V67" s="181">
        <f>+'08-G. DEL TALENTO HUMANO'!AU22</f>
        <v>0</v>
      </c>
      <c r="W67" s="181">
        <f>+'08-G. DEL TALENTO HUMANO'!AV22</f>
        <v>1</v>
      </c>
      <c r="X67" s="611">
        <f t="shared" si="25"/>
        <v>0.40160000000000001</v>
      </c>
      <c r="Y67" s="683">
        <f t="shared" si="28"/>
        <v>0.40160000000000001</v>
      </c>
      <c r="Z67" s="382">
        <f t="shared" si="26"/>
        <v>0.1004</v>
      </c>
      <c r="AA67" s="383">
        <f t="shared" si="27"/>
        <v>1.506E-2</v>
      </c>
      <c r="AB67" s="1538"/>
      <c r="AD67" s="359">
        <f>+'08-G. DEL TALENTO HUMANO'!BD22</f>
        <v>0.40160000000000001</v>
      </c>
      <c r="AE67" s="361">
        <f t="shared" si="23"/>
        <v>0</v>
      </c>
      <c r="AG67" s="359">
        <f>+'08-G. DEL TALENTO HUMANO'!BH22</f>
        <v>0.1004</v>
      </c>
      <c r="AH67" s="361">
        <f t="shared" si="24"/>
        <v>0</v>
      </c>
    </row>
    <row r="68" spans="2:34" ht="84.75" customHeight="1">
      <c r="B68" s="1505"/>
      <c r="C68" s="1481"/>
      <c r="D68" s="151" t="str">
        <f>+'01-FR-03 POA INSTITUCIONAL'!D68</f>
        <v>4.3.8 Realizar 21 capacitaciones sobre los Sistemas de Gestión y Evaluación del Desempeño Laboral de la Entidad.</v>
      </c>
      <c r="E68" s="152">
        <f>+'01-FR-03 POA INSTITUCIONAL'!E68</f>
        <v>0.1</v>
      </c>
      <c r="F68" s="183">
        <f>+'01-FR-03 POA INSTITUCIONAL'!F68</f>
        <v>21</v>
      </c>
      <c r="G68" s="184" t="str">
        <f>+'01-FR-03 POA INSTITUCIONAL'!G68</f>
        <v>S.I.</v>
      </c>
      <c r="H68" s="177" t="str">
        <f>+'01-FR-03 POA INSTITUCIONAL'!H68</f>
        <v>Capacitaciones realizadas sobre los Sistemas de Gestión y Evaluación del Desempeño Laboral de la Personería de Bogotá, D.C.</v>
      </c>
      <c r="I68" s="178" t="str">
        <f>+'01-FR-03 POA INSTITUCIONAL'!I68</f>
        <v>Gestión del Talento Humano</v>
      </c>
      <c r="J68" s="179" t="str">
        <f>+'01-FR-03 POA INSTITUCIONAL'!J68</f>
        <v>Dirección de Talento Humano</v>
      </c>
      <c r="K68" s="185">
        <f>+'01-FR-03 POA INSTITUCIONAL'!K68</f>
        <v>9</v>
      </c>
      <c r="L68" s="185">
        <f>+'01-FR-03 POA INSTITUCIONAL'!L68</f>
        <v>4</v>
      </c>
      <c r="M68" s="185">
        <f>+'01-FR-03 POA INSTITUCIONAL'!M68</f>
        <v>4</v>
      </c>
      <c r="N68" s="185">
        <f>+'01-FR-03 POA INSTITUCIONAL'!N68</f>
        <v>4</v>
      </c>
      <c r="O68" s="185">
        <f>+'08-G. DEL TALENTO HUMANO'!V23</f>
        <v>2</v>
      </c>
      <c r="P68" s="185">
        <f>+'08-G. DEL TALENTO HUMANO'!W23</f>
        <v>2</v>
      </c>
      <c r="Q68" s="185">
        <f>+'08-G. DEL TALENTO HUMANO'!AD23</f>
        <v>1</v>
      </c>
      <c r="R68" s="185">
        <f>+'08-G. DEL TALENTO HUMANO'!AE23</f>
        <v>0</v>
      </c>
      <c r="S68" s="185">
        <f>+'08-G. DEL TALENTO HUMANO'!AL23</f>
        <v>1</v>
      </c>
      <c r="T68" s="185">
        <f>+'08-G. DEL TALENTO HUMANO'!AM23</f>
        <v>0</v>
      </c>
      <c r="U68" s="185">
        <f>+'08-G. DEL TALENTO HUMANO'!AT23</f>
        <v>0</v>
      </c>
      <c r="V68" s="185">
        <f>+'08-G. DEL TALENTO HUMANO'!AU23</f>
        <v>0</v>
      </c>
      <c r="W68" s="185">
        <f>+'08-G. DEL TALENTO HUMANO'!AV23</f>
        <v>4</v>
      </c>
      <c r="X68" s="185">
        <f t="shared" si="25"/>
        <v>2</v>
      </c>
      <c r="Y68" s="683">
        <f t="shared" si="28"/>
        <v>0.5</v>
      </c>
      <c r="Z68" s="382">
        <f t="shared" ref="Z68" si="29">IF(AND(X68&gt;0,$F68&gt;0),X68/$F68,0)</f>
        <v>9.5238095238095233E-2</v>
      </c>
      <c r="AA68" s="383">
        <f t="shared" si="27"/>
        <v>9.5238095238095247E-3</v>
      </c>
      <c r="AB68" s="1539"/>
      <c r="AD68" s="359">
        <f>+'08-G. DEL TALENTO HUMANO'!BD23</f>
        <v>0.5</v>
      </c>
      <c r="AE68" s="361">
        <f t="shared" si="23"/>
        <v>0</v>
      </c>
      <c r="AG68" s="359">
        <f>+'08-G. DEL TALENTO HUMANO'!BH23</f>
        <v>9.5238095238095233E-2</v>
      </c>
      <c r="AH68" s="361">
        <f t="shared" si="24"/>
        <v>0</v>
      </c>
    </row>
    <row r="69" spans="2:34" ht="76.5" customHeight="1">
      <c r="B69" s="1505"/>
      <c r="C69" s="1492" t="s">
        <v>145</v>
      </c>
      <c r="D69" s="31" t="str">
        <f>+'01-FR-03 POA INSTITUCIONAL'!D69</f>
        <v>4.4.1 Atender el 100% de los servicios de mantenimiento, almacén, transporte. Aseo y cafetería</v>
      </c>
      <c r="E69" s="52">
        <f>+'01-FR-03 POA INSTITUCIONAL'!E69</f>
        <v>0.1</v>
      </c>
      <c r="F69" s="32">
        <f>+'01-FR-03 POA INSTITUCIONAL'!F69</f>
        <v>1</v>
      </c>
      <c r="G69" s="174">
        <f>+'01-FR-03 POA INSTITUCIONAL'!G69</f>
        <v>0.99199999999999999</v>
      </c>
      <c r="H69" s="141" t="str">
        <f>+'01-FR-03 POA INSTITUCIONAL'!H69</f>
        <v>Porcentaje de servicios atendidos</v>
      </c>
      <c r="I69" s="142" t="str">
        <f>+'01-FR-03 POA INSTITUCIONAL'!I69</f>
        <v>Gestión Administrativa</v>
      </c>
      <c r="J69" s="143" t="str">
        <f>+'01-FR-03 POA INSTITUCIONAL'!J69</f>
        <v>Subdirección de Gestión Documental y Recursos Físicos
Dirección Administrativa y Financiera</v>
      </c>
      <c r="K69" s="145">
        <f>+'01-FR-03 POA INSTITUCIONAL'!K69</f>
        <v>1</v>
      </c>
      <c r="L69" s="145">
        <f>+'01-FR-03 POA INSTITUCIONAL'!L69</f>
        <v>1</v>
      </c>
      <c r="M69" s="145">
        <f>+'01-FR-03 POA INSTITUCIONAL'!M69</f>
        <v>1</v>
      </c>
      <c r="N69" s="145">
        <f>+'01-FR-03 POA INSTITUCIONAL'!N69</f>
        <v>1</v>
      </c>
      <c r="O69" s="354">
        <f>+'09-G.  ADMINISTRATIVA'!V16</f>
        <v>1</v>
      </c>
      <c r="P69" s="354">
        <f>+'09-G.  ADMINISTRATIVA'!W16</f>
        <v>1</v>
      </c>
      <c r="Q69" s="354">
        <f>+'09-G.  ADMINISTRATIVA'!AD16</f>
        <v>1</v>
      </c>
      <c r="R69" s="354">
        <f>+'09-G.  ADMINISTRATIVA'!AE16</f>
        <v>0</v>
      </c>
      <c r="S69" s="354">
        <f>+'09-G.  ADMINISTRATIVA'!AL16</f>
        <v>1</v>
      </c>
      <c r="T69" s="354">
        <f>+'09-G.  ADMINISTRATIVA'!AM16</f>
        <v>0</v>
      </c>
      <c r="U69" s="354">
        <f>+'09-G.  ADMINISTRATIVA'!AT16</f>
        <v>1</v>
      </c>
      <c r="V69" s="354">
        <f>+'09-G.  ADMINISTRATIVA'!AU16</f>
        <v>0</v>
      </c>
      <c r="W69" s="354">
        <f>+'09-G.  ADMINISTRATIVA'!AV16</f>
        <v>1</v>
      </c>
      <c r="X69" s="385">
        <f>IFERROR(IF(OR($W$69="",$W$69=0),0,ROUNDDOWN(AVERAGE($P69,R69,T69,V69),3)),0)</f>
        <v>0.25</v>
      </c>
      <c r="Y69" s="679">
        <f>IF(AND(X69&gt;0,$W69&gt;0),X69/$W69,0)*0.25</f>
        <v>6.25E-2</v>
      </c>
      <c r="Z69" s="356">
        <f>(IF(AND(X69&gt;0,$F69&gt;0),X69/$F69,0)/4)*1</f>
        <v>6.25E-2</v>
      </c>
      <c r="AA69" s="356">
        <f t="shared" si="27"/>
        <v>6.2500000000000003E-3</v>
      </c>
      <c r="AB69" s="1290">
        <f>SUM(AA69:AA86)</f>
        <v>6.0341104404051382E-2</v>
      </c>
      <c r="AD69" s="359">
        <f>+'09-G.  ADMINISTRATIVA'!BD16</f>
        <v>0.3</v>
      </c>
      <c r="AE69" s="361">
        <f t="shared" si="23"/>
        <v>-0.23749999999999999</v>
      </c>
      <c r="AG69" s="359">
        <f>+'09-G.  ADMINISTRATIVA'!BH16</f>
        <v>7.4999999999999997E-2</v>
      </c>
      <c r="AH69" s="361">
        <f t="shared" si="24"/>
        <v>-1.2499999999999997E-2</v>
      </c>
    </row>
    <row r="70" spans="2:34" ht="62.25" customHeight="1">
      <c r="B70" s="1505"/>
      <c r="C70" s="1233"/>
      <c r="D70" s="31" t="str">
        <f>+'01-FR-03 POA INSTITUCIONAL'!D70</f>
        <v>4.4.2 Ejecutar el 97% de las actividades del Plan Estratégico de Seguridad Vial (PESV)</v>
      </c>
      <c r="E70" s="52">
        <f>+'01-FR-03 POA INSTITUCIONAL'!E70</f>
        <v>0.1</v>
      </c>
      <c r="F70" s="32">
        <f>+'01-FR-03 POA INSTITUCIONAL'!F70</f>
        <v>0.97</v>
      </c>
      <c r="G70" s="174">
        <f>+'01-FR-03 POA INSTITUCIONAL'!G70</f>
        <v>0.96599999999999997</v>
      </c>
      <c r="H70" s="141" t="str">
        <f>+'01-FR-03 POA INSTITUCIONAL'!H70</f>
        <v>Porcentaje de actividades del PESV ejecutadas</v>
      </c>
      <c r="I70" s="142" t="str">
        <f>+'01-FR-03 POA INSTITUCIONAL'!I70</f>
        <v>Gestión Administrativa</v>
      </c>
      <c r="J70" s="143" t="str">
        <f>+'01-FR-03 POA INSTITUCIONAL'!J70</f>
        <v>Subdirección de Gestión Documental y Recursos Físicos
Dirección Administrativa y Financiera</v>
      </c>
      <c r="K70" s="145">
        <f>+'01-FR-03 POA INSTITUCIONAL'!K70</f>
        <v>0.97</v>
      </c>
      <c r="L70" s="145">
        <f>+'01-FR-03 POA INSTITUCIONAL'!L70</f>
        <v>0.97</v>
      </c>
      <c r="M70" s="145">
        <f>+'01-FR-03 POA INSTITUCIONAL'!M70</f>
        <v>0.97</v>
      </c>
      <c r="N70" s="145">
        <f>+'01-FR-03 POA INSTITUCIONAL'!N70</f>
        <v>0.97</v>
      </c>
      <c r="O70" s="354">
        <f>+'09-G.  ADMINISTRATIVA'!V17</f>
        <v>0.97000000000000008</v>
      </c>
      <c r="P70" s="354">
        <f>+'09-G.  ADMINISTRATIVA'!W17</f>
        <v>1.0923333333333334</v>
      </c>
      <c r="Q70" s="354">
        <f>+'09-G.  ADMINISTRATIVA'!AD17</f>
        <v>0.97000000000000008</v>
      </c>
      <c r="R70" s="354">
        <f>+'09-G.  ADMINISTRATIVA'!AE17</f>
        <v>0</v>
      </c>
      <c r="S70" s="354">
        <f>+'09-G.  ADMINISTRATIVA'!AL17</f>
        <v>0.97000000000000008</v>
      </c>
      <c r="T70" s="354">
        <f>+'09-G.  ADMINISTRATIVA'!AM17</f>
        <v>0</v>
      </c>
      <c r="U70" s="354">
        <f>+'09-G.  ADMINISTRATIVA'!AT17</f>
        <v>0.97000000000000008</v>
      </c>
      <c r="V70" s="354">
        <f>+'09-G.  ADMINISTRATIVA'!AU17</f>
        <v>0</v>
      </c>
      <c r="W70" s="354">
        <f>+'09-G.  ADMINISTRATIVA'!AV17</f>
        <v>0.97000000000000008</v>
      </c>
      <c r="X70" s="385">
        <f>IFERROR(IF(OR($W$70="",$W$70=0),0,ROUNDDOWN(AVERAGE($P70,R70,T70,V70),3)),0)</f>
        <v>0.27300000000000002</v>
      </c>
      <c r="Y70" s="679">
        <f>IF(AND(X70&gt;0,$W70&gt;0),X70/$W70,0)*0.25</f>
        <v>7.0360824742268041E-2</v>
      </c>
      <c r="Z70" s="356">
        <f>(IF(AND(X70&gt;0,$F70&gt;0),X70/$F70,0)/4)*1</f>
        <v>7.0360824742268055E-2</v>
      </c>
      <c r="AA70" s="356">
        <f t="shared" ref="AA70" si="30">IF(AND(Z70&gt;0,E70&gt;0),Z70*E70,0)</f>
        <v>7.0360824742268062E-3</v>
      </c>
      <c r="AB70" s="1159"/>
      <c r="AD70" s="359">
        <f>+'09-G.  ADMINISTRATIVA'!BD17</f>
        <v>0.33711340206185564</v>
      </c>
      <c r="AE70" s="361">
        <f t="shared" si="23"/>
        <v>-0.26675257731958757</v>
      </c>
      <c r="AG70" s="359">
        <f>+'09-G.  ADMINISTRATIVA'!BH17</f>
        <v>8.4278350515463923E-2</v>
      </c>
      <c r="AH70" s="361">
        <f t="shared" ref="AH70:AH71" si="31">+Z70-AG70</f>
        <v>-1.3917525773195868E-2</v>
      </c>
    </row>
    <row r="71" spans="2:34" ht="64.5" customHeight="1">
      <c r="B71" s="1505"/>
      <c r="C71" s="1233"/>
      <c r="D71" s="31" t="str">
        <f>+'01-FR-03 POA INSTITUCIONAL'!D71</f>
        <v>4.4.3 Ejecutar el 95% del presupuesto aprobado para la Entidad</v>
      </c>
      <c r="E71" s="52">
        <f>+'01-FR-03 POA INSTITUCIONAL'!E71</f>
        <v>7.0000000000000007E-2</v>
      </c>
      <c r="F71" s="32">
        <f>+'01-FR-03 POA INSTITUCIONAL'!F71</f>
        <v>0.95</v>
      </c>
      <c r="G71" s="174" t="str">
        <f>+'01-FR-03 POA INSTITUCIONAL'!G71</f>
        <v>S.I.</v>
      </c>
      <c r="H71" s="141" t="str">
        <f>+'01-FR-03 POA INSTITUCIONAL'!H71</f>
        <v>Porcentaje del presupuesto aprobado y ejecutado.</v>
      </c>
      <c r="I71" s="142" t="str">
        <f>+'01-FR-03 POA INSTITUCIONAL'!I71</f>
        <v>Gestión Financiera</v>
      </c>
      <c r="J71" s="143" t="str">
        <f>+'01-FR-03 POA INSTITUCIONAL'!J71</f>
        <v>Subdirección de Gestión Financiera
Dirección Administrativa y Financiera</v>
      </c>
      <c r="K71" s="145">
        <f>+'01-FR-03 POA INSTITUCIONAL'!K71</f>
        <v>0.95</v>
      </c>
      <c r="L71" s="145">
        <f>+'01-FR-03 POA INSTITUCIONAL'!L71</f>
        <v>0.95</v>
      </c>
      <c r="M71" s="145">
        <f>+'01-FR-03 POA INSTITUCIONAL'!M71</f>
        <v>0.95</v>
      </c>
      <c r="N71" s="145">
        <f>+'01-FR-03 POA INSTITUCIONAL'!N71</f>
        <v>0.95</v>
      </c>
      <c r="O71" s="354">
        <f>+'10-GESTIÓN FINANCIERA'!V16</f>
        <v>0.22000000000000003</v>
      </c>
      <c r="P71" s="354">
        <f>+'10-GESTIÓN FINANCIERA'!W16</f>
        <v>0.27100000000000002</v>
      </c>
      <c r="Q71" s="354">
        <f>+'10-GESTIÓN FINANCIERA'!AD16</f>
        <v>0.25</v>
      </c>
      <c r="R71" s="354">
        <f>+'10-GESTIÓN FINANCIERA'!AE16</f>
        <v>0</v>
      </c>
      <c r="S71" s="354">
        <f>+'10-GESTIÓN FINANCIERA'!AL16</f>
        <v>0.25</v>
      </c>
      <c r="T71" s="354">
        <f>+'10-GESTIÓN FINANCIERA'!AM16</f>
        <v>0</v>
      </c>
      <c r="U71" s="354">
        <f>+'10-GESTIÓN FINANCIERA'!AT16</f>
        <v>0.23</v>
      </c>
      <c r="V71" s="354">
        <f>+'10-GESTIÓN FINANCIERA'!AU16</f>
        <v>0</v>
      </c>
      <c r="W71" s="354">
        <f>+'10-GESTIÓN FINANCIERA'!AV16</f>
        <v>0.95</v>
      </c>
      <c r="X71" s="386">
        <f t="shared" ref="X71" si="32">+P71+R71+T71+V71</f>
        <v>0.27100000000000002</v>
      </c>
      <c r="Y71" s="684">
        <f>IF(AND(X71&gt;0,$W71&gt;0),X71/$W71,0)</f>
        <v>0.28526315789473689</v>
      </c>
      <c r="Z71" s="388">
        <f>(IF(AND(X71&gt;0,$F71&gt;0),X71/$F71,0)/4)</f>
        <v>7.1315789473684221E-2</v>
      </c>
      <c r="AA71" s="387">
        <f>IF(AND(Z71&gt;0,E71&gt;0),Z71*E71,0)</f>
        <v>4.9921052631578958E-3</v>
      </c>
      <c r="AB71" s="1159"/>
      <c r="AD71" s="359">
        <f>+'10-GESTIÓN FINANCIERA'!BD16</f>
        <v>0.28526315789473689</v>
      </c>
      <c r="AE71" s="361">
        <f t="shared" si="23"/>
        <v>0</v>
      </c>
      <c r="AG71" s="359">
        <f>+'10-GESTIÓN FINANCIERA'!BH16</f>
        <v>7.1315789473684221E-2</v>
      </c>
      <c r="AH71" s="361">
        <f t="shared" si="31"/>
        <v>0</v>
      </c>
    </row>
    <row r="72" spans="2:34" ht="64.5" customHeight="1">
      <c r="B72" s="1505"/>
      <c r="C72" s="1233"/>
      <c r="D72" s="31" t="str">
        <f>+'01-FR-03 POA INSTITUCIONAL'!D72</f>
        <v>4.4.4 Programar y ejecutar el 95% de los compromisos de pago adquiridos por la Entidad</v>
      </c>
      <c r="E72" s="52">
        <f>+'01-FR-03 POA INSTITUCIONAL'!E72</f>
        <v>7.0000000000000007E-2</v>
      </c>
      <c r="F72" s="32">
        <f>+'01-FR-03 POA INSTITUCIONAL'!F72</f>
        <v>0.95</v>
      </c>
      <c r="G72" s="174" t="str">
        <f>+'01-FR-03 POA INSTITUCIONAL'!G72</f>
        <v>S.I.</v>
      </c>
      <c r="H72" s="141" t="str">
        <f>+'01-FR-03 POA INSTITUCIONAL'!H72</f>
        <v>Porcentaje de los compromisos de pago programados y ejecutados.</v>
      </c>
      <c r="I72" s="142" t="str">
        <f>+'01-FR-03 POA INSTITUCIONAL'!I72</f>
        <v>Gestión Financiera</v>
      </c>
      <c r="J72" s="143" t="str">
        <f>+'01-FR-03 POA INSTITUCIONAL'!J72</f>
        <v>Subdirección de Gestión Financiera
Dirección Administrativa y Financiera</v>
      </c>
      <c r="K72" s="145">
        <f>+'01-FR-03 POA INSTITUCIONAL'!K72</f>
        <v>0.95</v>
      </c>
      <c r="L72" s="145">
        <f>+'01-FR-03 POA INSTITUCIONAL'!L72</f>
        <v>0.95</v>
      </c>
      <c r="M72" s="145">
        <f>+'01-FR-03 POA INSTITUCIONAL'!M72</f>
        <v>0.95</v>
      </c>
      <c r="N72" s="145">
        <f>+'01-FR-03 POA INSTITUCIONAL'!N72</f>
        <v>0.95</v>
      </c>
      <c r="O72" s="354">
        <f>+'10-GESTIÓN FINANCIERA'!V17</f>
        <v>0.14000000000000001</v>
      </c>
      <c r="P72" s="354">
        <f>+'10-GESTIÓN FINANCIERA'!W17</f>
        <v>0.13159999999999999</v>
      </c>
      <c r="Q72" s="354">
        <f>+'10-GESTIÓN FINANCIERA'!AD17</f>
        <v>0.25</v>
      </c>
      <c r="R72" s="354">
        <f>+'10-GESTIÓN FINANCIERA'!AE17</f>
        <v>0</v>
      </c>
      <c r="S72" s="354">
        <f>+'10-GESTIÓN FINANCIERA'!AL17</f>
        <v>0.23000000000000004</v>
      </c>
      <c r="T72" s="354">
        <f>+'10-GESTIÓN FINANCIERA'!AM17</f>
        <v>0</v>
      </c>
      <c r="U72" s="354">
        <f>+'10-GESTIÓN FINANCIERA'!AT17</f>
        <v>0.32999999999999996</v>
      </c>
      <c r="V72" s="354">
        <f>+'10-GESTIÓN FINANCIERA'!AU17</f>
        <v>0</v>
      </c>
      <c r="W72" s="354">
        <f>+'10-GESTIÓN FINANCIERA'!AV17</f>
        <v>0.95000000000000007</v>
      </c>
      <c r="X72" s="386">
        <f t="shared" ref="X72:X73" si="33">+P72+R72+T72+V72</f>
        <v>0.13159999999999999</v>
      </c>
      <c r="Y72" s="684">
        <f t="shared" ref="Y72:Y74" si="34">IF(AND(X72&gt;0,$W72&gt;0),X72/$W72,0)</f>
        <v>0.13852631578947366</v>
      </c>
      <c r="Z72" s="388">
        <f>(IF(AND(X72&gt;0,$F72&gt;0),X72/$F72,0)/4)</f>
        <v>3.4631578947368423E-2</v>
      </c>
      <c r="AA72" s="387">
        <f t="shared" ref="AA72:AA73" si="35">IF(AND(Z72&gt;0,E72&gt;0),Z72*E72,0)</f>
        <v>2.42421052631579E-3</v>
      </c>
      <c r="AB72" s="1159"/>
      <c r="AD72" s="359">
        <f>+'10-GESTIÓN FINANCIERA'!BD17</f>
        <v>0.13852631578947366</v>
      </c>
      <c r="AE72" s="361">
        <f t="shared" ref="AE72:AE99" si="36">Y72-AD72</f>
        <v>0</v>
      </c>
      <c r="AG72" s="359">
        <f>+'10-GESTIÓN FINANCIERA'!BH17</f>
        <v>3.4631578947368423E-2</v>
      </c>
      <c r="AH72" s="361">
        <f t="shared" ref="AH72:AH99" si="37">+Z72-AG72</f>
        <v>0</v>
      </c>
    </row>
    <row r="73" spans="2:34" ht="64.5" customHeight="1">
      <c r="B73" s="1505"/>
      <c r="C73" s="1233"/>
      <c r="D73" s="31" t="str">
        <f>+'01-FR-03 POA INSTITUCIONAL'!D73</f>
        <v>4.4.5 Elaborar y presentar el 100% de los estados financieros de la Entidad</v>
      </c>
      <c r="E73" s="52">
        <f>+'01-FR-03 POA INSTITUCIONAL'!E73</f>
        <v>0.06</v>
      </c>
      <c r="F73" s="32">
        <f>+'01-FR-03 POA INSTITUCIONAL'!F73</f>
        <v>1</v>
      </c>
      <c r="G73" s="174" t="str">
        <f>+'01-FR-03 POA INSTITUCIONAL'!G73</f>
        <v>S.I.</v>
      </c>
      <c r="H73" s="141" t="str">
        <f>+'01-FR-03 POA INSTITUCIONAL'!H73</f>
        <v>Porcentaje de estados financieros de la Entidad elaborados y presentados.</v>
      </c>
      <c r="I73" s="142" t="str">
        <f>+'01-FR-03 POA INSTITUCIONAL'!I73</f>
        <v>Gestión Financiera</v>
      </c>
      <c r="J73" s="143" t="str">
        <f>+'01-FR-03 POA INSTITUCIONAL'!J73</f>
        <v>Subdirección de Gestión Financiera
Dirección Administrativa y Financiera</v>
      </c>
      <c r="K73" s="145">
        <f>+'01-FR-03 POA INSTITUCIONAL'!K73</f>
        <v>1</v>
      </c>
      <c r="L73" s="145">
        <f>+'01-FR-03 POA INSTITUCIONAL'!L73</f>
        <v>1</v>
      </c>
      <c r="M73" s="145">
        <f>+'01-FR-03 POA INSTITUCIONAL'!M73</f>
        <v>1</v>
      </c>
      <c r="N73" s="145">
        <f>+'01-FR-03 POA INSTITUCIONAL'!N73</f>
        <v>1</v>
      </c>
      <c r="O73" s="354">
        <f>+'10-GESTIÓN FINANCIERA'!V18</f>
        <v>0.25</v>
      </c>
      <c r="P73" s="354">
        <f>+'10-GESTIÓN FINANCIERA'!W18</f>
        <v>0.25</v>
      </c>
      <c r="Q73" s="354">
        <f>+'10-GESTIÓN FINANCIERA'!AD18</f>
        <v>0.25</v>
      </c>
      <c r="R73" s="354">
        <f>+'10-GESTIÓN FINANCIERA'!AE18</f>
        <v>0</v>
      </c>
      <c r="S73" s="354">
        <f>+'10-GESTIÓN FINANCIERA'!AL18</f>
        <v>0.25</v>
      </c>
      <c r="T73" s="354">
        <f>+'10-GESTIÓN FINANCIERA'!AM18</f>
        <v>0</v>
      </c>
      <c r="U73" s="354">
        <f>+'10-GESTIÓN FINANCIERA'!AT18</f>
        <v>0.25</v>
      </c>
      <c r="V73" s="354">
        <f>+'10-GESTIÓN FINANCIERA'!AU18</f>
        <v>0</v>
      </c>
      <c r="W73" s="354">
        <f>+'10-GESTIÓN FINANCIERA'!AV18</f>
        <v>1</v>
      </c>
      <c r="X73" s="386">
        <f t="shared" si="33"/>
        <v>0.25</v>
      </c>
      <c r="Y73" s="684">
        <f t="shared" si="34"/>
        <v>0.25</v>
      </c>
      <c r="Z73" s="388">
        <f>(IF(AND(X73&gt;0,$F73&gt;0),X73/$F73,0)/4)</f>
        <v>6.25E-2</v>
      </c>
      <c r="AA73" s="387">
        <f t="shared" si="35"/>
        <v>3.7499999999999999E-3</v>
      </c>
      <c r="AB73" s="1159"/>
      <c r="AD73" s="359">
        <f>+'10-GESTIÓN FINANCIERA'!BD18</f>
        <v>0.25</v>
      </c>
      <c r="AE73" s="361">
        <f t="shared" si="36"/>
        <v>0</v>
      </c>
      <c r="AG73" s="359">
        <f>+'10-GESTIÓN FINANCIERA'!BH18</f>
        <v>6.25E-2</v>
      </c>
      <c r="AH73" s="361">
        <f t="shared" si="37"/>
        <v>0</v>
      </c>
    </row>
    <row r="74" spans="2:34" ht="78" customHeight="1">
      <c r="B74" s="1505"/>
      <c r="C74" s="1233"/>
      <c r="D74" s="31" t="str">
        <f>+'01-FR-03 POA INSTITUCIONAL'!D74</f>
        <v>4.4.6 Ejecutar el 95% del Plan Anual de Adquisiciones respecto de gastos generales</v>
      </c>
      <c r="E74" s="52">
        <f>+'01-FR-03 POA INSTITUCIONAL'!E74</f>
        <v>0.1</v>
      </c>
      <c r="F74" s="32">
        <f>+'01-FR-03 POA INSTITUCIONAL'!F74</f>
        <v>0.95</v>
      </c>
      <c r="G74" s="174" t="str">
        <f>+'01-FR-03 POA INSTITUCIONAL'!G74</f>
        <v>S.I.</v>
      </c>
      <c r="H74" s="141" t="str">
        <f>+'01-FR-03 POA INSTITUCIONAL'!H74</f>
        <v xml:space="preserve">Porcentaje del Plan Anual de Adquisiciones ejecutado </v>
      </c>
      <c r="I74" s="142" t="str">
        <f>+'01-FR-03 POA INSTITUCIONAL'!I74</f>
        <v>Gestión Contractual</v>
      </c>
      <c r="J74" s="143" t="str">
        <f>+'01-FR-03 POA INSTITUCIONAL'!J74</f>
        <v>Subdirección de Gestión Contractual
Dirección Administrativa y Financiera</v>
      </c>
      <c r="K74" s="145">
        <f>+'01-FR-03 POA INSTITUCIONAL'!K74</f>
        <v>0.95</v>
      </c>
      <c r="L74" s="145">
        <f>+'01-FR-03 POA INSTITUCIONAL'!L74</f>
        <v>0.95</v>
      </c>
      <c r="M74" s="145">
        <f>+'01-FR-03 POA INSTITUCIONAL'!M74</f>
        <v>0.95</v>
      </c>
      <c r="N74" s="145">
        <f>+'01-FR-03 POA INSTITUCIONAL'!N74</f>
        <v>0.95</v>
      </c>
      <c r="O74" s="354">
        <f>+'11-GESTIÓN CONTRACTUAL'!V16</f>
        <v>0.36000000000000004</v>
      </c>
      <c r="P74" s="354">
        <f>+'11-GESTIÓN CONTRACTUAL'!W16</f>
        <v>0.38</v>
      </c>
      <c r="Q74" s="354">
        <f>+'11-GESTIÓN CONTRACTUAL'!AD16</f>
        <v>0.22000000000000003</v>
      </c>
      <c r="R74" s="354">
        <f>+'11-GESTIÓN CONTRACTUAL'!AE16</f>
        <v>0</v>
      </c>
      <c r="S74" s="354">
        <f>+'11-GESTIÓN CONTRACTUAL'!AL16</f>
        <v>0.21999999999999997</v>
      </c>
      <c r="T74" s="354">
        <f>+'11-GESTIÓN CONTRACTUAL'!AM16</f>
        <v>0</v>
      </c>
      <c r="U74" s="354">
        <f>+'11-GESTIÓN CONTRACTUAL'!AT16</f>
        <v>0.15000000000000002</v>
      </c>
      <c r="V74" s="354">
        <f>+'11-GESTIÓN CONTRACTUAL'!AU16</f>
        <v>0</v>
      </c>
      <c r="W74" s="354">
        <f>+'11-GESTIÓN CONTRACTUAL'!AV16</f>
        <v>0.95000000000000007</v>
      </c>
      <c r="X74" s="386">
        <f t="shared" ref="X74" si="38">+P74+R74+T74+V74</f>
        <v>0.38</v>
      </c>
      <c r="Y74" s="684">
        <f t="shared" si="34"/>
        <v>0.39999999999999997</v>
      </c>
      <c r="Z74" s="388">
        <f>(IF(AND(X74&gt;0,$F74&gt;0),X74/$F74,0)/4)</f>
        <v>0.1</v>
      </c>
      <c r="AA74" s="605">
        <f t="shared" ref="AA74:AA81" si="39">IF(AND(Z74&gt;0,E74&gt;0),Z74*E74,0)</f>
        <v>1.0000000000000002E-2</v>
      </c>
      <c r="AB74" s="1159"/>
      <c r="AD74" s="359">
        <f>+'11-GESTIÓN CONTRACTUAL'!BD16</f>
        <v>0.39999999999999997</v>
      </c>
      <c r="AE74" s="361">
        <f t="shared" si="36"/>
        <v>0</v>
      </c>
      <c r="AG74" s="359">
        <f>+'11-GESTIÓN CONTRACTUAL'!BH16</f>
        <v>0.1</v>
      </c>
      <c r="AH74" s="361">
        <f t="shared" si="37"/>
        <v>0</v>
      </c>
    </row>
    <row r="75" spans="2:34" ht="96.75" customHeight="1">
      <c r="B75" s="1505"/>
      <c r="C75" s="1233"/>
      <c r="D75" s="31" t="str">
        <f>+'01-FR-03 POA INSTITUCIONAL'!D75</f>
        <v>4.4.7 Realizar el 95% del reparto, dentro de un término no superior a tres (3) días hábiles, de las comunicaciones oficiales institucionales recibidas por el Grupo de Correspondencia.</v>
      </c>
      <c r="E75" s="52">
        <f>+'01-FR-03 POA INSTITUCIONAL'!E75</f>
        <v>0.05</v>
      </c>
      <c r="F75" s="32">
        <f>+'01-FR-03 POA INSTITUCIONAL'!F75</f>
        <v>0.95</v>
      </c>
      <c r="G75" s="174" t="str">
        <f>+'01-FR-03 POA INSTITUCIONAL'!G75</f>
        <v>S.I.</v>
      </c>
      <c r="H75" s="141" t="str">
        <f>+'01-FR-03 POA INSTITUCIONAL'!H75</f>
        <v>Porcentaje de Comunicaciones oficiales con reparto realizado dentro de los 3 días hábiles desde su radicación</v>
      </c>
      <c r="I75" s="142" t="str">
        <f>+'01-FR-03 POA INSTITUCIONAL'!I75</f>
        <v>Gestión Documental</v>
      </c>
      <c r="J75" s="143" t="str">
        <f>+'01-FR-03 POA INSTITUCIONAL'!J75</f>
        <v>Subdirección de Gestión Documental y Recursos Físicos - Grupo de Correspondencia</v>
      </c>
      <c r="K75" s="145">
        <f>+'01-FR-03 POA INSTITUCIONAL'!K75</f>
        <v>0.95</v>
      </c>
      <c r="L75" s="145">
        <f>+'01-FR-03 POA INSTITUCIONAL'!L75</f>
        <v>0.95</v>
      </c>
      <c r="M75" s="145">
        <f>+'01-FR-03 POA INSTITUCIONAL'!M75</f>
        <v>0.95</v>
      </c>
      <c r="N75" s="145">
        <f>+'01-FR-03 POA INSTITUCIONAL'!N75</f>
        <v>0.95</v>
      </c>
      <c r="O75" s="354">
        <f>+'12-GESTIÓN DOCUMENTAL'!V16</f>
        <v>0.94999999999999984</v>
      </c>
      <c r="P75" s="354">
        <f>+'12-GESTIÓN DOCUMENTAL'!W16</f>
        <v>0.98523333333333341</v>
      </c>
      <c r="Q75" s="354">
        <f>+'12-GESTIÓN DOCUMENTAL'!AD16</f>
        <v>0.94999999999999984</v>
      </c>
      <c r="R75" s="354">
        <f>+'12-GESTIÓN DOCUMENTAL'!AE16</f>
        <v>0</v>
      </c>
      <c r="S75" s="354">
        <f>+'12-GESTIÓN DOCUMENTAL'!AL16</f>
        <v>0.94999999999999984</v>
      </c>
      <c r="T75" s="354">
        <f>+'12-GESTIÓN DOCUMENTAL'!AM16</f>
        <v>0</v>
      </c>
      <c r="U75" s="354">
        <f>+'12-GESTIÓN DOCUMENTAL'!AT16</f>
        <v>0.94999999999999984</v>
      </c>
      <c r="V75" s="354">
        <f>+'12-GESTIÓN DOCUMENTAL'!AU16</f>
        <v>0</v>
      </c>
      <c r="W75" s="354">
        <f>+'12-GESTIÓN DOCUMENTAL'!AV16</f>
        <v>0.94999999999999984</v>
      </c>
      <c r="X75" s="385">
        <f>IFERROR(IF(OR($W$75="",$W$75=0),0,ROUNDDOWN(AVERAGE($P75,R75,T75,V75),3)),0)</f>
        <v>0.246</v>
      </c>
      <c r="Y75" s="679">
        <f>IF(AND(X75&gt;0,$W75&gt;0),X75/$W75,0)*0.25</f>
        <v>6.4736842105263162E-2</v>
      </c>
      <c r="Z75" s="356">
        <f>(IF(AND(X75&gt;0,$F75&gt;0),X75/$F75,0)/4)*1</f>
        <v>6.4736842105263162E-2</v>
      </c>
      <c r="AA75" s="356">
        <f t="shared" si="39"/>
        <v>3.2368421052631582E-3</v>
      </c>
      <c r="AB75" s="1159"/>
      <c r="AD75" s="359">
        <f>+'12-GESTIÓN DOCUMENTAL'!BD16</f>
        <v>0.34526315789473694</v>
      </c>
      <c r="AE75" s="361">
        <f t="shared" si="36"/>
        <v>-0.28052631578947379</v>
      </c>
      <c r="AG75" s="359">
        <f>+'12-GESTIÓN DOCUMENTAL'!BH16</f>
        <v>8.6315789473684221E-2</v>
      </c>
      <c r="AH75" s="361">
        <f t="shared" si="37"/>
        <v>-2.1578947368421059E-2</v>
      </c>
    </row>
    <row r="76" spans="2:34" ht="76.5" customHeight="1">
      <c r="B76" s="1505"/>
      <c r="C76" s="1233"/>
      <c r="D76" s="31" t="str">
        <f>+'01-FR-03 POA INSTITUCIONAL'!D76</f>
        <v>4.4.8 Incorporar el 80% al archivo central de las transferencias documentales provenientes de las dependencias, en razón a que cumplen los requisitos exigidos para ello.</v>
      </c>
      <c r="E76" s="52">
        <f>+'01-FR-03 POA INSTITUCIONAL'!E76</f>
        <v>0.05</v>
      </c>
      <c r="F76" s="32">
        <f>+'01-FR-03 POA INSTITUCIONAL'!F76</f>
        <v>0.8</v>
      </c>
      <c r="G76" s="903">
        <f>+'01-FR-03 POA INSTITUCIONAL'!G76</f>
        <v>264</v>
      </c>
      <c r="H76" s="141" t="str">
        <f>+'01-FR-03 POA INSTITUCIONAL'!H76</f>
        <v>Porcentaje de documentación incorporada en el archivo central durante la vigencia.</v>
      </c>
      <c r="I76" s="142" t="str">
        <f>+'01-FR-03 POA INSTITUCIONAL'!I76</f>
        <v>Gestión Documental</v>
      </c>
      <c r="J76" s="143" t="str">
        <f>+'01-FR-03 POA INSTITUCIONAL'!J76</f>
        <v>Subdirección de Gestión Documental y Recursos Físicos - Archivo central</v>
      </c>
      <c r="K76" s="145">
        <f>+'01-FR-03 POA INSTITUCIONAL'!K76</f>
        <v>0.8</v>
      </c>
      <c r="L76" s="145">
        <f>+'01-FR-03 POA INSTITUCIONAL'!L76</f>
        <v>0.8</v>
      </c>
      <c r="M76" s="145">
        <f>+'01-FR-03 POA INSTITUCIONAL'!M76</f>
        <v>0.8</v>
      </c>
      <c r="N76" s="145">
        <f>+'01-FR-03 POA INSTITUCIONAL'!N76</f>
        <v>0.8</v>
      </c>
      <c r="O76" s="354">
        <f>+'12-GESTIÓN DOCUMENTAL'!V17</f>
        <v>0.80000000000000016</v>
      </c>
      <c r="P76" s="354">
        <f>+'12-GESTIÓN DOCUMENTAL'!W17</f>
        <v>0.8753333333333333</v>
      </c>
      <c r="Q76" s="354">
        <f>+'12-GESTIÓN DOCUMENTAL'!AD17</f>
        <v>0.80000000000000016</v>
      </c>
      <c r="R76" s="354">
        <f>+'12-GESTIÓN DOCUMENTAL'!AE17</f>
        <v>0</v>
      </c>
      <c r="S76" s="354">
        <f>+'12-GESTIÓN DOCUMENTAL'!AL17</f>
        <v>0.80000000000000016</v>
      </c>
      <c r="T76" s="354">
        <f>+'12-GESTIÓN DOCUMENTAL'!AM17</f>
        <v>0</v>
      </c>
      <c r="U76" s="354">
        <f>+'12-GESTIÓN DOCUMENTAL'!AT17</f>
        <v>0.80000000000000016</v>
      </c>
      <c r="V76" s="354">
        <f>+'12-GESTIÓN DOCUMENTAL'!AU17</f>
        <v>0</v>
      </c>
      <c r="W76" s="354">
        <f>+'12-GESTIÓN DOCUMENTAL'!AV17</f>
        <v>0.79999999999999993</v>
      </c>
      <c r="X76" s="385">
        <f>IFERROR(IF(OR($W$76="",$W$76=0),0,ROUNDDOWN(AVERAGE($P76,R76,T76,V76),3)),0)</f>
        <v>0.218</v>
      </c>
      <c r="Y76" s="679">
        <f>IF(AND(X76&gt;0,$W76&gt;0),X76/$W76,0)*0.25</f>
        <v>6.8125000000000005E-2</v>
      </c>
      <c r="Z76" s="356">
        <f>(IF(AND(X76&gt;0,$F76&gt;0),X76/$F76,0)/4)*1</f>
        <v>6.8124999999999991E-2</v>
      </c>
      <c r="AA76" s="356">
        <f t="shared" si="39"/>
        <v>3.4062499999999996E-3</v>
      </c>
      <c r="AB76" s="1159"/>
      <c r="AD76" s="359">
        <f>+'12-GESTIÓN DOCUMENTAL'!BD17</f>
        <v>0.36375000000000002</v>
      </c>
      <c r="AE76" s="361">
        <f t="shared" si="36"/>
        <v>-0.29562500000000003</v>
      </c>
      <c r="AG76" s="359">
        <f>+'12-GESTIÓN DOCUMENTAL'!BH17</f>
        <v>9.0937499999999991E-2</v>
      </c>
      <c r="AH76" s="361">
        <f t="shared" si="37"/>
        <v>-2.2812499999999999E-2</v>
      </c>
    </row>
    <row r="77" spans="2:34" ht="120" customHeight="1">
      <c r="B77" s="1505"/>
      <c r="C77" s="1233"/>
      <c r="D77" s="31" t="str">
        <f>+'01-FR-03 POA INSTITUCIONAL'!D77</f>
        <v>4.4.9 Realizar 100 actividades de diseño, actualización o ajuste de los instrumentos archivísticos establecidos por norma.</v>
      </c>
      <c r="E77" s="52">
        <f>+'01-FR-03 POA INSTITUCIONAL'!E77</f>
        <v>0.05</v>
      </c>
      <c r="F77" s="139">
        <f>+'01-FR-03 POA INSTITUCIONAL'!F77</f>
        <v>100</v>
      </c>
      <c r="G77" s="585">
        <f>+'01-FR-03 POA INSTITUCIONAL'!G77</f>
        <v>32</v>
      </c>
      <c r="H77" s="141" t="str">
        <f>+'01-FR-03 POA INSTITUCIONAL'!H77</f>
        <v>Cantidad de actividades realizadas por año para el diseño, actualización o ajuste de los instrumentos archivísticos establecidos por norma</v>
      </c>
      <c r="I77" s="142" t="str">
        <f>+'01-FR-03 POA INSTITUCIONAL'!I77</f>
        <v>Gestión Documental</v>
      </c>
      <c r="J77" s="143" t="str">
        <f>+'01-FR-03 POA INSTITUCIONAL'!J77</f>
        <v xml:space="preserve">Subdirección de Gestión Documental y Recursos Físicos </v>
      </c>
      <c r="K77" s="144">
        <f>+'01-FR-03 POA INSTITUCIONAL'!K77</f>
        <v>25</v>
      </c>
      <c r="L77" s="144">
        <f>+'01-FR-03 POA INSTITUCIONAL'!L77</f>
        <v>25</v>
      </c>
      <c r="M77" s="144">
        <f>+'01-FR-03 POA INSTITUCIONAL'!M77</f>
        <v>25</v>
      </c>
      <c r="N77" s="144">
        <f>+'01-FR-03 POA INSTITUCIONAL'!N77</f>
        <v>25</v>
      </c>
      <c r="O77" s="173">
        <f>+'12-GESTIÓN DOCUMENTAL'!V18</f>
        <v>5</v>
      </c>
      <c r="P77" s="173">
        <f>+'12-GESTIÓN DOCUMENTAL'!W18</f>
        <v>6</v>
      </c>
      <c r="Q77" s="173">
        <f>+'12-GESTIÓN DOCUMENTAL'!AD18</f>
        <v>7</v>
      </c>
      <c r="R77" s="173">
        <f>+'12-GESTIÓN DOCUMENTAL'!AE18</f>
        <v>0</v>
      </c>
      <c r="S77" s="173">
        <f>+'12-GESTIÓN DOCUMENTAL'!AL18</f>
        <v>7</v>
      </c>
      <c r="T77" s="173">
        <f>+'12-GESTIÓN DOCUMENTAL'!AM18</f>
        <v>0</v>
      </c>
      <c r="U77" s="173">
        <f>+'12-GESTIÓN DOCUMENTAL'!AT18</f>
        <v>6</v>
      </c>
      <c r="V77" s="173">
        <f>+'12-GESTIÓN DOCUMENTAL'!AU18</f>
        <v>0</v>
      </c>
      <c r="W77" s="173">
        <f>+'12-GESTIÓN DOCUMENTAL'!AV18</f>
        <v>25</v>
      </c>
      <c r="X77" s="173">
        <f t="shared" ref="X77:X78" si="40">+P77+R77+T77+V77</f>
        <v>6</v>
      </c>
      <c r="Y77" s="685">
        <f t="shared" ref="Y77:Y78" si="41">IF(AND(X77&gt;0,$W77&gt;0),X77/$W77,0)</f>
        <v>0.24</v>
      </c>
      <c r="Z77" s="356">
        <f t="shared" ref="Z77:Z78" si="42">IF(AND(X77&gt;0,$F77&gt;0),X77/$F77,0)</f>
        <v>0.06</v>
      </c>
      <c r="AA77" s="362">
        <f t="shared" si="39"/>
        <v>3.0000000000000001E-3</v>
      </c>
      <c r="AB77" s="1159"/>
      <c r="AD77" s="359">
        <f>+'12-GESTIÓN DOCUMENTAL'!BD18</f>
        <v>0.24</v>
      </c>
      <c r="AE77" s="361">
        <f t="shared" si="36"/>
        <v>0</v>
      </c>
      <c r="AG77" s="359">
        <f>+'12-GESTIÓN DOCUMENTAL'!BH18</f>
        <v>0.06</v>
      </c>
      <c r="AH77" s="361">
        <f t="shared" si="37"/>
        <v>0</v>
      </c>
    </row>
    <row r="78" spans="2:34" ht="87" customHeight="1">
      <c r="B78" s="1505"/>
      <c r="C78" s="1233"/>
      <c r="D78" s="31" t="str">
        <f>+'01-FR-03 POA INSTITUCIONAL'!D78</f>
        <v>4.4.10 Realizar 100 actividades de implementación de los instrumentos archivísticos establecidos por norma, y de las herramientas de apoyo a la gestión documental.</v>
      </c>
      <c r="E78" s="52">
        <f>+'01-FR-03 POA INSTITUCIONAL'!E78</f>
        <v>0.05</v>
      </c>
      <c r="F78" s="139">
        <f>+'01-FR-03 POA INSTITUCIONAL'!F78</f>
        <v>100</v>
      </c>
      <c r="G78" s="585">
        <f>+'01-FR-03 POA INSTITUCIONAL'!G78</f>
        <v>26</v>
      </c>
      <c r="H78" s="141" t="str">
        <f>+'01-FR-03 POA INSTITUCIONAL'!H78</f>
        <v>Cantidad de actividades realizadas por año para implementación de los instrumentos archivísticos establecidos por norma, y de herramientas de apoyo a la gestión documental.</v>
      </c>
      <c r="I78" s="142" t="str">
        <f>+'01-FR-03 POA INSTITUCIONAL'!I78</f>
        <v>Gestión Documental
Direccionamiento TIC</v>
      </c>
      <c r="J78" s="143" t="str">
        <f>+'01-FR-03 POA INSTITUCIONAL'!J78</f>
        <v>Subdirección de Gestión Documental y Recursos Físicos
Dirección de Tecnologías de la Información y Comunicaciones</v>
      </c>
      <c r="K78" s="144">
        <f>+'01-FR-03 POA INSTITUCIONAL'!K78</f>
        <v>25</v>
      </c>
      <c r="L78" s="144">
        <f>+'01-FR-03 POA INSTITUCIONAL'!L78</f>
        <v>25</v>
      </c>
      <c r="M78" s="144">
        <f>+'01-FR-03 POA INSTITUCIONAL'!M78</f>
        <v>25</v>
      </c>
      <c r="N78" s="144">
        <f>+'01-FR-03 POA INSTITUCIONAL'!N78</f>
        <v>25</v>
      </c>
      <c r="O78" s="173">
        <f>+'12-GESTIÓN DOCUMENTAL'!V19</f>
        <v>5</v>
      </c>
      <c r="P78" s="173">
        <f>+'12-GESTIÓN DOCUMENTAL'!W19</f>
        <v>5</v>
      </c>
      <c r="Q78" s="173">
        <f>+'12-GESTIÓN DOCUMENTAL'!AD19</f>
        <v>7</v>
      </c>
      <c r="R78" s="173">
        <f>+'12-GESTIÓN DOCUMENTAL'!AE19</f>
        <v>0</v>
      </c>
      <c r="S78" s="173">
        <f>+'12-GESTIÓN DOCUMENTAL'!AL19</f>
        <v>7</v>
      </c>
      <c r="T78" s="173">
        <f>+'12-GESTIÓN DOCUMENTAL'!AM19</f>
        <v>0</v>
      </c>
      <c r="U78" s="173">
        <f>+'12-GESTIÓN DOCUMENTAL'!AT19</f>
        <v>6</v>
      </c>
      <c r="V78" s="173">
        <f>+'12-GESTIÓN DOCUMENTAL'!AU19</f>
        <v>0</v>
      </c>
      <c r="W78" s="173">
        <f>+'12-GESTIÓN DOCUMENTAL'!AV19</f>
        <v>25</v>
      </c>
      <c r="X78" s="173">
        <f t="shared" si="40"/>
        <v>5</v>
      </c>
      <c r="Y78" s="685">
        <f t="shared" si="41"/>
        <v>0.2</v>
      </c>
      <c r="Z78" s="356">
        <f t="shared" si="42"/>
        <v>0.05</v>
      </c>
      <c r="AA78" s="362">
        <f t="shared" si="39"/>
        <v>2.5000000000000005E-3</v>
      </c>
      <c r="AB78" s="1159"/>
      <c r="AD78" s="359">
        <f>+'12-GESTIÓN DOCUMENTAL'!BD19</f>
        <v>0.2</v>
      </c>
      <c r="AE78" s="361">
        <f t="shared" si="36"/>
        <v>0</v>
      </c>
      <c r="AG78" s="359">
        <f>+'12-GESTIÓN DOCUMENTAL'!BH19</f>
        <v>0.05</v>
      </c>
      <c r="AH78" s="361">
        <f t="shared" si="37"/>
        <v>0</v>
      </c>
    </row>
    <row r="79" spans="2:34" ht="63" customHeight="1">
      <c r="B79" s="1505"/>
      <c r="C79" s="1233"/>
      <c r="D79" s="31" t="str">
        <f>+'01-FR-03 POA INSTITUCIONAL'!D79</f>
        <v>4.4.11  Representar a la Entidad en el 100% de los procesos judiciales en los cuales la sea vinculada o demandada.</v>
      </c>
      <c r="E79" s="52">
        <f>+'01-FR-03 POA INSTITUCIONAL'!E79</f>
        <v>0.05</v>
      </c>
      <c r="F79" s="32">
        <f>+'01-FR-03 POA INSTITUCIONAL'!F79</f>
        <v>1</v>
      </c>
      <c r="G79" s="174">
        <f>+'01-FR-03 POA INSTITUCIONAL'!G79</f>
        <v>1</v>
      </c>
      <c r="H79" s="141" t="str">
        <f>+'01-FR-03 POA INSTITUCIONAL'!H79</f>
        <v>Porcentaje de procesos judiciales en los que se vincule o demande a la Entidad, objeto de representación oportuna</v>
      </c>
      <c r="I79" s="142" t="str">
        <f>+'01-FR-03 POA INSTITUCIONAL'!I79</f>
        <v xml:space="preserve"> Gestión Jurídica</v>
      </c>
      <c r="J79" s="143" t="str">
        <f>+'01-FR-03 POA INSTITUCIONAL'!J79</f>
        <v>Oficina Asesora Jurídica</v>
      </c>
      <c r="K79" s="145">
        <f>+'01-FR-03 POA INSTITUCIONAL'!K79</f>
        <v>1</v>
      </c>
      <c r="L79" s="145">
        <f>+'01-FR-03 POA INSTITUCIONAL'!L79</f>
        <v>1</v>
      </c>
      <c r="M79" s="145">
        <f>+'01-FR-03 POA INSTITUCIONAL'!M79</f>
        <v>1</v>
      </c>
      <c r="N79" s="145">
        <f>+'01-FR-03 POA INSTITUCIONAL'!N79</f>
        <v>1</v>
      </c>
      <c r="O79" s="389">
        <f>+'13-GESTIÓN JURÍDICA'!V16</f>
        <v>1</v>
      </c>
      <c r="P79" s="389">
        <f>+'13-GESTIÓN JURÍDICA'!W16</f>
        <v>1</v>
      </c>
      <c r="Q79" s="389">
        <f>+'13-GESTIÓN JURÍDICA'!AD16</f>
        <v>1</v>
      </c>
      <c r="R79" s="389">
        <f>+'13-GESTIÓN JURÍDICA'!AE16</f>
        <v>0</v>
      </c>
      <c r="S79" s="389">
        <f>+'13-GESTIÓN JURÍDICA'!AL16</f>
        <v>1</v>
      </c>
      <c r="T79" s="354">
        <f>+'13-GESTIÓN JURÍDICA'!AM16</f>
        <v>0</v>
      </c>
      <c r="U79" s="354">
        <f>+'13-GESTIÓN JURÍDICA'!AT16</f>
        <v>1</v>
      </c>
      <c r="V79" s="354">
        <f>+'13-GESTIÓN JURÍDICA'!AU16</f>
        <v>0</v>
      </c>
      <c r="W79" s="354">
        <f>+'13-GESTIÓN JURÍDICA'!AV16</f>
        <v>1</v>
      </c>
      <c r="X79" s="385">
        <f>IFERROR(IF(OR($W$79="",$W$79=0),0,ROUNDDOWN(AVERAGE($P79,R79,T79,V79),3)),0)</f>
        <v>0.25</v>
      </c>
      <c r="Y79" s="679">
        <f t="shared" ref="Y79:Y86" si="43">IF(AND(X79&gt;0,$W79&gt;0),X79/$W79,0)*0.25</f>
        <v>6.25E-2</v>
      </c>
      <c r="Z79" s="356">
        <f t="shared" ref="Z79:Z86" si="44">(IF(AND(X79&gt;0,$F79&gt;0),X79/$F79,0)/4)*1</f>
        <v>6.25E-2</v>
      </c>
      <c r="AA79" s="362">
        <f t="shared" si="39"/>
        <v>3.1250000000000002E-3</v>
      </c>
      <c r="AB79" s="1159"/>
      <c r="AD79" s="359">
        <f>+'13-GESTIÓN JURÍDICA'!BD16</f>
        <v>0.25</v>
      </c>
      <c r="AE79" s="361">
        <f t="shared" si="36"/>
        <v>-0.1875</v>
      </c>
      <c r="AG79" s="359">
        <f>+'13-GESTIÓN JURÍDICA'!BH16</f>
        <v>6.25E-2</v>
      </c>
      <c r="AH79" s="361">
        <f t="shared" si="37"/>
        <v>0</v>
      </c>
    </row>
    <row r="80" spans="2:34" ht="54.75" customHeight="1">
      <c r="B80" s="1505"/>
      <c r="C80" s="1233"/>
      <c r="D80" s="31" t="str">
        <f>+'01-FR-03 POA INSTITUCIONAL'!D80</f>
        <v xml:space="preserve">4.4.12 Defender judicialmente a la Entidad en el 100% de las acciones de tutela en las cuales sea vinculada o accionada </v>
      </c>
      <c r="E80" s="52">
        <f>+'01-FR-03 POA INSTITUCIONAL'!E80</f>
        <v>0.05</v>
      </c>
      <c r="F80" s="32">
        <f>+'01-FR-03 POA INSTITUCIONAL'!F80</f>
        <v>1</v>
      </c>
      <c r="G80" s="174">
        <f>+'01-FR-03 POA INSTITUCIONAL'!G80</f>
        <v>1</v>
      </c>
      <c r="H80" s="141" t="str">
        <f>+'01-FR-03 POA INSTITUCIONAL'!H80</f>
        <v xml:space="preserve">Porcentaje de acciones de tutela en las cuales se defienda judicialmente a la Entidad oportunamente </v>
      </c>
      <c r="I80" s="142" t="str">
        <f>+'01-FR-03 POA INSTITUCIONAL'!I80</f>
        <v xml:space="preserve"> Gestión Jurídica</v>
      </c>
      <c r="J80" s="143" t="str">
        <f>+'01-FR-03 POA INSTITUCIONAL'!J80</f>
        <v>Oficina Asesora Jurídica</v>
      </c>
      <c r="K80" s="145">
        <f>+'01-FR-03 POA INSTITUCIONAL'!K80</f>
        <v>1</v>
      </c>
      <c r="L80" s="145">
        <f>+'01-FR-03 POA INSTITUCIONAL'!L80</f>
        <v>1</v>
      </c>
      <c r="M80" s="145">
        <f>+'01-FR-03 POA INSTITUCIONAL'!M80</f>
        <v>1</v>
      </c>
      <c r="N80" s="145">
        <f>+'01-FR-03 POA INSTITUCIONAL'!N80</f>
        <v>1</v>
      </c>
      <c r="O80" s="389">
        <f>+'13-GESTIÓN JURÍDICA'!V17</f>
        <v>1</v>
      </c>
      <c r="P80" s="389">
        <f>+'13-GESTIÓN JURÍDICA'!W17</f>
        <v>1</v>
      </c>
      <c r="Q80" s="389">
        <f>+'13-GESTIÓN JURÍDICA'!AD17</f>
        <v>1</v>
      </c>
      <c r="R80" s="389">
        <f>+'13-GESTIÓN JURÍDICA'!AE17</f>
        <v>0</v>
      </c>
      <c r="S80" s="389">
        <f>+'13-GESTIÓN JURÍDICA'!AL17</f>
        <v>1</v>
      </c>
      <c r="T80" s="354">
        <f>+'13-GESTIÓN JURÍDICA'!AM17</f>
        <v>0</v>
      </c>
      <c r="U80" s="354">
        <f>+'13-GESTIÓN JURÍDICA'!AT17</f>
        <v>1</v>
      </c>
      <c r="V80" s="354">
        <f>+'13-GESTIÓN JURÍDICA'!AU17</f>
        <v>0</v>
      </c>
      <c r="W80" s="354">
        <f>+'13-GESTIÓN JURÍDICA'!AV17</f>
        <v>1</v>
      </c>
      <c r="X80" s="385">
        <f>IFERROR(IF(OR($W$80="",$W$80=0),0,ROUNDDOWN(AVERAGE($P80,R80,T80,V80),3)),0)</f>
        <v>0.25</v>
      </c>
      <c r="Y80" s="679">
        <f t="shared" si="43"/>
        <v>6.25E-2</v>
      </c>
      <c r="Z80" s="356">
        <f t="shared" si="44"/>
        <v>6.25E-2</v>
      </c>
      <c r="AA80" s="362">
        <f t="shared" si="39"/>
        <v>3.1250000000000002E-3</v>
      </c>
      <c r="AB80" s="1159"/>
      <c r="AD80" s="359">
        <f>+'13-GESTIÓN JURÍDICA'!BD17</f>
        <v>0.25</v>
      </c>
      <c r="AE80" s="361">
        <f t="shared" si="36"/>
        <v>-0.1875</v>
      </c>
      <c r="AG80" s="359">
        <f>+'13-GESTIÓN JURÍDICA'!BH17</f>
        <v>6.25E-2</v>
      </c>
      <c r="AH80" s="361">
        <f t="shared" si="37"/>
        <v>0</v>
      </c>
    </row>
    <row r="81" spans="2:34" ht="78.75" customHeight="1">
      <c r="B81" s="1505"/>
      <c r="C81" s="1233"/>
      <c r="D81" s="31" t="str">
        <f>+'01-FR-03 POA INSTITUCIONAL'!D81</f>
        <v>4.4.13 Emitir oportunamente el 100% de los conceptos jurídicos solicitados por el Despacho del Personero de Bogotá o sus delegados.</v>
      </c>
      <c r="E81" s="52">
        <f>+'01-FR-03 POA INSTITUCIONAL'!E81</f>
        <v>0.05</v>
      </c>
      <c r="F81" s="32">
        <f>+'01-FR-03 POA INSTITUCIONAL'!F81</f>
        <v>1</v>
      </c>
      <c r="G81" s="174">
        <f>+'01-FR-03 POA INSTITUCIONAL'!G81</f>
        <v>1</v>
      </c>
      <c r="H81" s="141" t="str">
        <f>+'01-FR-03 POA INSTITUCIONAL'!H81</f>
        <v>Porcentaje de conceptos de competencia de la dependencia emitidos oportunamente</v>
      </c>
      <c r="I81" s="142" t="str">
        <f>+'01-FR-03 POA INSTITUCIONAL'!I81</f>
        <v xml:space="preserve"> Gestión Jurídica</v>
      </c>
      <c r="J81" s="143" t="str">
        <f>+'01-FR-03 POA INSTITUCIONAL'!J81</f>
        <v>Oficina Asesora Jurídica</v>
      </c>
      <c r="K81" s="145">
        <f>+'01-FR-03 POA INSTITUCIONAL'!K81</f>
        <v>1</v>
      </c>
      <c r="L81" s="145">
        <f>+'01-FR-03 POA INSTITUCIONAL'!L81</f>
        <v>1</v>
      </c>
      <c r="M81" s="145">
        <f>+'01-FR-03 POA INSTITUCIONAL'!M81</f>
        <v>1</v>
      </c>
      <c r="N81" s="145">
        <f>+'01-FR-03 POA INSTITUCIONAL'!N81</f>
        <v>1</v>
      </c>
      <c r="O81" s="389">
        <f>+'13-GESTIÓN JURÍDICA'!V18</f>
        <v>1</v>
      </c>
      <c r="P81" s="389">
        <f>+'13-GESTIÓN JURÍDICA'!W18</f>
        <v>1</v>
      </c>
      <c r="Q81" s="389">
        <f>+'13-GESTIÓN JURÍDICA'!AD18</f>
        <v>1</v>
      </c>
      <c r="R81" s="389">
        <f>+'13-GESTIÓN JURÍDICA'!AE18</f>
        <v>0</v>
      </c>
      <c r="S81" s="389">
        <f>+'13-GESTIÓN JURÍDICA'!AL18</f>
        <v>1</v>
      </c>
      <c r="T81" s="354">
        <f>+'13-GESTIÓN JURÍDICA'!AM18</f>
        <v>0</v>
      </c>
      <c r="U81" s="354">
        <f>+'13-GESTIÓN JURÍDICA'!AT18</f>
        <v>1</v>
      </c>
      <c r="V81" s="354">
        <f>+'13-GESTIÓN JURÍDICA'!AU18</f>
        <v>0</v>
      </c>
      <c r="W81" s="354">
        <f>+'13-GESTIÓN JURÍDICA'!AV18</f>
        <v>1</v>
      </c>
      <c r="X81" s="385">
        <f>IFERROR(IF(OR($W$81="",$W$81=0),0,ROUNDDOWN(AVERAGE($P81,R81,T81,V81),3)),0)</f>
        <v>0.25</v>
      </c>
      <c r="Y81" s="679">
        <f t="shared" si="43"/>
        <v>6.25E-2</v>
      </c>
      <c r="Z81" s="356">
        <f t="shared" si="44"/>
        <v>6.25E-2</v>
      </c>
      <c r="AA81" s="362">
        <f t="shared" si="39"/>
        <v>3.1250000000000002E-3</v>
      </c>
      <c r="AB81" s="1159"/>
      <c r="AD81" s="359">
        <f>+'13-GESTIÓN JURÍDICA'!BD18</f>
        <v>0.25</v>
      </c>
      <c r="AE81" s="361">
        <f t="shared" si="36"/>
        <v>-0.1875</v>
      </c>
      <c r="AG81" s="359">
        <f>+'13-GESTIÓN JURÍDICA'!BH18</f>
        <v>6.25E-2</v>
      </c>
      <c r="AH81" s="361">
        <f t="shared" si="37"/>
        <v>0</v>
      </c>
    </row>
    <row r="82" spans="2:34" ht="76.5" customHeight="1">
      <c r="B82" s="1505"/>
      <c r="C82" s="1233"/>
      <c r="D82" s="1490" t="str">
        <f>+'01-FR-03 POA INSTITUCIONAL'!D82</f>
        <v>4.4.14 Registrar el 100% de los reportes de las sanciones disciplinarias de los servidores públicos distritales.</v>
      </c>
      <c r="E82" s="1477">
        <f>+'01-FR-03 POA INSTITUCIONAL'!E82</f>
        <v>0.05</v>
      </c>
      <c r="F82" s="32">
        <f>+'01-FR-03 POA INSTITUCIONAL'!F82</f>
        <v>1</v>
      </c>
      <c r="G82" s="174">
        <f>+'01-FR-03 POA INSTITUCIONAL'!G82</f>
        <v>1</v>
      </c>
      <c r="H82" s="141" t="str">
        <f>+'01-FR-03 POA INSTITUCIONAL'!H82</f>
        <v>Porcentaje de reportes de la base de datos de sanciones disciplinarias registrados</v>
      </c>
      <c r="I82" s="142" t="str">
        <f>+'01-FR-03 POA INSTITUCIONAL'!I82</f>
        <v xml:space="preserve"> Gestión Jurídica</v>
      </c>
      <c r="J82" s="143" t="str">
        <f>+'01-FR-03 POA INSTITUCIONAL'!J82</f>
        <v>Oficina Asesora Jurídica</v>
      </c>
      <c r="K82" s="145">
        <f>+'01-FR-03 POA INSTITUCIONAL'!K82</f>
        <v>1</v>
      </c>
      <c r="L82" s="145">
        <f>+'01-FR-03 POA INSTITUCIONAL'!L82</f>
        <v>1</v>
      </c>
      <c r="M82" s="145">
        <f>+'01-FR-03 POA INSTITUCIONAL'!M82</f>
        <v>1</v>
      </c>
      <c r="N82" s="145">
        <f>+'01-FR-03 POA INSTITUCIONAL'!N82</f>
        <v>1</v>
      </c>
      <c r="O82" s="389">
        <f>+'13-GESTIÓN JURÍDICA'!V19</f>
        <v>1</v>
      </c>
      <c r="P82" s="389">
        <f>+'13-GESTIÓN JURÍDICA'!W19</f>
        <v>1</v>
      </c>
      <c r="Q82" s="389">
        <f>+'13-GESTIÓN JURÍDICA'!AD19</f>
        <v>1</v>
      </c>
      <c r="R82" s="389">
        <f>+'13-GESTIÓN JURÍDICA'!AE19</f>
        <v>0</v>
      </c>
      <c r="S82" s="389">
        <f>+'13-GESTIÓN JURÍDICA'!AL19</f>
        <v>1</v>
      </c>
      <c r="T82" s="354">
        <f>+'13-GESTIÓN JURÍDICA'!AM19</f>
        <v>0</v>
      </c>
      <c r="U82" s="354">
        <f>+'13-GESTIÓN JURÍDICA'!AT19</f>
        <v>1</v>
      </c>
      <c r="V82" s="354">
        <f>+'13-GESTIÓN JURÍDICA'!AU19</f>
        <v>0</v>
      </c>
      <c r="W82" s="354">
        <f>+'13-GESTIÓN JURÍDICA'!AV19</f>
        <v>1</v>
      </c>
      <c r="X82" s="385">
        <f>IFERROR(IF(OR($W$82="",$W$82=0),0,ROUNDDOWN(AVERAGE($P82,R82,T82,V82),3)),0)</f>
        <v>0.25</v>
      </c>
      <c r="Y82" s="679">
        <f t="shared" si="43"/>
        <v>6.25E-2</v>
      </c>
      <c r="Z82" s="356">
        <f t="shared" si="44"/>
        <v>6.25E-2</v>
      </c>
      <c r="AA82" s="1540">
        <f>AVERAGE((IF(AND(Z82&gt;0,E82&gt;0),Z82*E82,0)),(IF(AND(Z83&gt;0,E82&gt;0),Z83*E82,0)))</f>
        <v>3.1250000000000002E-3</v>
      </c>
      <c r="AB82" s="1159"/>
      <c r="AD82" s="359">
        <f>+'13-GESTIÓN JURÍDICA'!BD19</f>
        <v>0.25</v>
      </c>
      <c r="AE82" s="361">
        <f t="shared" si="36"/>
        <v>-0.1875</v>
      </c>
      <c r="AG82" s="359">
        <f>+'13-GESTIÓN JURÍDICA'!BH19</f>
        <v>6.25E-2</v>
      </c>
      <c r="AH82" s="361">
        <f t="shared" si="37"/>
        <v>0</v>
      </c>
    </row>
    <row r="83" spans="2:34" ht="76.5" customHeight="1">
      <c r="B83" s="1505"/>
      <c r="C83" s="1233"/>
      <c r="D83" s="1491"/>
      <c r="E83" s="1478"/>
      <c r="F83" s="32">
        <f>+'01-FR-03 POA INSTITUCIONAL'!F83</f>
        <v>1</v>
      </c>
      <c r="G83" s="174">
        <f>+'01-FR-03 POA INSTITUCIONAL'!G83</f>
        <v>1</v>
      </c>
      <c r="H83" s="141" t="str">
        <f>+'01-FR-03 POA INSTITUCIONAL'!H83</f>
        <v>Porcentaje de antecedentes disciplinarios expedidos</v>
      </c>
      <c r="I83" s="142" t="str">
        <f>+'01-FR-03 POA INSTITUCIONAL'!I83</f>
        <v xml:space="preserve"> Gestión Jurídica</v>
      </c>
      <c r="J83" s="143" t="str">
        <f>+'01-FR-03 POA INSTITUCIONAL'!J83</f>
        <v>Oficina Asesora Jurídica</v>
      </c>
      <c r="K83" s="145">
        <f>+'01-FR-03 POA INSTITUCIONAL'!K83</f>
        <v>1</v>
      </c>
      <c r="L83" s="145">
        <f>+'01-FR-03 POA INSTITUCIONAL'!L83</f>
        <v>1</v>
      </c>
      <c r="M83" s="145">
        <f>+'01-FR-03 POA INSTITUCIONAL'!M83</f>
        <v>1</v>
      </c>
      <c r="N83" s="145">
        <f>+'01-FR-03 POA INSTITUCIONAL'!N83</f>
        <v>1</v>
      </c>
      <c r="O83" s="389">
        <f>+'13-GESTIÓN JURÍDICA'!V20</f>
        <v>1</v>
      </c>
      <c r="P83" s="389">
        <f>+'13-GESTIÓN JURÍDICA'!W20</f>
        <v>1</v>
      </c>
      <c r="Q83" s="389">
        <f>+'13-GESTIÓN JURÍDICA'!AD20</f>
        <v>1</v>
      </c>
      <c r="R83" s="389">
        <f>+'13-GESTIÓN JURÍDICA'!AE20</f>
        <v>0</v>
      </c>
      <c r="S83" s="389">
        <f>+'13-GESTIÓN JURÍDICA'!AL20</f>
        <v>1</v>
      </c>
      <c r="T83" s="354">
        <f>+'13-GESTIÓN JURÍDICA'!AM20</f>
        <v>0</v>
      </c>
      <c r="U83" s="354">
        <f>+'13-GESTIÓN JURÍDICA'!AT20</f>
        <v>1</v>
      </c>
      <c r="V83" s="354">
        <f>+'13-GESTIÓN JURÍDICA'!AU20</f>
        <v>0</v>
      </c>
      <c r="W83" s="354">
        <f>+'13-GESTIÓN JURÍDICA'!AV20</f>
        <v>1</v>
      </c>
      <c r="X83" s="385">
        <f>IFERROR(IF(OR($W$83="",$W$83=0),0,ROUNDDOWN(AVERAGE($P83,R83,T83,V83),3)),0)</f>
        <v>0.25</v>
      </c>
      <c r="Y83" s="679">
        <f t="shared" si="43"/>
        <v>6.25E-2</v>
      </c>
      <c r="Z83" s="356">
        <f t="shared" si="44"/>
        <v>6.25E-2</v>
      </c>
      <c r="AA83" s="1541"/>
      <c r="AB83" s="1159"/>
      <c r="AD83" s="359">
        <f>+'13-GESTIÓN JURÍDICA'!BD20</f>
        <v>0.25</v>
      </c>
      <c r="AE83" s="361">
        <f t="shared" si="36"/>
        <v>-0.1875</v>
      </c>
      <c r="AG83" s="359">
        <f>+'13-GESTIÓN JURÍDICA'!BH20</f>
        <v>6.25E-2</v>
      </c>
      <c r="AH83" s="361">
        <f t="shared" si="37"/>
        <v>0</v>
      </c>
    </row>
    <row r="84" spans="2:34" ht="76.5" customHeight="1">
      <c r="B84" s="1505"/>
      <c r="C84" s="1233"/>
      <c r="D84" s="1493" t="str">
        <f>+'01-FR-03 POA INSTITUCIONAL'!D84</f>
        <v>4.4.15 Elaborar el 95% de los contratos en cada una de las modalidades de selección en los tiempos óptimos</v>
      </c>
      <c r="E84" s="1496">
        <f>+'01-FR-03 POA INSTITUCIONAL'!E84</f>
        <v>0.1</v>
      </c>
      <c r="F84" s="32">
        <f>+'01-FR-03 POA INSTITUCIONAL'!F84</f>
        <v>0.95</v>
      </c>
      <c r="G84" s="174" t="str">
        <f>+'01-FR-03 POA INSTITUCIONAL'!G84</f>
        <v>S.I.</v>
      </c>
      <c r="H84" s="141" t="str">
        <f>+'01-FR-03 POA INSTITUCIONAL'!H84</f>
        <v xml:space="preserve">Porcentaje de contratos en la modalidad de contratacion directa elaborados en los tiempos óptimos </v>
      </c>
      <c r="I84" s="142" t="str">
        <f>+'01-FR-03 POA INSTITUCIONAL'!I84</f>
        <v>Gestión Contractual</v>
      </c>
      <c r="J84" s="143" t="str">
        <f>+'01-FR-03 POA INSTITUCIONAL'!J84</f>
        <v>Subdirección de Gestión Contractual
Dirección Administrativa y Financiera</v>
      </c>
      <c r="K84" s="145">
        <f>+'01-FR-03 POA INSTITUCIONAL'!K84</f>
        <v>0.6</v>
      </c>
      <c r="L84" s="145">
        <f>+'01-FR-03 POA INSTITUCIONAL'!L84</f>
        <v>0.8</v>
      </c>
      <c r="M84" s="145">
        <f>+'01-FR-03 POA INSTITUCIONAL'!M84</f>
        <v>0.9</v>
      </c>
      <c r="N84" s="145">
        <f>+'01-FR-03 POA INSTITUCIONAL'!N84</f>
        <v>0.95</v>
      </c>
      <c r="O84" s="354">
        <f>+'11-GESTIÓN CONTRACTUAL'!V17</f>
        <v>0.8</v>
      </c>
      <c r="P84" s="354">
        <f>+'11-GESTIÓN CONTRACTUAL'!W17</f>
        <v>1</v>
      </c>
      <c r="Q84" s="354">
        <f>+'11-GESTIÓN CONTRACTUAL'!AD17</f>
        <v>0</v>
      </c>
      <c r="R84" s="354">
        <f>+'11-GESTIÓN CONTRACTUAL'!AE17</f>
        <v>0</v>
      </c>
      <c r="S84" s="354">
        <f>+'11-GESTIÓN CONTRACTUAL'!AL17</f>
        <v>0.80000000000000016</v>
      </c>
      <c r="T84" s="354">
        <f>+'11-GESTIÓN CONTRACTUAL'!AM17</f>
        <v>0</v>
      </c>
      <c r="U84" s="354">
        <f>+'11-GESTIÓN CONTRACTUAL'!AT17</f>
        <v>0.80000000000000016</v>
      </c>
      <c r="V84" s="942">
        <f>+'11-GESTIÓN CONTRACTUAL'!AU17</f>
        <v>0</v>
      </c>
      <c r="W84" s="354">
        <f>+'11-GESTIÓN CONTRACTUAL'!AJ17</f>
        <v>0.8</v>
      </c>
      <c r="X84" s="385">
        <f>+'11-GESTIÓN CONTRACTUAL'!AZ17</f>
        <v>0.14199999999999999</v>
      </c>
      <c r="Y84" s="676">
        <f t="shared" si="43"/>
        <v>4.4374999999999991E-2</v>
      </c>
      <c r="Z84" s="356">
        <f t="shared" si="44"/>
        <v>3.7368421052631579E-2</v>
      </c>
      <c r="AA84" s="1540">
        <f>AVERAGE((IF(AND(Z84&gt;0,E84&gt;0),Z84*E84,0)),(IF(AND(Z85&gt;0,E84&gt;0),Z85*E84,0)),(IF(AND(Z86&gt;0,E84&gt;0),Z86*E84,0)))</f>
        <v>1.2456140350877193E-3</v>
      </c>
      <c r="AB84" s="1159"/>
      <c r="AD84" s="359">
        <f>+'11-GESTIÓN CONTRACTUAL'!BD17</f>
        <v>0.17749999999999999</v>
      </c>
      <c r="AE84" s="361">
        <f t="shared" ref="AE84" si="45">Y84-AD84</f>
        <v>-0.13312499999999999</v>
      </c>
      <c r="AG84" s="359">
        <f>+'11-GESTIÓN CONTRACTUAL'!BH17</f>
        <v>3.7368421052631579E-2</v>
      </c>
      <c r="AH84" s="361">
        <f t="shared" ref="AH84" si="46">+Z84-AG84</f>
        <v>0</v>
      </c>
    </row>
    <row r="85" spans="2:34" ht="76.5" customHeight="1">
      <c r="B85" s="1505"/>
      <c r="C85" s="1233"/>
      <c r="D85" s="1494"/>
      <c r="E85" s="1279"/>
      <c r="F85" s="32">
        <f>+'01-FR-03 POA INSTITUCIONAL'!F85</f>
        <v>0.95</v>
      </c>
      <c r="G85" s="174" t="str">
        <f>+'01-FR-03 POA INSTITUCIONAL'!G85</f>
        <v>S.I.</v>
      </c>
      <c r="H85" s="141" t="str">
        <f>+'01-FR-03 POA INSTITUCIONAL'!H85</f>
        <v xml:space="preserve">Porcentaje de contratos en la modalidad de selección abreviada de menor cuantía elaborados en los tiempos óptimos </v>
      </c>
      <c r="I85" s="142" t="str">
        <f>+'01-FR-03 POA INSTITUCIONAL'!I85</f>
        <v>Gestión Contractual</v>
      </c>
      <c r="J85" s="143" t="str">
        <f>+'01-FR-03 POA INSTITUCIONAL'!J85</f>
        <v>Subdirección de Gestión Contractual
Dirección Administrativa y Financiera</v>
      </c>
      <c r="K85" s="145">
        <f>+'01-FR-03 POA INSTITUCIONAL'!K85</f>
        <v>0.6</v>
      </c>
      <c r="L85" s="145">
        <f>+'01-FR-03 POA INSTITUCIONAL'!L85</f>
        <v>0.8</v>
      </c>
      <c r="M85" s="145">
        <f>+'01-FR-03 POA INSTITUCIONAL'!M85</f>
        <v>0.9</v>
      </c>
      <c r="N85" s="145">
        <f>+'01-FR-03 POA INSTITUCIONAL'!N85</f>
        <v>0.95</v>
      </c>
      <c r="O85" s="354">
        <f>+'11-GESTIÓN CONTRACTUAL'!V18</f>
        <v>0</v>
      </c>
      <c r="P85" s="354">
        <f>+'11-GESTIÓN CONTRACTUAL'!W18</f>
        <v>1</v>
      </c>
      <c r="Q85" s="354">
        <f>+'11-GESTIÓN CONTRACTUAL'!AD18</f>
        <v>0</v>
      </c>
      <c r="R85" s="354">
        <f>+'11-GESTIÓN CONTRACTUAL'!AE18</f>
        <v>0</v>
      </c>
      <c r="S85" s="354">
        <f>+'11-GESTIÓN CONTRACTUAL'!AL18</f>
        <v>0.80000000000000016</v>
      </c>
      <c r="T85" s="354">
        <f>+'11-GESTIÓN CONTRACTUAL'!AM18</f>
        <v>0</v>
      </c>
      <c r="U85" s="354">
        <f>+'11-GESTIÓN CONTRACTUAL'!AT18</f>
        <v>0.53333333333333333</v>
      </c>
      <c r="V85" s="942">
        <f>+'11-GESTIÓN CONTRACTUAL'!AU18</f>
        <v>0</v>
      </c>
      <c r="W85" s="354">
        <f>+'11-GESTIÓN CONTRACTUAL'!AJ18</f>
        <v>0.8</v>
      </c>
      <c r="X85" s="385">
        <f>+'11-GESTIÓN CONTRACTUAL'!AZ18</f>
        <v>0</v>
      </c>
      <c r="Y85" s="676">
        <f t="shared" si="43"/>
        <v>0</v>
      </c>
      <c r="Z85" s="356">
        <f t="shared" si="44"/>
        <v>0</v>
      </c>
      <c r="AA85" s="1545"/>
      <c r="AB85" s="1159"/>
      <c r="AD85" s="359">
        <f>+'11-GESTIÓN CONTRACTUAL'!BD18</f>
        <v>0</v>
      </c>
      <c r="AE85" s="361">
        <f t="shared" ref="AE85:AE86" si="47">Y85-AD85</f>
        <v>0</v>
      </c>
      <c r="AG85" s="359">
        <f>+'11-GESTIÓN CONTRACTUAL'!BH18</f>
        <v>0</v>
      </c>
      <c r="AH85" s="361">
        <f t="shared" ref="AH85:AH86" si="48">+Z85-AG85</f>
        <v>0</v>
      </c>
    </row>
    <row r="86" spans="2:34" ht="76.5" customHeight="1">
      <c r="B86" s="1505"/>
      <c r="C86" s="1234"/>
      <c r="D86" s="1495"/>
      <c r="E86" s="1270"/>
      <c r="F86" s="32">
        <f>+'01-FR-03 POA INSTITUCIONAL'!F86</f>
        <v>0.95</v>
      </c>
      <c r="G86" s="174" t="str">
        <f>+'01-FR-03 POA INSTITUCIONAL'!G86</f>
        <v>S.I.</v>
      </c>
      <c r="H86" s="141" t="str">
        <f>+'01-FR-03 POA INSTITUCIONAL'!H86</f>
        <v xml:space="preserve">Porcentaje de contratos en la modalidad de selección abreviada de subasta inversa, licitación pública y concurso de méritos elaborados en los tiempos óptimos </v>
      </c>
      <c r="I86" s="142" t="str">
        <f>+'01-FR-03 POA INSTITUCIONAL'!I86</f>
        <v>Gestión Contractual</v>
      </c>
      <c r="J86" s="143" t="str">
        <f>+'01-FR-03 POA INSTITUCIONAL'!J86</f>
        <v>Subdirección de Gestión Contractual
Dirección Administrativa y Financiera</v>
      </c>
      <c r="K86" s="145">
        <f>+'01-FR-03 POA INSTITUCIONAL'!K86</f>
        <v>0.6</v>
      </c>
      <c r="L86" s="145">
        <f>+'01-FR-03 POA INSTITUCIONAL'!L86</f>
        <v>0.8</v>
      </c>
      <c r="M86" s="145">
        <f>+'01-FR-03 POA INSTITUCIONAL'!M86</f>
        <v>0.9</v>
      </c>
      <c r="N86" s="145">
        <f>+'01-FR-03 POA INSTITUCIONAL'!N86</f>
        <v>0.95</v>
      </c>
      <c r="O86" s="354">
        <f>+'11-GESTIÓN CONTRACTUAL'!V19</f>
        <v>0.8</v>
      </c>
      <c r="P86" s="354">
        <f>+'11-GESTIÓN CONTRACTUAL'!W19</f>
        <v>0.8</v>
      </c>
      <c r="Q86" s="354">
        <f>+'11-GESTIÓN CONTRACTUAL'!AD19</f>
        <v>0</v>
      </c>
      <c r="R86" s="354">
        <f>+'11-GESTIÓN CONTRACTUAL'!AE19</f>
        <v>0</v>
      </c>
      <c r="S86" s="354">
        <f>+'11-GESTIÓN CONTRACTUAL'!AL19</f>
        <v>0.80000000000000016</v>
      </c>
      <c r="T86" s="354">
        <f>+'11-GESTIÓN CONTRACTUAL'!AM19</f>
        <v>0</v>
      </c>
      <c r="U86" s="354">
        <f>+'11-GESTIÓN CONTRACTUAL'!AT19</f>
        <v>0.80000000000000016</v>
      </c>
      <c r="V86" s="942">
        <f>+'11-GESTIÓN CONTRACTUAL'!AU19</f>
        <v>0</v>
      </c>
      <c r="W86" s="354">
        <f>+'11-GESTIÓN CONTRACTUAL'!AJ19</f>
        <v>0.8</v>
      </c>
      <c r="X86" s="385">
        <f>+'11-GESTIÓN CONTRACTUAL'!AZ19</f>
        <v>0</v>
      </c>
      <c r="Y86" s="676">
        <f t="shared" si="43"/>
        <v>0</v>
      </c>
      <c r="Z86" s="356">
        <f t="shared" si="44"/>
        <v>0</v>
      </c>
      <c r="AA86" s="1541"/>
      <c r="AB86" s="1291"/>
      <c r="AD86" s="359">
        <f>+'11-GESTIÓN CONTRACTUAL'!BD19</f>
        <v>0</v>
      </c>
      <c r="AE86" s="361">
        <f t="shared" si="47"/>
        <v>0</v>
      </c>
      <c r="AG86" s="359">
        <f>+'11-GESTIÓN CONTRACTUAL'!BH19</f>
        <v>0</v>
      </c>
      <c r="AH86" s="361">
        <f t="shared" si="48"/>
        <v>0</v>
      </c>
    </row>
    <row r="87" spans="2:34" ht="73.5" customHeight="1">
      <c r="B87" s="1505"/>
      <c r="C87" s="1479" t="s">
        <v>146</v>
      </c>
      <c r="D87" s="151" t="str">
        <f>+'01-FR-03 POA INSTITUCIONAL'!D87</f>
        <v xml:space="preserve">4.5.1 Emitir 96 solicitudes de aplicación de medidas de preservación del orden interno, con el fin de prevenir la materialización de conductas con alcance disciplinario. </v>
      </c>
      <c r="E87" s="152">
        <f>+'01-FR-03 POA INSTITUCIONAL'!E87</f>
        <v>0.05</v>
      </c>
      <c r="F87" s="183">
        <f>+'01-FR-03 POA INSTITUCIONAL'!F87</f>
        <v>96</v>
      </c>
      <c r="G87" s="184" t="str">
        <f>+'01-FR-03 POA INSTITUCIONAL'!G87</f>
        <v>S.I.</v>
      </c>
      <c r="H87" s="177" t="str">
        <f>+'01-FR-03 POA INSTITUCIONAL'!H87</f>
        <v>Medidas de preservación del orden interno emitidas</v>
      </c>
      <c r="I87" s="178" t="str">
        <f>+'01-FR-03 POA INSTITUCIONAL'!I87</f>
        <v>Control Disciplinario Interno</v>
      </c>
      <c r="J87" s="179" t="str">
        <f>+'01-FR-03 POA INSTITUCIONAL'!J87</f>
        <v>Oficina Control Interno Disciplinario</v>
      </c>
      <c r="K87" s="185">
        <f>+'01-FR-03 POA INSTITUCIONAL'!K87</f>
        <v>24</v>
      </c>
      <c r="L87" s="185">
        <f>+'01-FR-03 POA INSTITUCIONAL'!L87</f>
        <v>24</v>
      </c>
      <c r="M87" s="185">
        <f>+'01-FR-03 POA INSTITUCIONAL'!M87</f>
        <v>24</v>
      </c>
      <c r="N87" s="185">
        <f>+'01-FR-03 POA INSTITUCIONAL'!N87</f>
        <v>24</v>
      </c>
      <c r="O87" s="153">
        <f>+'15-CTRL DISCIPLINARIO INTERNO'!V16</f>
        <v>6</v>
      </c>
      <c r="P87" s="153">
        <f>+'15-CTRL DISCIPLINARIO INTERNO'!W16</f>
        <v>26</v>
      </c>
      <c r="Q87" s="153">
        <f>+'15-CTRL DISCIPLINARIO INTERNO'!AD16</f>
        <v>6</v>
      </c>
      <c r="R87" s="153">
        <f>+'15-CTRL DISCIPLINARIO INTERNO'!AE16</f>
        <v>0</v>
      </c>
      <c r="S87" s="153">
        <f>+'15-CTRL DISCIPLINARIO INTERNO'!AL16</f>
        <v>6</v>
      </c>
      <c r="T87" s="153">
        <f>+'15-CTRL DISCIPLINARIO INTERNO'!AM16</f>
        <v>0</v>
      </c>
      <c r="U87" s="153">
        <f>+'15-CTRL DISCIPLINARIO INTERNO'!AT16</f>
        <v>6</v>
      </c>
      <c r="V87" s="153">
        <f>+'15-CTRL DISCIPLINARIO INTERNO'!AU16</f>
        <v>0</v>
      </c>
      <c r="W87" s="153">
        <f>+'15-CTRL DISCIPLINARIO INTERNO'!AV16</f>
        <v>24</v>
      </c>
      <c r="X87" s="366">
        <f t="shared" ref="X87:X92" si="49">+P87+R87+T87+V87</f>
        <v>26</v>
      </c>
      <c r="Y87" s="681">
        <f t="shared" ref="Y87:Y92" si="50">IF(AND(X87&gt;0,$W87&gt;0),X87/$W87,0)</f>
        <v>1.0833333333333333</v>
      </c>
      <c r="Z87" s="367">
        <f t="shared" ref="Z87:Z89" si="51">IF(AND(X87&gt;0,$F87&gt;0),X87/$F87,0)</f>
        <v>0.27083333333333331</v>
      </c>
      <c r="AA87" s="367">
        <f t="shared" ref="AA87:AA89" si="52">IF(AND(Z87&gt;0,E87&gt;0),Z87*E87,0)</f>
        <v>1.3541666666666667E-2</v>
      </c>
      <c r="AB87" s="1542">
        <f>SUM(AA87:AA92)</f>
        <v>7.4791666666666673E-2</v>
      </c>
      <c r="AD87" s="359">
        <f>+'15-CTRL DISCIPLINARIO INTERNO'!BD16</f>
        <v>1.0833333333333333</v>
      </c>
      <c r="AE87" s="361">
        <f t="shared" si="36"/>
        <v>0</v>
      </c>
      <c r="AG87" s="359">
        <f>+'15-CTRL DISCIPLINARIO INTERNO'!BH16</f>
        <v>0.27083333333333331</v>
      </c>
      <c r="AH87" s="361">
        <f t="shared" si="37"/>
        <v>0</v>
      </c>
    </row>
    <row r="88" spans="2:34" ht="86.25" customHeight="1">
      <c r="B88" s="1505"/>
      <c r="C88" s="1480"/>
      <c r="D88" s="151" t="str">
        <f>+'01-FR-03 POA INSTITUCIONAL'!D88</f>
        <v>4.5.2 Realizar 20 jornadas de sensibilización a funcionarios de la Personería de Bogotá D.C. sobre la prevención de las faltas disciplinarias más recurrentes en la Entidad.</v>
      </c>
      <c r="E88" s="152">
        <f>+'01-FR-03 POA INSTITUCIONAL'!E88</f>
        <v>0.05</v>
      </c>
      <c r="F88" s="183">
        <f>+'01-FR-03 POA INSTITUCIONAL'!F88</f>
        <v>20</v>
      </c>
      <c r="G88" s="184" t="str">
        <f>+'01-FR-03 POA INSTITUCIONAL'!G88</f>
        <v>S.I.</v>
      </c>
      <c r="H88" s="177" t="str">
        <f>+'01-FR-03 POA INSTITUCIONAL'!H88</f>
        <v>Jornadas de sensibilización realizadas</v>
      </c>
      <c r="I88" s="178" t="str">
        <f>+'01-FR-03 POA INSTITUCIONAL'!I88</f>
        <v>Control Disciplinario Interno</v>
      </c>
      <c r="J88" s="179" t="str">
        <f>+'01-FR-03 POA INSTITUCIONAL'!J88</f>
        <v>Oficina Control Interno Disciplinario</v>
      </c>
      <c r="K88" s="185">
        <f>+'01-FR-03 POA INSTITUCIONAL'!K88</f>
        <v>2</v>
      </c>
      <c r="L88" s="185">
        <f>+'01-FR-03 POA INSTITUCIONAL'!L88</f>
        <v>6</v>
      </c>
      <c r="M88" s="185">
        <f>+'01-FR-03 POA INSTITUCIONAL'!M88</f>
        <v>6</v>
      </c>
      <c r="N88" s="185">
        <f>+'01-FR-03 POA INSTITUCIONAL'!N88</f>
        <v>6</v>
      </c>
      <c r="O88" s="153">
        <f>+'15-CTRL DISCIPLINARIO INTERNO'!V17</f>
        <v>0</v>
      </c>
      <c r="P88" s="153">
        <f>+'15-CTRL DISCIPLINARIO INTERNO'!W17</f>
        <v>1</v>
      </c>
      <c r="Q88" s="153">
        <f>+'15-CTRL DISCIPLINARIO INTERNO'!AD17</f>
        <v>2</v>
      </c>
      <c r="R88" s="153">
        <f>+'15-CTRL DISCIPLINARIO INTERNO'!AE17</f>
        <v>0</v>
      </c>
      <c r="S88" s="153">
        <f>+'15-CTRL DISCIPLINARIO INTERNO'!AL17</f>
        <v>3</v>
      </c>
      <c r="T88" s="153">
        <f>+'15-CTRL DISCIPLINARIO INTERNO'!AM17</f>
        <v>0</v>
      </c>
      <c r="U88" s="153">
        <f>+'15-CTRL DISCIPLINARIO INTERNO'!AT17</f>
        <v>1</v>
      </c>
      <c r="V88" s="153">
        <f>+'15-CTRL DISCIPLINARIO INTERNO'!AU17</f>
        <v>0</v>
      </c>
      <c r="W88" s="153">
        <f>+'15-CTRL DISCIPLINARIO INTERNO'!AV17</f>
        <v>6</v>
      </c>
      <c r="X88" s="366">
        <f t="shared" si="49"/>
        <v>1</v>
      </c>
      <c r="Y88" s="681">
        <f t="shared" si="50"/>
        <v>0.16666666666666666</v>
      </c>
      <c r="Z88" s="367">
        <f t="shared" si="51"/>
        <v>0.05</v>
      </c>
      <c r="AA88" s="367">
        <f t="shared" si="52"/>
        <v>2.5000000000000005E-3</v>
      </c>
      <c r="AB88" s="1543"/>
      <c r="AD88" s="359">
        <f>+'15-CTRL DISCIPLINARIO INTERNO'!BD17</f>
        <v>0.16666666666666666</v>
      </c>
      <c r="AE88" s="361">
        <f t="shared" si="36"/>
        <v>0</v>
      </c>
      <c r="AG88" s="359">
        <f>+'15-CTRL DISCIPLINARIO INTERNO'!BH17</f>
        <v>0.05</v>
      </c>
      <c r="AH88" s="361">
        <f t="shared" si="37"/>
        <v>0</v>
      </c>
    </row>
    <row r="89" spans="2:34" ht="96.75" customHeight="1">
      <c r="B89" s="1505"/>
      <c r="C89" s="1480"/>
      <c r="D89" s="151" t="str">
        <f>+'01-FR-03 POA INSTITUCIONAL'!D89</f>
        <v>4.5.3 Decidir de fondo 400 procesos disciplinarios que se encuentren en términos o con periodos vencidos, dando prelación a aquellos con mayor antigüedad o aquellos próximos a prescribir o caducar.</v>
      </c>
      <c r="E89" s="152">
        <f>+'01-FR-03 POA INSTITUCIONAL'!E89</f>
        <v>0.2</v>
      </c>
      <c r="F89" s="183">
        <f>+'01-FR-03 POA INSTITUCIONAL'!F89</f>
        <v>400</v>
      </c>
      <c r="G89" s="184" t="str">
        <f>+'01-FR-03 POA INSTITUCIONAL'!G89</f>
        <v>115 (en el último año)</v>
      </c>
      <c r="H89" s="177" t="str">
        <f>+'01-FR-03 POA INSTITUCIONAL'!H89</f>
        <v>Procesos disciplinarios con decisión de fondo proferida</v>
      </c>
      <c r="I89" s="178" t="str">
        <f>+'01-FR-03 POA INSTITUCIONAL'!I89</f>
        <v>Control Disciplinario Interno</v>
      </c>
      <c r="J89" s="179" t="str">
        <f>+'01-FR-03 POA INSTITUCIONAL'!J89</f>
        <v>Oficina Control Interno Disciplinario</v>
      </c>
      <c r="K89" s="185">
        <f>+'01-FR-03 POA INSTITUCIONAL'!K89</f>
        <v>100</v>
      </c>
      <c r="L89" s="185">
        <f>+'01-FR-03 POA INSTITUCIONAL'!L89</f>
        <v>100</v>
      </c>
      <c r="M89" s="185">
        <f>+'01-FR-03 POA INSTITUCIONAL'!M89</f>
        <v>100</v>
      </c>
      <c r="N89" s="185">
        <f>+'01-FR-03 POA INSTITUCIONAL'!N89</f>
        <v>100</v>
      </c>
      <c r="O89" s="153">
        <f>+'15-CTRL DISCIPLINARIO INTERNO'!V18</f>
        <v>23</v>
      </c>
      <c r="P89" s="153">
        <f>+'15-CTRL DISCIPLINARIO INTERNO'!W18</f>
        <v>30</v>
      </c>
      <c r="Q89" s="153">
        <f>+'15-CTRL DISCIPLINARIO INTERNO'!AD18</f>
        <v>30</v>
      </c>
      <c r="R89" s="153">
        <f>+'15-CTRL DISCIPLINARIO INTERNO'!AE18</f>
        <v>0</v>
      </c>
      <c r="S89" s="153">
        <f>+'15-CTRL DISCIPLINARIO INTERNO'!AL18</f>
        <v>30</v>
      </c>
      <c r="T89" s="153">
        <f>+'15-CTRL DISCIPLINARIO INTERNO'!AM18</f>
        <v>0</v>
      </c>
      <c r="U89" s="153">
        <f>+'15-CTRL DISCIPLINARIO INTERNO'!AT18</f>
        <v>17</v>
      </c>
      <c r="V89" s="153">
        <f>+'15-CTRL DISCIPLINARIO INTERNO'!AU18</f>
        <v>0</v>
      </c>
      <c r="W89" s="153">
        <f>+'15-CTRL DISCIPLINARIO INTERNO'!AV18</f>
        <v>100</v>
      </c>
      <c r="X89" s="366">
        <f t="shared" si="49"/>
        <v>30</v>
      </c>
      <c r="Y89" s="681">
        <f t="shared" si="50"/>
        <v>0.3</v>
      </c>
      <c r="Z89" s="367">
        <f t="shared" si="51"/>
        <v>7.4999999999999997E-2</v>
      </c>
      <c r="AA89" s="367">
        <f t="shared" si="52"/>
        <v>1.4999999999999999E-2</v>
      </c>
      <c r="AB89" s="1543"/>
      <c r="AD89" s="359">
        <f>+'15-CTRL DISCIPLINARIO INTERNO'!BD18</f>
        <v>0.3</v>
      </c>
      <c r="AE89" s="361">
        <f t="shared" si="36"/>
        <v>0</v>
      </c>
      <c r="AG89" s="359">
        <f>+'15-CTRL DISCIPLINARIO INTERNO'!BH18</f>
        <v>7.4999999999999997E-2</v>
      </c>
      <c r="AH89" s="361">
        <f t="shared" si="37"/>
        <v>0</v>
      </c>
    </row>
    <row r="90" spans="2:34" ht="69.75" customHeight="1">
      <c r="B90" s="1505"/>
      <c r="C90" s="1480"/>
      <c r="D90" s="151" t="str">
        <f>+'01-FR-03 POA INSTITUCIONAL'!D90</f>
        <v>4.5.4 Ejecutar  4 programas anuales de auditorias, aprobados por el Comité Institucional de Coordinación del Sistema de Control Interno.</v>
      </c>
      <c r="E90" s="152">
        <f>+'01-FR-03 POA INSTITUCIONAL'!E90</f>
        <v>0.5</v>
      </c>
      <c r="F90" s="183">
        <f>+'01-FR-03 POA INSTITUCIONAL'!F90</f>
        <v>4</v>
      </c>
      <c r="G90" s="184">
        <f>+'01-FR-03 POA INSTITUCIONAL'!G90</f>
        <v>4</v>
      </c>
      <c r="H90" s="177" t="str">
        <f>+'01-FR-03 POA INSTITUCIONAL'!H90</f>
        <v>Programa anual de auditorías ejecutado.</v>
      </c>
      <c r="I90" s="178" t="str">
        <f>+'01-FR-03 POA INSTITUCIONAL'!I90</f>
        <v>Evaluación y Seguimiento</v>
      </c>
      <c r="J90" s="179" t="str">
        <f>+'01-FR-03 POA INSTITUCIONAL'!J90</f>
        <v>Oficina de Control Interno</v>
      </c>
      <c r="K90" s="185">
        <f>+'01-FR-03 POA INSTITUCIONAL'!K90</f>
        <v>1</v>
      </c>
      <c r="L90" s="185">
        <f>+'01-FR-03 POA INSTITUCIONAL'!L90</f>
        <v>1</v>
      </c>
      <c r="M90" s="185">
        <f>+'01-FR-03 POA INSTITUCIONAL'!M90</f>
        <v>1</v>
      </c>
      <c r="N90" s="185">
        <f>+'01-FR-03 POA INSTITUCIONAL'!N90</f>
        <v>1</v>
      </c>
      <c r="O90" s="390">
        <f>+'16-EVALUACIÓN Y SEGUIMIENTO'!V16</f>
        <v>0.35</v>
      </c>
      <c r="P90" s="390">
        <f>+'16-EVALUACIÓN Y SEGUIMIENTO'!W16</f>
        <v>0.35</v>
      </c>
      <c r="Q90" s="390">
        <f>+'16-EVALUACIÓN Y SEGUIMIENTO'!AD16</f>
        <v>0.15</v>
      </c>
      <c r="R90" s="608">
        <f>+'16-EVALUACIÓN Y SEGUIMIENTO'!AE16</f>
        <v>0</v>
      </c>
      <c r="S90" s="390">
        <f>+'16-EVALUACIÓN Y SEGUIMIENTO'!AL16</f>
        <v>0.44000000000000006</v>
      </c>
      <c r="T90" s="608">
        <f>+'16-EVALUACIÓN Y SEGUIMIENTO'!AM16</f>
        <v>0</v>
      </c>
      <c r="U90" s="390">
        <f>+'16-EVALUACIÓN Y SEGUIMIENTO'!AT16</f>
        <v>0.06</v>
      </c>
      <c r="V90" s="608">
        <f>+'16-EVALUACIÓN Y SEGUIMIENTO'!AU16</f>
        <v>0</v>
      </c>
      <c r="W90" s="391">
        <f>+'16-EVALUACIÓN Y SEGUIMIENTO'!AV16</f>
        <v>1</v>
      </c>
      <c r="X90" s="366">
        <f t="shared" si="49"/>
        <v>0.35</v>
      </c>
      <c r="Y90" s="681">
        <f t="shared" si="50"/>
        <v>0.35</v>
      </c>
      <c r="Z90" s="367">
        <f t="shared" ref="Z90:Z92" si="53">IF(AND(X90&gt;0,$F90&gt;0),X90/$F90,0)</f>
        <v>8.7499999999999994E-2</v>
      </c>
      <c r="AA90" s="367">
        <f t="shared" ref="AA90:AA93" si="54">IF(AND(Z90&gt;0,E90&gt;0),Z90*E90,0)</f>
        <v>4.3749999999999997E-2</v>
      </c>
      <c r="AB90" s="1543"/>
      <c r="AD90" s="359">
        <f>+'16-EVALUACIÓN Y SEGUIMIENTO'!BD16</f>
        <v>0.35</v>
      </c>
      <c r="AE90" s="361">
        <f t="shared" si="36"/>
        <v>0</v>
      </c>
      <c r="AG90" s="384">
        <f>+'16-EVALUACIÓN Y SEGUIMIENTO'!BH16</f>
        <v>8.7499999999999994E-2</v>
      </c>
      <c r="AH90" s="361">
        <f t="shared" si="37"/>
        <v>0</v>
      </c>
    </row>
    <row r="91" spans="2:34" ht="56.25" customHeight="1">
      <c r="B91" s="1505"/>
      <c r="C91" s="1480"/>
      <c r="D91" s="151" t="str">
        <f>+'01-FR-03 POA INSTITUCIONAL'!D91</f>
        <v>4.5.5 Desarrollar 4 estrategias de sensibilización acerca de la cultura del control.</v>
      </c>
      <c r="E91" s="152">
        <f>+'01-FR-03 POA INSTITUCIONAL'!E91</f>
        <v>0.1</v>
      </c>
      <c r="F91" s="183">
        <f>+'01-FR-03 POA INSTITUCIONAL'!F91</f>
        <v>4</v>
      </c>
      <c r="G91" s="184">
        <f>+'01-FR-03 POA INSTITUCIONAL'!G91</f>
        <v>4</v>
      </c>
      <c r="H91" s="177" t="str">
        <f>+'01-FR-03 POA INSTITUCIONAL'!H91</f>
        <v>Estrategia de Sensibilización acerca de la Cultura del Control realizada</v>
      </c>
      <c r="I91" s="178" t="str">
        <f>+'01-FR-03 POA INSTITUCIONAL'!I91</f>
        <v>Evaluación y Seguimiento</v>
      </c>
      <c r="J91" s="179" t="str">
        <f>+'01-FR-03 POA INSTITUCIONAL'!J91</f>
        <v>Oficina de Control Interno</v>
      </c>
      <c r="K91" s="185">
        <f>+'01-FR-03 POA INSTITUCIONAL'!K91</f>
        <v>1</v>
      </c>
      <c r="L91" s="185">
        <f>+'01-FR-03 POA INSTITUCIONAL'!L91</f>
        <v>1</v>
      </c>
      <c r="M91" s="185">
        <f>+'01-FR-03 POA INSTITUCIONAL'!M91</f>
        <v>1</v>
      </c>
      <c r="N91" s="185">
        <f>+'01-FR-03 POA INSTITUCIONAL'!N91</f>
        <v>1</v>
      </c>
      <c r="O91" s="392">
        <f>+'16-EVALUACIÓN Y SEGUIMIENTO'!V17</f>
        <v>0</v>
      </c>
      <c r="P91" s="392">
        <f>+'16-EVALUACIÓN Y SEGUIMIENTO'!W17</f>
        <v>0</v>
      </c>
      <c r="Q91" s="392">
        <f>+'16-EVALUACIÓN Y SEGUIMIENTO'!AD17</f>
        <v>0</v>
      </c>
      <c r="R91" s="609">
        <f>+'16-EVALUACIÓN Y SEGUIMIENTO'!AE17</f>
        <v>0</v>
      </c>
      <c r="S91" s="392">
        <f>+'16-EVALUACIÓN Y SEGUIMIENTO'!AL17</f>
        <v>0</v>
      </c>
      <c r="T91" s="609">
        <f>+'16-EVALUACIÓN Y SEGUIMIENTO'!AM17</f>
        <v>0</v>
      </c>
      <c r="U91" s="392">
        <f>+'16-EVALUACIÓN Y SEGUIMIENTO'!AT17</f>
        <v>1</v>
      </c>
      <c r="V91" s="609">
        <f>+'16-EVALUACIÓN Y SEGUIMIENTO'!AU17</f>
        <v>0</v>
      </c>
      <c r="W91" s="391">
        <f>+'16-EVALUACIÓN Y SEGUIMIENTO'!AV17</f>
        <v>1</v>
      </c>
      <c r="X91" s="366">
        <f t="shared" si="49"/>
        <v>0</v>
      </c>
      <c r="Y91" s="681">
        <f t="shared" si="50"/>
        <v>0</v>
      </c>
      <c r="Z91" s="367">
        <f t="shared" si="53"/>
        <v>0</v>
      </c>
      <c r="AA91" s="367">
        <f t="shared" si="54"/>
        <v>0</v>
      </c>
      <c r="AB91" s="1543"/>
      <c r="AD91" s="359">
        <f>+'16-EVALUACIÓN Y SEGUIMIENTO'!BD17</f>
        <v>0</v>
      </c>
      <c r="AE91" s="361">
        <f t="shared" si="36"/>
        <v>0</v>
      </c>
      <c r="AG91" s="384">
        <f>+'16-EVALUACIÓN Y SEGUIMIENTO'!BH17</f>
        <v>0</v>
      </c>
      <c r="AH91" s="361">
        <f t="shared" si="37"/>
        <v>0</v>
      </c>
    </row>
    <row r="92" spans="2:34" ht="61.5" customHeight="1">
      <c r="B92" s="1505"/>
      <c r="C92" s="1481"/>
      <c r="D92" s="151" t="str">
        <f>+'01-FR-03 POA INSTITUCIONAL'!D92</f>
        <v>4.5.6 Realizar 4 jornadas de sensibilización a Directivos y Referentes de proceso sobre la Séptima Dimensión.</v>
      </c>
      <c r="E92" s="152">
        <f>+'01-FR-03 POA INSTITUCIONAL'!E92</f>
        <v>0.1</v>
      </c>
      <c r="F92" s="183">
        <f>+'01-FR-03 POA INSTITUCIONAL'!F92</f>
        <v>4</v>
      </c>
      <c r="G92" s="184">
        <f>+'01-FR-03 POA INSTITUCIONAL'!G92</f>
        <v>4</v>
      </c>
      <c r="H92" s="177" t="str">
        <f>+'01-FR-03 POA INSTITUCIONAL'!H92</f>
        <v>Sensibilización a Directivos y Referentes de Gestión sobre la Séptima Dimensión del MIPG realizada</v>
      </c>
      <c r="I92" s="178" t="str">
        <f>+'01-FR-03 POA INSTITUCIONAL'!I92</f>
        <v>Evaluación y Seguimiento</v>
      </c>
      <c r="J92" s="179" t="str">
        <f>+'01-FR-03 POA INSTITUCIONAL'!J92</f>
        <v>Oficina de Control Interno</v>
      </c>
      <c r="K92" s="185">
        <f>+'01-FR-03 POA INSTITUCIONAL'!K92</f>
        <v>1</v>
      </c>
      <c r="L92" s="185">
        <f>+'01-FR-03 POA INSTITUCIONAL'!L92</f>
        <v>1</v>
      </c>
      <c r="M92" s="185">
        <f>+'01-FR-03 POA INSTITUCIONAL'!M92</f>
        <v>1</v>
      </c>
      <c r="N92" s="185">
        <f>+'01-FR-03 POA INSTITUCIONAL'!N92</f>
        <v>1</v>
      </c>
      <c r="O92" s="392">
        <f>+'16-EVALUACIÓN Y SEGUIMIENTO'!V18</f>
        <v>0</v>
      </c>
      <c r="P92" s="392">
        <f>+'16-EVALUACIÓN Y SEGUIMIENTO'!W18</f>
        <v>0</v>
      </c>
      <c r="Q92" s="392">
        <f>+'16-EVALUACIÓN Y SEGUIMIENTO'!AD18</f>
        <v>1</v>
      </c>
      <c r="R92" s="609">
        <f>+'16-EVALUACIÓN Y SEGUIMIENTO'!AE18</f>
        <v>0</v>
      </c>
      <c r="S92" s="392">
        <f>+'16-EVALUACIÓN Y SEGUIMIENTO'!AL18</f>
        <v>0</v>
      </c>
      <c r="T92" s="609">
        <f>+'16-EVALUACIÓN Y SEGUIMIENTO'!AM18</f>
        <v>0</v>
      </c>
      <c r="U92" s="392">
        <f>+'16-EVALUACIÓN Y SEGUIMIENTO'!AT18</f>
        <v>0</v>
      </c>
      <c r="V92" s="609">
        <f>+'16-EVALUACIÓN Y SEGUIMIENTO'!AU18</f>
        <v>0</v>
      </c>
      <c r="W92" s="391">
        <f>+'16-EVALUACIÓN Y SEGUIMIENTO'!AV18</f>
        <v>1</v>
      </c>
      <c r="X92" s="366">
        <f t="shared" si="49"/>
        <v>0</v>
      </c>
      <c r="Y92" s="681">
        <f t="shared" si="50"/>
        <v>0</v>
      </c>
      <c r="Z92" s="367">
        <f t="shared" si="53"/>
        <v>0</v>
      </c>
      <c r="AA92" s="367">
        <f t="shared" si="54"/>
        <v>0</v>
      </c>
      <c r="AB92" s="1544"/>
      <c r="AD92" s="359">
        <f>+'16-EVALUACIÓN Y SEGUIMIENTO'!BD18</f>
        <v>0</v>
      </c>
      <c r="AE92" s="361">
        <f t="shared" si="36"/>
        <v>0</v>
      </c>
      <c r="AG92" s="384">
        <f>+'16-EVALUACIÓN Y SEGUIMIENTO'!BH18</f>
        <v>0</v>
      </c>
      <c r="AH92" s="361">
        <f t="shared" si="37"/>
        <v>0</v>
      </c>
    </row>
    <row r="93" spans="2:34" ht="60" customHeight="1">
      <c r="B93" s="1505"/>
      <c r="C93" s="1482" t="s">
        <v>147</v>
      </c>
      <c r="D93" s="31" t="str">
        <f>+'01-FR-03 POA INSTITUCIONAL'!D93</f>
        <v>4.6.1  Desarrollar el 100% de los productos para comunicación y divulgación externa que promuevan y difundan la gestión institucional</v>
      </c>
      <c r="E93" s="52">
        <f>+'01-FR-03 POA INSTITUCIONAL'!E93</f>
        <v>0.5</v>
      </c>
      <c r="F93" s="32">
        <f>+'01-FR-03 POA INSTITUCIONAL'!F93</f>
        <v>1</v>
      </c>
      <c r="G93" s="174">
        <f>+'01-FR-03 POA INSTITUCIONAL'!G93</f>
        <v>1</v>
      </c>
      <c r="H93" s="141" t="str">
        <f>+'01-FR-03 POA INSTITUCIONAL'!H93</f>
        <v>Productos de comunicación externa desarrollados</v>
      </c>
      <c r="I93" s="142" t="str">
        <f>+'01-FR-03 POA INSTITUCIONAL'!I93</f>
        <v>Comunicación Estratégica</v>
      </c>
      <c r="J93" s="143" t="str">
        <f>+'01-FR-03 POA INSTITUCIONAL'!J93</f>
        <v>Oficina Asesora de Comunicaciones</v>
      </c>
      <c r="K93" s="145">
        <f>+'01-FR-03 POA INSTITUCIONAL'!K93</f>
        <v>1</v>
      </c>
      <c r="L93" s="145">
        <f>+'01-FR-03 POA INSTITUCIONAL'!L93</f>
        <v>1</v>
      </c>
      <c r="M93" s="145">
        <f>+'01-FR-03 POA INSTITUCIONAL'!M93</f>
        <v>1</v>
      </c>
      <c r="N93" s="145">
        <f>+'01-FR-03 POA INSTITUCIONAL'!N93</f>
        <v>1</v>
      </c>
      <c r="O93" s="389">
        <f>+'04-COMUNICACIÓN ESTRATÉGICA'!V16</f>
        <v>1</v>
      </c>
      <c r="P93" s="389">
        <f>+'04-COMUNICACIÓN ESTRATÉGICA'!W16</f>
        <v>1</v>
      </c>
      <c r="Q93" s="389">
        <f>+'04-COMUNICACIÓN ESTRATÉGICA'!AD16</f>
        <v>1</v>
      </c>
      <c r="R93" s="389">
        <f>+'04-COMUNICACIÓN ESTRATÉGICA'!AE16</f>
        <v>0</v>
      </c>
      <c r="S93" s="389">
        <f>+'04-COMUNICACIÓN ESTRATÉGICA'!AL16</f>
        <v>1</v>
      </c>
      <c r="T93" s="389">
        <f>+'04-COMUNICACIÓN ESTRATÉGICA'!AM16</f>
        <v>0</v>
      </c>
      <c r="U93" s="389">
        <f>+'04-COMUNICACIÓN ESTRATÉGICA'!AT16</f>
        <v>1</v>
      </c>
      <c r="V93" s="389">
        <f>+'04-COMUNICACIÓN ESTRATÉGICA'!AU16</f>
        <v>0</v>
      </c>
      <c r="W93" s="389">
        <f>+'04-COMUNICACIÓN ESTRATÉGICA'!AV16</f>
        <v>1</v>
      </c>
      <c r="X93" s="385">
        <f>IFERROR(IF(OR($W$93="",$W$93=0),0,ROUNDDOWN(AVERAGE($P93,R93,T93,V93),3)),0)</f>
        <v>0.25</v>
      </c>
      <c r="Y93" s="679">
        <f>IF(AND(X93&gt;0,$W93&gt;0),X93/$W93,0)*0.25</f>
        <v>6.25E-2</v>
      </c>
      <c r="Z93" s="356">
        <f>(IF(AND(X93&gt;0,$F93&gt;0),X93/$F93,0)/4)*1</f>
        <v>6.25E-2</v>
      </c>
      <c r="AA93" s="362">
        <f t="shared" si="54"/>
        <v>3.125E-2</v>
      </c>
      <c r="AB93" s="1531">
        <f>SUM(AA93:AA94)</f>
        <v>6.25E-2</v>
      </c>
      <c r="AD93" s="359">
        <f>+'04-COMUNICACIÓN ESTRATÉGICA'!BD16</f>
        <v>0.25</v>
      </c>
      <c r="AE93" s="361">
        <f t="shared" si="36"/>
        <v>-0.1875</v>
      </c>
      <c r="AG93" s="359">
        <f>+'04-COMUNICACIÓN ESTRATÉGICA'!BH16</f>
        <v>6.25E-2</v>
      </c>
      <c r="AH93" s="361">
        <f t="shared" si="37"/>
        <v>0</v>
      </c>
    </row>
    <row r="94" spans="2:34" ht="69.75" customHeight="1">
      <c r="B94" s="1505"/>
      <c r="C94" s="1483"/>
      <c r="D94" s="31" t="str">
        <f>+'01-FR-03 POA INSTITUCIONAL'!D94</f>
        <v>4.6.2 Desarrollar el 100% de los productos para comunicación y divulgación interna que contribuyan a la consecución de objetivos institucionales</v>
      </c>
      <c r="E94" s="52">
        <f>+'01-FR-03 POA INSTITUCIONAL'!E94</f>
        <v>0.5</v>
      </c>
      <c r="F94" s="32">
        <f>+'01-FR-03 POA INSTITUCIONAL'!F94</f>
        <v>1</v>
      </c>
      <c r="G94" s="174">
        <f>+'01-FR-03 POA INSTITUCIONAL'!G94</f>
        <v>1</v>
      </c>
      <c r="H94" s="141" t="str">
        <f>+'01-FR-03 POA INSTITUCIONAL'!H94</f>
        <v>Productos  de comunicación interna
desarrollados</v>
      </c>
      <c r="I94" s="142" t="str">
        <f>+'01-FR-03 POA INSTITUCIONAL'!I94</f>
        <v>Comunicación Estratégica</v>
      </c>
      <c r="J94" s="143" t="str">
        <f>+'01-FR-03 POA INSTITUCIONAL'!J94</f>
        <v>Oficina Asesora de Comunicaciones</v>
      </c>
      <c r="K94" s="145">
        <f>+'01-FR-03 POA INSTITUCIONAL'!K94</f>
        <v>1</v>
      </c>
      <c r="L94" s="145">
        <f>+'01-FR-03 POA INSTITUCIONAL'!L94</f>
        <v>1</v>
      </c>
      <c r="M94" s="145">
        <f>+'01-FR-03 POA INSTITUCIONAL'!M94</f>
        <v>1</v>
      </c>
      <c r="N94" s="145">
        <f>+'01-FR-03 POA INSTITUCIONAL'!N94</f>
        <v>1</v>
      </c>
      <c r="O94" s="389">
        <f>+'04-COMUNICACIÓN ESTRATÉGICA'!V17</f>
        <v>1</v>
      </c>
      <c r="P94" s="389">
        <f>+'04-COMUNICACIÓN ESTRATÉGICA'!W17</f>
        <v>1</v>
      </c>
      <c r="Q94" s="389">
        <f>+'04-COMUNICACIÓN ESTRATÉGICA'!AD17</f>
        <v>1</v>
      </c>
      <c r="R94" s="389">
        <f>+'04-COMUNICACIÓN ESTRATÉGICA'!AE17</f>
        <v>0</v>
      </c>
      <c r="S94" s="389">
        <f>+'04-COMUNICACIÓN ESTRATÉGICA'!AL17</f>
        <v>1</v>
      </c>
      <c r="T94" s="389">
        <f>+'04-COMUNICACIÓN ESTRATÉGICA'!AM17</f>
        <v>0</v>
      </c>
      <c r="U94" s="389">
        <f>+'04-COMUNICACIÓN ESTRATÉGICA'!AT17</f>
        <v>1</v>
      </c>
      <c r="V94" s="389">
        <f>+'04-COMUNICACIÓN ESTRATÉGICA'!AU17</f>
        <v>0</v>
      </c>
      <c r="W94" s="389">
        <f>+'04-COMUNICACIÓN ESTRATÉGICA'!AV17</f>
        <v>1</v>
      </c>
      <c r="X94" s="385">
        <f>IFERROR(IF(OR($W$94="",$W$94=0),0,ROUNDDOWN(AVERAGE($P94,R94,T94,V94),3)),0)</f>
        <v>0.25</v>
      </c>
      <c r="Y94" s="679">
        <f>IF(AND(X94&gt;0,$W94&gt;0),X94/$W94,0)*0.25</f>
        <v>6.25E-2</v>
      </c>
      <c r="Z94" s="356">
        <f>(IF(AND(X94&gt;0,$F94&gt;0),X94/$F94,0)/4)*1</f>
        <v>6.25E-2</v>
      </c>
      <c r="AA94" s="362">
        <f t="shared" ref="AA94:AA95" si="55">IF(AND(Z94&gt;0,E94&gt;0),Z94*E94,0)</f>
        <v>3.125E-2</v>
      </c>
      <c r="AB94" s="1532"/>
      <c r="AD94" s="359">
        <f>+'04-COMUNICACIÓN ESTRATÉGICA'!BD17</f>
        <v>0.25</v>
      </c>
      <c r="AE94" s="361">
        <f t="shared" si="36"/>
        <v>-0.1875</v>
      </c>
      <c r="AG94" s="359">
        <f>+'04-COMUNICACIÓN ESTRATÉGICA'!BH17</f>
        <v>6.25E-2</v>
      </c>
      <c r="AH94" s="361">
        <f t="shared" si="37"/>
        <v>0</v>
      </c>
    </row>
    <row r="95" spans="2:34" ht="114" customHeight="1">
      <c r="B95" s="1506"/>
      <c r="C95" s="198" t="s">
        <v>148</v>
      </c>
      <c r="D95" s="151" t="str">
        <f>+'01-FR-03 POA INSTITUCIONAL'!D95</f>
        <v>4.7.1 Gestionar 3 acuerdos interinstitucionales o de cooperación nacional y/o internacional para garantizar el enfoque social, en el marco de un estado pluralista, para el fortalecimiento de la prestación del servicio al usuario</v>
      </c>
      <c r="E95" s="152">
        <f>+'01-FR-03 POA INSTITUCIONAL'!E95</f>
        <v>1</v>
      </c>
      <c r="F95" s="183">
        <f>+'01-FR-03 POA INSTITUCIONAL'!F95</f>
        <v>3</v>
      </c>
      <c r="G95" s="184" t="str">
        <f>+'01-FR-03 POA INSTITUCIONAL'!G95</f>
        <v>S.I.</v>
      </c>
      <c r="H95" s="177" t="str">
        <f>+'01-FR-03 POA INSTITUCIONAL'!H95</f>
        <v>Acuerdos interinstitucionales gestionados</v>
      </c>
      <c r="I95" s="178" t="str">
        <f>+'01-FR-03 POA INSTITUCIONAL'!I95</f>
        <v>Servicio al Usuario</v>
      </c>
      <c r="J95" s="179" t="str">
        <f>+'01-FR-03 POA INSTITUCIONAL'!J95</f>
        <v>Secretaría General</v>
      </c>
      <c r="K95" s="185">
        <f>+'01-FR-03 POA INSTITUCIONAL'!K95</f>
        <v>1</v>
      </c>
      <c r="L95" s="185">
        <f>+'01-FR-03 POA INSTITUCIONAL'!L95</f>
        <v>1</v>
      </c>
      <c r="M95" s="185">
        <f>+'01-FR-03 POA INSTITUCIONAL'!M95</f>
        <v>1</v>
      </c>
      <c r="N95" s="185">
        <f>+'01-FR-03 POA INSTITUCIONAL'!N95</f>
        <v>0</v>
      </c>
      <c r="O95" s="393">
        <f>+'14-SERVICIO AL USUARIO'!V18</f>
        <v>0</v>
      </c>
      <c r="P95" s="393">
        <f>+'14-SERVICIO AL USUARIO'!W18</f>
        <v>0</v>
      </c>
      <c r="Q95" s="393">
        <f>+'14-SERVICIO AL USUARIO'!AD18</f>
        <v>0</v>
      </c>
      <c r="R95" s="393">
        <f>+'14-SERVICIO AL USUARIO'!AE18</f>
        <v>0</v>
      </c>
      <c r="S95" s="393">
        <f>+'14-SERVICIO AL USUARIO'!AL18</f>
        <v>0</v>
      </c>
      <c r="T95" s="393">
        <f>+'14-SERVICIO AL USUARIO'!AM18</f>
        <v>0</v>
      </c>
      <c r="U95" s="393">
        <f>+'14-SERVICIO AL USUARIO'!AT18</f>
        <v>1</v>
      </c>
      <c r="V95" s="393">
        <f>+'14-SERVICIO AL USUARIO'!AU18</f>
        <v>0</v>
      </c>
      <c r="W95" s="393">
        <f>+'14-SERVICIO AL USUARIO'!AV18</f>
        <v>1</v>
      </c>
      <c r="X95" s="366">
        <f t="shared" ref="X95:X99" si="56">+P95+R95+T95+V95</f>
        <v>0</v>
      </c>
      <c r="Y95" s="681">
        <f t="shared" ref="Y95:Y99" si="57">IF(AND(X95&gt;0,$W95&gt;0),X95/$W95,0)</f>
        <v>0</v>
      </c>
      <c r="Z95" s="367">
        <f t="shared" ref="Z95" si="58">IF(AND(X95&gt;0,$F95&gt;0),X95/$F95,0)</f>
        <v>0</v>
      </c>
      <c r="AA95" s="367">
        <f t="shared" si="55"/>
        <v>0</v>
      </c>
      <c r="AB95" s="394">
        <f>+AA95</f>
        <v>0</v>
      </c>
      <c r="AD95" s="359">
        <f>+'14-SERVICIO AL USUARIO'!BD18</f>
        <v>0</v>
      </c>
      <c r="AE95" s="361">
        <f t="shared" si="36"/>
        <v>0</v>
      </c>
      <c r="AG95" s="359">
        <f>+'14-SERVICIO AL USUARIO'!BH18</f>
        <v>0</v>
      </c>
      <c r="AH95" s="361">
        <f t="shared" si="37"/>
        <v>0</v>
      </c>
    </row>
    <row r="96" spans="2:34" ht="93.75" customHeight="1">
      <c r="B96" s="1484" t="s">
        <v>149</v>
      </c>
      <c r="C96" s="1507" t="s">
        <v>150</v>
      </c>
      <c r="D96" s="31" t="str">
        <f>+'01-FR-03 POA INSTITUCIONAL'!D96</f>
        <v xml:space="preserve">5.1.1 Elaborar cuatro (4) proyectos de investigación, desarrollo e innovación I+D+I para la Entidad </v>
      </c>
      <c r="E96" s="52">
        <f>+'01-FR-03 POA INSTITUCIONAL'!E96</f>
        <v>0.5</v>
      </c>
      <c r="F96" s="139">
        <f>+'01-FR-03 POA INSTITUCIONAL'!F96</f>
        <v>4</v>
      </c>
      <c r="G96" s="585">
        <f>+'01-FR-03 POA INSTITUCIONAL'!G96</f>
        <v>2</v>
      </c>
      <c r="H96" s="141" t="str">
        <f>+'01-FR-03 POA INSTITUCIONAL'!H96</f>
        <v>Proyectos de Investigación, Desarrollo e Innovación (I+D+I) elaborados</v>
      </c>
      <c r="I96" s="142" t="str">
        <f>+'01-FR-03 POA INSTITUCIONAL'!I96</f>
        <v xml:space="preserve">Gestión del Conocimiento e Innovación </v>
      </c>
      <c r="J96" s="143" t="str">
        <f>+'01-FR-03 POA INSTITUCIONAL'!J96</f>
        <v xml:space="preserve">Dirección de Gestión del Conocimiento e Innovación </v>
      </c>
      <c r="K96" s="144">
        <f>+'01-FR-03 POA INSTITUCIONAL'!K96</f>
        <v>1</v>
      </c>
      <c r="L96" s="144">
        <f>+'01-FR-03 POA INSTITUCIONAL'!L96</f>
        <v>1</v>
      </c>
      <c r="M96" s="144">
        <f>+'01-FR-03 POA INSTITUCIONAL'!M96</f>
        <v>1</v>
      </c>
      <c r="N96" s="144">
        <f>+'01-FR-03 POA INSTITUCIONAL'!N96</f>
        <v>1</v>
      </c>
      <c r="O96" s="395">
        <f>+'02-G. CONOCIMIENTO INNOVACIÓN'!V16</f>
        <v>0</v>
      </c>
      <c r="P96" s="395">
        <f>+'02-G. CONOCIMIENTO INNOVACIÓN'!W16</f>
        <v>0</v>
      </c>
      <c r="Q96" s="395">
        <f>+'02-G. CONOCIMIENTO INNOVACIÓN'!AD16</f>
        <v>0</v>
      </c>
      <c r="R96" s="395">
        <f>+'02-G. CONOCIMIENTO INNOVACIÓN'!AE16</f>
        <v>0</v>
      </c>
      <c r="S96" s="395">
        <f>+'02-G. CONOCIMIENTO INNOVACIÓN'!AL16</f>
        <v>0</v>
      </c>
      <c r="T96" s="395">
        <f>+'02-G. CONOCIMIENTO INNOVACIÓN'!AM16</f>
        <v>0</v>
      </c>
      <c r="U96" s="395">
        <f>+'02-G. CONOCIMIENTO INNOVACIÓN'!AT16</f>
        <v>1</v>
      </c>
      <c r="V96" s="395">
        <f>+'02-G. CONOCIMIENTO INNOVACIÓN'!AU16</f>
        <v>0</v>
      </c>
      <c r="W96" s="395">
        <f>+'02-G. CONOCIMIENTO INNOVACIÓN'!AV16</f>
        <v>1</v>
      </c>
      <c r="X96" s="365">
        <f t="shared" si="56"/>
        <v>0</v>
      </c>
      <c r="Y96" s="677">
        <f t="shared" si="57"/>
        <v>0</v>
      </c>
      <c r="Z96" s="396">
        <f t="shared" ref="Z96:Z99" si="59">IF(AND(X96&gt;0,$F96&gt;0),X96/$F96,0)</f>
        <v>0</v>
      </c>
      <c r="AA96" s="396">
        <f t="shared" ref="AA96:AA99" si="60">IF(AND(Z96&gt;0,E96&gt;0),Z96*E96,0)</f>
        <v>0</v>
      </c>
      <c r="AB96" s="1214">
        <f>SUM(AA96:AA97)</f>
        <v>0</v>
      </c>
      <c r="AD96" s="359">
        <f>+'02-G. CONOCIMIENTO INNOVACIÓN'!BD16</f>
        <v>0</v>
      </c>
      <c r="AE96" s="361">
        <f t="shared" si="36"/>
        <v>0</v>
      </c>
      <c r="AG96" s="359">
        <f>+'02-G. CONOCIMIENTO INNOVACIÓN'!BH16</f>
        <v>0</v>
      </c>
      <c r="AH96" s="361">
        <f t="shared" si="37"/>
        <v>0</v>
      </c>
    </row>
    <row r="97" spans="2:34" ht="93.75" customHeight="1">
      <c r="B97" s="1485"/>
      <c r="C97" s="1508"/>
      <c r="D97" s="31" t="str">
        <f>+'01-FR-03 POA INSTITUCIONAL'!D97</f>
        <v>5.1.2. Entregar dos (2) productos resultado de los proyectos de investigación, desarrollo e innovación (I+D+I) realizados en la Entidad para la comunidad</v>
      </c>
      <c r="E97" s="52">
        <f>+'01-FR-03 POA INSTITUCIONAL'!E97</f>
        <v>0.5</v>
      </c>
      <c r="F97" s="139">
        <f>+'01-FR-03 POA INSTITUCIONAL'!F97</f>
        <v>2</v>
      </c>
      <c r="G97" s="973" t="str">
        <f>+'01-FR-03 POA INSTITUCIONAL'!G97</f>
        <v>S.I.</v>
      </c>
      <c r="H97" s="141" t="str">
        <f>+'01-FR-03 POA INSTITUCIONAL'!H97</f>
        <v>Productos resultado de investigaciones, entregadas para la comunidad</v>
      </c>
      <c r="I97" s="142" t="str">
        <f>+'01-FR-03 POA INSTITUCIONAL'!I97</f>
        <v xml:space="preserve">Gestión del Conocimiento e Innovación </v>
      </c>
      <c r="J97" s="143" t="str">
        <f>+'01-FR-03 POA INSTITUCIONAL'!J97</f>
        <v xml:space="preserve">Dirección de Gestión del Conocimiento e Innovación </v>
      </c>
      <c r="K97" s="144">
        <f>+'01-FR-03 POA INSTITUCIONAL'!K97</f>
        <v>0</v>
      </c>
      <c r="L97" s="144">
        <f>+'01-FR-03 POA INSTITUCIONAL'!L97</f>
        <v>1</v>
      </c>
      <c r="M97" s="144">
        <f>+'01-FR-03 POA INSTITUCIONAL'!M97</f>
        <v>1</v>
      </c>
      <c r="N97" s="144">
        <f>+'01-FR-03 POA INSTITUCIONAL'!N97</f>
        <v>0</v>
      </c>
      <c r="O97" s="395">
        <f>+'02-G. CONOCIMIENTO INNOVACIÓN'!V17</f>
        <v>0</v>
      </c>
      <c r="P97" s="395">
        <f>+'02-G. CONOCIMIENTO INNOVACIÓN'!W17</f>
        <v>0</v>
      </c>
      <c r="Q97" s="395">
        <f>+'02-G. CONOCIMIENTO INNOVACIÓN'!AD17</f>
        <v>0</v>
      </c>
      <c r="R97" s="395">
        <f>+'02-G. CONOCIMIENTO INNOVACIÓN'!AE17</f>
        <v>0</v>
      </c>
      <c r="S97" s="395">
        <f>+'02-G. CONOCIMIENTO INNOVACIÓN'!AL17</f>
        <v>0</v>
      </c>
      <c r="T97" s="395">
        <f>+'02-G. CONOCIMIENTO INNOVACIÓN'!AM17</f>
        <v>0</v>
      </c>
      <c r="U97" s="395">
        <f>+'02-G. CONOCIMIENTO INNOVACIÓN'!AT17</f>
        <v>1</v>
      </c>
      <c r="V97" s="395">
        <f>+'02-G. CONOCIMIENTO INNOVACIÓN'!AU17</f>
        <v>0</v>
      </c>
      <c r="W97" s="395">
        <f>+'02-G. CONOCIMIENTO INNOVACIÓN'!AV17</f>
        <v>1</v>
      </c>
      <c r="X97" s="365">
        <f t="shared" si="56"/>
        <v>0</v>
      </c>
      <c r="Y97" s="677">
        <f t="shared" si="57"/>
        <v>0</v>
      </c>
      <c r="Z97" s="396">
        <f t="shared" ref="Z97" si="61">IF(AND(X97&gt;0,$F97&gt;0),X97/$F97,0)</f>
        <v>0</v>
      </c>
      <c r="AA97" s="396">
        <f t="shared" ref="AA97" si="62">IF(AND(Z97&gt;0,E97&gt;0),Z97*E97,0)</f>
        <v>0</v>
      </c>
      <c r="AB97" s="1216"/>
      <c r="AD97" s="359"/>
      <c r="AE97" s="361"/>
      <c r="AG97" s="359"/>
      <c r="AH97" s="361"/>
    </row>
    <row r="98" spans="2:34" ht="102" customHeight="1">
      <c r="B98" s="1485"/>
      <c r="C98" s="202" t="s">
        <v>151</v>
      </c>
      <c r="D98" s="31" t="str">
        <f>+'01-FR-03 POA INSTITUCIONAL'!D98</f>
        <v xml:space="preserve">5.2.1 Construir ocho (8) informes de investigación e innovación que reflejen la analítica institucional </v>
      </c>
      <c r="E98" s="52">
        <f>+'01-FR-03 POA INSTITUCIONAL'!E98</f>
        <v>1</v>
      </c>
      <c r="F98" s="139">
        <f>+'01-FR-03 POA INSTITUCIONAL'!F98</f>
        <v>8</v>
      </c>
      <c r="G98" s="585" t="str">
        <f>+'01-FR-03 POA INSTITUCIONAL'!G98</f>
        <v>S.I.</v>
      </c>
      <c r="H98" s="141" t="str">
        <f>+'01-FR-03 POA INSTITUCIONAL'!H98</f>
        <v>Informes de investigación e innovación construidos</v>
      </c>
      <c r="I98" s="142" t="str">
        <f>+'01-FR-03 POA INSTITUCIONAL'!I98</f>
        <v xml:space="preserve">Gestión del Conocimiento e Innovación </v>
      </c>
      <c r="J98" s="143" t="str">
        <f>+'01-FR-03 POA INSTITUCIONAL'!J98</f>
        <v xml:space="preserve">Dirección de Gestión del Conocimiento e Innovación </v>
      </c>
      <c r="K98" s="144">
        <f>+'01-FR-03 POA INSTITUCIONAL'!K98</f>
        <v>2</v>
      </c>
      <c r="L98" s="144">
        <f>+'01-FR-03 POA INSTITUCIONAL'!L98</f>
        <v>2</v>
      </c>
      <c r="M98" s="144">
        <f>+'01-FR-03 POA INSTITUCIONAL'!M98</f>
        <v>3</v>
      </c>
      <c r="N98" s="144">
        <f>+'01-FR-03 POA INSTITUCIONAL'!N98</f>
        <v>1</v>
      </c>
      <c r="O98" s="395">
        <f>+'02-G. CONOCIMIENTO INNOVACIÓN'!V18</f>
        <v>0</v>
      </c>
      <c r="P98" s="395">
        <f>+'02-G. CONOCIMIENTO INNOVACIÓN'!W18</f>
        <v>0</v>
      </c>
      <c r="Q98" s="395">
        <f>+'02-G. CONOCIMIENTO INNOVACIÓN'!AD18</f>
        <v>1</v>
      </c>
      <c r="R98" s="395">
        <f>+'02-G. CONOCIMIENTO INNOVACIÓN'!AE18</f>
        <v>0</v>
      </c>
      <c r="S98" s="395">
        <f>+'02-G. CONOCIMIENTO INNOVACIÓN'!AL18</f>
        <v>0</v>
      </c>
      <c r="T98" s="395">
        <f>+'02-G. CONOCIMIENTO INNOVACIÓN'!AM18</f>
        <v>0</v>
      </c>
      <c r="U98" s="395">
        <f>+'02-G. CONOCIMIENTO INNOVACIÓN'!AT18</f>
        <v>1</v>
      </c>
      <c r="V98" s="395">
        <f>+'02-G. CONOCIMIENTO INNOVACIÓN'!AU18</f>
        <v>0</v>
      </c>
      <c r="W98" s="395">
        <f>+'02-G. CONOCIMIENTO INNOVACIÓN'!AV18</f>
        <v>2</v>
      </c>
      <c r="X98" s="398">
        <f t="shared" si="56"/>
        <v>0</v>
      </c>
      <c r="Y98" s="677">
        <f t="shared" si="57"/>
        <v>0</v>
      </c>
      <c r="Z98" s="396">
        <f t="shared" si="59"/>
        <v>0</v>
      </c>
      <c r="AA98" s="396">
        <f t="shared" si="60"/>
        <v>0</v>
      </c>
      <c r="AB98" s="397">
        <f>+AA98</f>
        <v>0</v>
      </c>
      <c r="AD98" s="359">
        <f>+'02-G. CONOCIMIENTO INNOVACIÓN'!BD18</f>
        <v>0</v>
      </c>
      <c r="AE98" s="361">
        <f t="shared" si="36"/>
        <v>0</v>
      </c>
      <c r="AG98" s="359">
        <f>+'02-G. CONOCIMIENTO INNOVACIÓN'!BH18</f>
        <v>0</v>
      </c>
      <c r="AH98" s="361">
        <f t="shared" si="37"/>
        <v>0</v>
      </c>
    </row>
    <row r="99" spans="2:34" ht="124.5" customHeight="1">
      <c r="B99" s="1503"/>
      <c r="C99" s="203" t="s">
        <v>152</v>
      </c>
      <c r="D99" s="31" t="str">
        <f>+'01-FR-03 POA INSTITUCIONAL'!D99</f>
        <v>5.3.1 Desarrollar ochenta (80) actividades de apropiación social del conocimiento para la creación de la cultura de la investigación e innovación.</v>
      </c>
      <c r="E99" s="52">
        <f>+'01-FR-03 POA INSTITUCIONAL'!E99</f>
        <v>1</v>
      </c>
      <c r="F99" s="139">
        <f>+'01-FR-03 POA INSTITUCIONAL'!F99</f>
        <v>80</v>
      </c>
      <c r="G99" s="585">
        <f>+'01-FR-03 POA INSTITUCIONAL'!G99</f>
        <v>3</v>
      </c>
      <c r="H99" s="141" t="str">
        <f>+'01-FR-03 POA INSTITUCIONAL'!H99</f>
        <v>Actividades de apropiación social del conocimiento desarrolladas</v>
      </c>
      <c r="I99" s="142" t="str">
        <f>+'01-FR-03 POA INSTITUCIONAL'!I99</f>
        <v xml:space="preserve">Gestión del Conocimiento e Innovación </v>
      </c>
      <c r="J99" s="143" t="str">
        <f>+'01-FR-03 POA INSTITUCIONAL'!J99</f>
        <v xml:space="preserve">Dirección de Gestión del Conocimiento e Innovación </v>
      </c>
      <c r="K99" s="144">
        <f>+'01-FR-03 POA INSTITUCIONAL'!K99</f>
        <v>3</v>
      </c>
      <c r="L99" s="144">
        <f>+'01-FR-03 POA INSTITUCIONAL'!L99</f>
        <v>38</v>
      </c>
      <c r="M99" s="144">
        <f>+'01-FR-03 POA INSTITUCIONAL'!M99</f>
        <v>39</v>
      </c>
      <c r="N99" s="144">
        <f>+'01-FR-03 POA INSTITUCIONAL'!N99</f>
        <v>0</v>
      </c>
      <c r="O99" s="395">
        <f>+'02-G. CONOCIMIENTO INNOVACIÓN'!V19</f>
        <v>6</v>
      </c>
      <c r="P99" s="395">
        <f>+'02-G. CONOCIMIENTO INNOVACIÓN'!W19</f>
        <v>9</v>
      </c>
      <c r="Q99" s="395">
        <f>+'02-G. CONOCIMIENTO INNOVACIÓN'!AD19</f>
        <v>12</v>
      </c>
      <c r="R99" s="395">
        <f>+'02-G. CONOCIMIENTO INNOVACIÓN'!AE19</f>
        <v>0</v>
      </c>
      <c r="S99" s="395">
        <f>+'02-G. CONOCIMIENTO INNOVACIÓN'!AL19</f>
        <v>12</v>
      </c>
      <c r="T99" s="395">
        <f>+'02-G. CONOCIMIENTO INNOVACIÓN'!AM19</f>
        <v>0</v>
      </c>
      <c r="U99" s="395">
        <f>+'02-G. CONOCIMIENTO INNOVACIÓN'!AT19</f>
        <v>8</v>
      </c>
      <c r="V99" s="395">
        <f>+'02-G. CONOCIMIENTO INNOVACIÓN'!AU19</f>
        <v>0</v>
      </c>
      <c r="W99" s="395">
        <f>+'02-G. CONOCIMIENTO INNOVACIÓN'!AV19</f>
        <v>38</v>
      </c>
      <c r="X99" s="398">
        <f t="shared" si="56"/>
        <v>9</v>
      </c>
      <c r="Y99" s="677">
        <f t="shared" si="57"/>
        <v>0.23684210526315788</v>
      </c>
      <c r="Z99" s="396">
        <f t="shared" si="59"/>
        <v>0.1125</v>
      </c>
      <c r="AA99" s="396">
        <f t="shared" si="60"/>
        <v>0.1125</v>
      </c>
      <c r="AB99" s="397">
        <f>+AA99</f>
        <v>0.1125</v>
      </c>
      <c r="AD99" s="359">
        <f>+'02-G. CONOCIMIENTO INNOVACIÓN'!BD19</f>
        <v>0.23684210526315788</v>
      </c>
      <c r="AE99" s="361">
        <f t="shared" si="36"/>
        <v>0</v>
      </c>
      <c r="AG99" s="359">
        <f>+'02-G. CONOCIMIENTO INNOVACIÓN'!BH19</f>
        <v>0.1125</v>
      </c>
      <c r="AH99" s="361">
        <f t="shared" si="37"/>
        <v>0</v>
      </c>
    </row>
    <row r="100" spans="2:34">
      <c r="B100" s="334"/>
      <c r="C100" s="335"/>
      <c r="D100" s="335"/>
      <c r="E100" s="335"/>
      <c r="F100" s="335"/>
      <c r="G100" s="335"/>
      <c r="H100" s="335"/>
      <c r="I100" s="335"/>
      <c r="J100" s="335"/>
      <c r="K100" s="335"/>
      <c r="L100" s="335"/>
      <c r="M100" s="335"/>
      <c r="N100" s="335"/>
      <c r="O100" s="335"/>
      <c r="P100" s="335"/>
      <c r="Q100" s="335"/>
      <c r="R100" s="335"/>
      <c r="S100" s="335"/>
      <c r="T100" s="335"/>
      <c r="U100" s="335"/>
      <c r="V100" s="335"/>
      <c r="W100" s="335"/>
      <c r="X100" s="809"/>
      <c r="Y100" s="810">
        <f>IFERROR(AVERAGE(Y13:Y99),0)</f>
        <v>0.17364231343281902</v>
      </c>
      <c r="Z100" s="810">
        <f>AVERAGE(Z13:Z99)</f>
        <v>6.0980778707714269E-2</v>
      </c>
      <c r="AA100" s="335"/>
      <c r="AB100" s="810">
        <f>IFERROR(AVERAGE(AB13:AB99),0)</f>
        <v>4.8292173903051266E-2</v>
      </c>
      <c r="AH100" s="361"/>
    </row>
    <row r="101" spans="2:34" ht="13.5" customHeight="1">
      <c r="B101" s="205"/>
      <c r="C101" s="205"/>
      <c r="D101" s="205"/>
      <c r="E101" s="204"/>
      <c r="F101" s="204"/>
      <c r="G101" s="204"/>
      <c r="H101" s="205"/>
      <c r="I101" s="205"/>
      <c r="J101" s="205"/>
      <c r="K101" s="205"/>
      <c r="L101" s="205"/>
      <c r="M101" s="205"/>
      <c r="N101" s="205"/>
      <c r="O101" s="205"/>
      <c r="P101" s="205"/>
      <c r="Q101" s="205"/>
      <c r="R101" s="205"/>
      <c r="S101" s="205"/>
      <c r="T101" s="205"/>
      <c r="U101" s="205"/>
      <c r="V101" s="205"/>
      <c r="W101" s="205"/>
    </row>
    <row r="102" spans="2:34" ht="15" customHeight="1">
      <c r="B102" s="205"/>
      <c r="C102" s="205"/>
      <c r="D102" s="205"/>
      <c r="E102" s="204"/>
      <c r="F102" s="204"/>
      <c r="G102" s="204"/>
      <c r="H102" s="205"/>
      <c r="I102" s="205"/>
      <c r="J102" s="205"/>
      <c r="K102" s="205"/>
      <c r="L102" s="205"/>
      <c r="M102" s="205"/>
      <c r="N102" s="205"/>
      <c r="O102" s="205"/>
      <c r="P102" s="205"/>
      <c r="Q102" s="205"/>
      <c r="R102" s="205"/>
      <c r="S102" s="205"/>
      <c r="T102" s="205"/>
      <c r="U102" s="205"/>
      <c r="V102" s="205"/>
      <c r="W102" s="205"/>
    </row>
    <row r="103" spans="2:34" ht="15" customHeight="1">
      <c r="B103" s="205"/>
      <c r="C103" s="205"/>
      <c r="D103" s="205"/>
      <c r="E103" s="204"/>
      <c r="F103" s="204"/>
      <c r="G103" s="204"/>
      <c r="H103" s="570"/>
      <c r="I103" s="570"/>
      <c r="J103" s="570"/>
      <c r="K103" s="570"/>
      <c r="L103" s="570"/>
      <c r="M103" s="570"/>
      <c r="N103" s="570"/>
      <c r="O103" s="570"/>
      <c r="P103" s="570"/>
      <c r="Q103" s="570"/>
      <c r="R103" s="570"/>
      <c r="S103" s="570"/>
      <c r="T103" s="570"/>
      <c r="U103" s="570"/>
      <c r="V103" s="570"/>
      <c r="W103" s="570"/>
    </row>
    <row r="104" spans="2:34" ht="15" customHeight="1">
      <c r="B104" s="205"/>
      <c r="C104" s="205"/>
      <c r="D104" s="205"/>
      <c r="E104" s="204"/>
      <c r="F104" s="204"/>
      <c r="G104" s="204"/>
      <c r="H104" s="205"/>
      <c r="I104" s="205"/>
      <c r="J104" s="205"/>
      <c r="K104" s="205"/>
      <c r="L104" s="205"/>
      <c r="M104" s="205"/>
      <c r="N104" s="205"/>
      <c r="O104" s="205"/>
      <c r="P104" s="205"/>
      <c r="Q104" s="205"/>
      <c r="R104" s="205"/>
      <c r="S104" s="205"/>
      <c r="T104" s="205"/>
      <c r="U104" s="205"/>
      <c r="V104" s="205"/>
      <c r="W104" s="205"/>
    </row>
    <row r="105" spans="2:34" ht="15" customHeight="1">
      <c r="B105" s="205"/>
      <c r="C105" s="205"/>
      <c r="D105" s="205"/>
      <c r="E105" s="204"/>
      <c r="F105" s="204"/>
      <c r="G105" s="204"/>
      <c r="H105" s="570"/>
      <c r="I105" s="570"/>
      <c r="J105" s="570"/>
      <c r="K105" s="570"/>
      <c r="L105" s="570"/>
      <c r="M105" s="570"/>
      <c r="N105" s="570"/>
      <c r="O105" s="570"/>
      <c r="P105" s="570"/>
      <c r="Q105" s="570"/>
      <c r="R105" s="570"/>
      <c r="S105" s="570"/>
      <c r="T105" s="570"/>
      <c r="U105" s="570"/>
      <c r="V105" s="570"/>
      <c r="W105" s="570"/>
    </row>
  </sheetData>
  <sheetProtection algorithmName="SHA-512" hashValue="/olB56L1okBFt/eJrxALFj63+YV4dYi4szV3zm5ta1PGs6bUFO68gfCniJVmm4AXCFVydK21mYc7G+rt5+r/NA==" saltValue="Ln8III3vVRu1KcH6JqVEMw==" spinCount="100000" sheet="1" objects="1" scenarios="1"/>
  <mergeCells count="67">
    <mergeCell ref="AA82:AA83"/>
    <mergeCell ref="AB13:AB23"/>
    <mergeCell ref="W11:W12"/>
    <mergeCell ref="AB87:AB92"/>
    <mergeCell ref="AA84:AA86"/>
    <mergeCell ref="AB33:AB34"/>
    <mergeCell ref="AB35:AB36"/>
    <mergeCell ref="AB37:AB39"/>
    <mergeCell ref="AB93:AB94"/>
    <mergeCell ref="AB24:AB29"/>
    <mergeCell ref="AB30:AB32"/>
    <mergeCell ref="AB48:AB54"/>
    <mergeCell ref="AB55:AB60"/>
    <mergeCell ref="AB61:AB68"/>
    <mergeCell ref="AB69:AB86"/>
    <mergeCell ref="AB40:AB41"/>
    <mergeCell ref="AB42:AB43"/>
    <mergeCell ref="AB45:AB47"/>
    <mergeCell ref="I10:I12"/>
    <mergeCell ref="C2:AB6"/>
    <mergeCell ref="Z10:AB10"/>
    <mergeCell ref="O11:P11"/>
    <mergeCell ref="Q11:R11"/>
    <mergeCell ref="S11:T11"/>
    <mergeCell ref="U11:V11"/>
    <mergeCell ref="O10:Y10"/>
    <mergeCell ref="X11:X12"/>
    <mergeCell ref="Y11:Y12"/>
    <mergeCell ref="AA11:AA12"/>
    <mergeCell ref="AB11:AB12"/>
    <mergeCell ref="J10:J12"/>
    <mergeCell ref="K10:N10"/>
    <mergeCell ref="Z11:Z12"/>
    <mergeCell ref="C10:C12"/>
    <mergeCell ref="B96:B99"/>
    <mergeCell ref="B33:B39"/>
    <mergeCell ref="C33:C34"/>
    <mergeCell ref="C35:C36"/>
    <mergeCell ref="C37:C39"/>
    <mergeCell ref="B40:B47"/>
    <mergeCell ref="C40:C41"/>
    <mergeCell ref="C42:C43"/>
    <mergeCell ref="C45:C47"/>
    <mergeCell ref="B48:B95"/>
    <mergeCell ref="C96:C97"/>
    <mergeCell ref="F10:F12"/>
    <mergeCell ref="G10:G12"/>
    <mergeCell ref="B2:B6"/>
    <mergeCell ref="H10:H12"/>
    <mergeCell ref="D10:D12"/>
    <mergeCell ref="E10:E12"/>
    <mergeCell ref="AB96:AB97"/>
    <mergeCell ref="B10:B12"/>
    <mergeCell ref="E82:E83"/>
    <mergeCell ref="C87:C92"/>
    <mergeCell ref="C93:C94"/>
    <mergeCell ref="B13:B32"/>
    <mergeCell ref="C13:C23"/>
    <mergeCell ref="C24:C29"/>
    <mergeCell ref="C30:C32"/>
    <mergeCell ref="C48:C54"/>
    <mergeCell ref="C55:C60"/>
    <mergeCell ref="C61:C68"/>
    <mergeCell ref="D82:D83"/>
    <mergeCell ref="C69:C86"/>
    <mergeCell ref="D84:D86"/>
    <mergeCell ref="E84:E86"/>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80B9898-88F4-44B6-BCF4-CF4632C37086}">
          <x14:formula1>
            <xm:f>LISTAS!$I$5:$I$9</xm:f>
          </x14:formula1>
          <xm:sqref>C8</xm:sqref>
        </x14:dataValidation>
        <x14:dataValidation type="list" allowBlank="1" showInputMessage="1" showErrorMessage="1" xr:uid="{1A3497A4-26BF-4B48-A074-F6DCE0D55A74}">
          <x14:formula1>
            <xm:f>LISTAS!$E$6:$E$9</xm:f>
          </x14:formula1>
          <xm:sqref>D8</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02307-17BC-42CB-872B-0E91678AC12C}">
  <dimension ref="C4:I21"/>
  <sheetViews>
    <sheetView zoomScale="85" zoomScaleNormal="85" workbookViewId="0">
      <selection sqref="A1:XFD1048576"/>
    </sheetView>
  </sheetViews>
  <sheetFormatPr baseColWidth="10" defaultRowHeight="13.2"/>
  <cols>
    <col min="3" max="3" width="84.6640625" customWidth="1"/>
    <col min="9" max="9" width="15.33203125" bestFit="1" customWidth="1"/>
  </cols>
  <sheetData>
    <row r="4" spans="3:9">
      <c r="C4" s="14" t="s">
        <v>78</v>
      </c>
      <c r="E4" s="15" t="s">
        <v>59</v>
      </c>
      <c r="I4" t="s">
        <v>1137</v>
      </c>
    </row>
    <row r="5" spans="3:9" ht="22.8">
      <c r="C5" s="18" t="s">
        <v>99</v>
      </c>
      <c r="E5" s="18" t="s">
        <v>99</v>
      </c>
      <c r="I5" s="1035" t="s">
        <v>1142</v>
      </c>
    </row>
    <row r="6" spans="3:9" ht="22.8">
      <c r="C6" s="18" t="s">
        <v>79</v>
      </c>
      <c r="E6" s="18">
        <v>2021</v>
      </c>
      <c r="I6" s="1035" t="s">
        <v>1138</v>
      </c>
    </row>
    <row r="7" spans="3:9" ht="22.8">
      <c r="C7" s="18" t="s">
        <v>80</v>
      </c>
      <c r="E7" s="18">
        <v>2022</v>
      </c>
      <c r="I7" s="1035" t="s">
        <v>1139</v>
      </c>
    </row>
    <row r="8" spans="3:9" ht="22.8">
      <c r="C8" s="18" t="s">
        <v>81</v>
      </c>
      <c r="E8" s="18">
        <v>2023</v>
      </c>
      <c r="I8" s="1035" t="s">
        <v>1140</v>
      </c>
    </row>
    <row r="9" spans="3:9" ht="22.8">
      <c r="C9" s="18" t="s">
        <v>86</v>
      </c>
      <c r="E9" s="18">
        <v>2024</v>
      </c>
      <c r="I9" s="1035" t="s">
        <v>1141</v>
      </c>
    </row>
    <row r="10" spans="3:9" ht="22.8">
      <c r="C10" s="18" t="s">
        <v>87</v>
      </c>
    </row>
    <row r="11" spans="3:9" ht="22.8">
      <c r="C11" s="18" t="s">
        <v>88</v>
      </c>
      <c r="I11" s="1035" t="s">
        <v>1147</v>
      </c>
    </row>
    <row r="12" spans="3:9" ht="22.8">
      <c r="C12" s="18" t="s">
        <v>89</v>
      </c>
      <c r="I12" s="1035" t="s">
        <v>1144</v>
      </c>
    </row>
    <row r="13" spans="3:9" ht="22.8">
      <c r="C13" s="18" t="s">
        <v>90</v>
      </c>
      <c r="I13" s="1035" t="s">
        <v>1145</v>
      </c>
    </row>
    <row r="14" spans="3:9" ht="22.8">
      <c r="C14" s="18" t="s">
        <v>91</v>
      </c>
      <c r="I14" s="1035" t="s">
        <v>1146</v>
      </c>
    </row>
    <row r="15" spans="3:9" ht="22.8">
      <c r="C15" s="18" t="s">
        <v>92</v>
      </c>
      <c r="I15" s="1035" t="s">
        <v>1056</v>
      </c>
    </row>
    <row r="16" spans="3:9" ht="22.8">
      <c r="C16" s="18" t="s">
        <v>93</v>
      </c>
    </row>
    <row r="17" spans="3:9" ht="22.8">
      <c r="C17" s="18" t="s">
        <v>94</v>
      </c>
      <c r="I17" s="1035" t="s">
        <v>99</v>
      </c>
    </row>
    <row r="18" spans="3:9" ht="22.8">
      <c r="C18" s="18" t="s">
        <v>95</v>
      </c>
      <c r="I18" s="1044">
        <v>44926</v>
      </c>
    </row>
    <row r="19" spans="3:9" ht="22.8">
      <c r="C19" s="18" t="s">
        <v>96</v>
      </c>
      <c r="I19" s="1044">
        <v>44834</v>
      </c>
    </row>
    <row r="20" spans="3:9" ht="22.8">
      <c r="C20" s="18" t="s">
        <v>97</v>
      </c>
      <c r="I20" s="1044">
        <v>44742</v>
      </c>
    </row>
    <row r="21" spans="3:9" ht="22.8">
      <c r="C21" s="18" t="s">
        <v>98</v>
      </c>
      <c r="I21" s="1044">
        <v>44651</v>
      </c>
    </row>
  </sheetData>
  <pageMargins left="0.7" right="0.7" top="0.75" bottom="0.75" header="0.3" footer="0.3"/>
  <pageSetup paperSize="9" orientation="portrait" horizontalDpi="1200" verticalDpi="1200"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249F3-AF3C-465E-8559-41968CBEEE1B}">
  <sheetPr>
    <tabColor rgb="FF7030A0"/>
  </sheetPr>
  <dimension ref="B2:R127"/>
  <sheetViews>
    <sheetView showGridLines="0" zoomScale="80" zoomScaleNormal="80" workbookViewId="0">
      <pane xSplit="5" ySplit="4" topLeftCell="F82" activePane="bottomRight" state="frozen"/>
      <selection activeCell="M12" sqref="M12"/>
      <selection pane="topRight" activeCell="M12" sqref="M12"/>
      <selection pane="bottomLeft" activeCell="M12" sqref="M12"/>
      <selection pane="bottomRight" activeCell="C88" sqref="C88"/>
    </sheetView>
  </sheetViews>
  <sheetFormatPr baseColWidth="10" defaultColWidth="11.44140625" defaultRowHeight="13.2"/>
  <cols>
    <col min="1" max="1" width="1.6640625" customWidth="1"/>
    <col min="2" max="2" width="6.5546875" style="426" customWidth="1"/>
    <col min="3" max="3" width="36.33203125" style="427" customWidth="1"/>
    <col min="4" max="4" width="16" style="426" customWidth="1"/>
    <col min="5" max="6" width="41.88671875" style="428" customWidth="1"/>
    <col min="7" max="7" width="25" style="426" customWidth="1"/>
    <col min="8" max="8" width="19" customWidth="1"/>
    <col min="9" max="9" width="13.109375" customWidth="1"/>
    <col min="10" max="13" width="11.44140625" customWidth="1"/>
    <col min="14" max="15" width="15.5546875" customWidth="1"/>
    <col min="16" max="16" width="15.33203125" style="426" customWidth="1"/>
    <col min="17" max="17" width="12.6640625" style="426" customWidth="1"/>
    <col min="18" max="18" width="48.5546875" style="441" customWidth="1"/>
  </cols>
  <sheetData>
    <row r="2" spans="2:18" ht="17.399999999999999">
      <c r="B2" s="1548" t="s">
        <v>715</v>
      </c>
      <c r="C2" s="1548"/>
      <c r="D2" s="1548"/>
      <c r="E2" s="1548"/>
      <c r="F2" s="1548"/>
      <c r="G2" s="1548"/>
      <c r="H2" s="1548"/>
      <c r="I2" s="1548"/>
      <c r="J2" s="1548"/>
      <c r="K2" s="1548"/>
      <c r="L2" s="1548"/>
      <c r="M2" s="1548"/>
      <c r="N2" s="1548"/>
      <c r="O2" s="1548"/>
    </row>
    <row r="3" spans="2:18" ht="17.25" customHeight="1">
      <c r="B3" s="408"/>
      <c r="C3" s="408"/>
      <c r="D3" s="409"/>
      <c r="E3" s="409"/>
      <c r="F3" s="409"/>
      <c r="G3" s="409"/>
      <c r="H3" s="1549" t="s">
        <v>716</v>
      </c>
      <c r="I3" s="1549"/>
      <c r="J3" s="1549"/>
      <c r="K3" s="1549"/>
      <c r="L3" s="1549"/>
      <c r="M3" s="1549"/>
      <c r="N3" s="1549"/>
      <c r="O3" s="1549"/>
    </row>
    <row r="4" spans="2:18" ht="52.95" customHeight="1">
      <c r="B4" s="410" t="s">
        <v>717</v>
      </c>
      <c r="C4" s="410" t="s">
        <v>718</v>
      </c>
      <c r="D4" s="411" t="s">
        <v>719</v>
      </c>
      <c r="E4" s="412" t="s">
        <v>720</v>
      </c>
      <c r="F4" s="412" t="s">
        <v>750</v>
      </c>
      <c r="G4" s="412" t="s">
        <v>721</v>
      </c>
      <c r="H4" s="1453" t="s">
        <v>722</v>
      </c>
      <c r="I4" s="1454"/>
      <c r="J4" s="1455" t="s">
        <v>723</v>
      </c>
      <c r="K4" s="1456"/>
      <c r="L4" s="1456"/>
      <c r="M4" s="1457"/>
      <c r="N4" s="1458" t="s">
        <v>724</v>
      </c>
      <c r="O4" s="1459"/>
      <c r="P4" s="434" t="s">
        <v>813</v>
      </c>
      <c r="Q4" s="434" t="s">
        <v>814</v>
      </c>
      <c r="R4" s="421" t="s">
        <v>812</v>
      </c>
    </row>
    <row r="5" spans="2:18" ht="57.6" customHeight="1">
      <c r="B5" s="413">
        <v>1</v>
      </c>
      <c r="C5" s="414" t="s">
        <v>725</v>
      </c>
      <c r="D5" s="413" t="s">
        <v>744</v>
      </c>
      <c r="E5" s="429" t="str">
        <f>+'01-DIRECCIONAMIENTO ESTRATÉGICO'!I16</f>
        <v xml:space="preserve">Porcentaje de acciones implementadas para la sostenibilidad y mejora del SGC </v>
      </c>
      <c r="F5" s="429" t="str">
        <f>'01-DIRECCIONAMIENTO ESTRATÉGICO'!J16</f>
        <v xml:space="preserve"> Grado de avance en la implementación de acciones para la sostenibilidad y mejora del SGC</v>
      </c>
      <c r="G5" s="413" t="s">
        <v>760</v>
      </c>
      <c r="H5" s="416" t="s">
        <v>731</v>
      </c>
      <c r="I5" s="417">
        <v>95</v>
      </c>
      <c r="J5" s="418" t="str">
        <f t="shared" ref="J5:J37" si="0">IF(OR($H5="Mayor A:",$H5="Menor A:"),"Desde (&gt;=):",
IF(OR($H5="Mayor o Igual A:",$H5="Menor o Igual A:"),"Desde (&gt;):",
IF($H5="Igual A:","No Aplica",
IF($H5="",""))))</f>
        <v>Desde (&gt;=):</v>
      </c>
      <c r="K5" s="418">
        <f t="shared" ref="K5:K64" si="1">IF(I5&gt;O5,O5,
IF(I5&lt;O5,I5,
IF(I5=O5,"No Aplica","")))</f>
        <v>80</v>
      </c>
      <c r="L5" s="418" t="str">
        <f t="shared" ref="L5:L37" si="2">IF(OR($H5="Mayor A:",$H5="Menor A:"),"Hasta (&lt;=):",
IF(OR($H5="Mayor o Igual A:",$H5="Menor o Igual A:"),"Hasta (&lt;):",
IF($H5="Igual A:","No Aplica",
IF($H5="",""))))</f>
        <v>Hasta (&lt;=):</v>
      </c>
      <c r="M5" s="418">
        <f t="shared" ref="M5:M64" si="3">IF(I5&gt;O5,I5,
IF(I5&lt;O5,O5,
IF(I5=O5,"No Aplica","")))</f>
        <v>95</v>
      </c>
      <c r="N5" s="418" t="str">
        <f t="shared" ref="N5:N37" si="4">IF($H5="Mayor A:","Menor A:",
IF($H5="Menor A:","Mayor A:",
IF($H5="Mayor o Igual A:","Menor o Igual A:",
IF($H5="Menor o Igual A:","Mayor o Igual A:",
IF($H5="Igual A:","Igual A:",
IF($H5="",""))))))</f>
        <v>Menor A:</v>
      </c>
      <c r="O5" s="419">
        <v>80</v>
      </c>
      <c r="P5" s="432">
        <f>+'01-DIRECCIONAMIENTO ESTRATÉGICO'!F16</f>
        <v>1</v>
      </c>
      <c r="Q5" s="432">
        <f>+'01-DIRECCIONAMIENTO ESTRATÉGICO'!G16</f>
        <v>1</v>
      </c>
      <c r="R5" s="439" t="str">
        <f>+'01-DIRECCIONAMIENTO ESTRATÉGICO'!O16</f>
        <v>Dirección de Planeación
Aportan: Dependencias lideradas por  Responsables de procesos y operativos de todos los procesos institucionales</v>
      </c>
    </row>
    <row r="6" spans="2:18" ht="39.6">
      <c r="B6" s="413">
        <f>1+B5</f>
        <v>2</v>
      </c>
      <c r="C6" s="414" t="s">
        <v>725</v>
      </c>
      <c r="D6" s="413" t="s">
        <v>747</v>
      </c>
      <c r="E6" s="429" t="str">
        <f>+'01-DIRECCIONAMIENTO ESTRATÉGICO'!I17</f>
        <v>Porcentaje de actividades implementadas para la sostenibilidad  y mejora del MIPG</v>
      </c>
      <c r="F6" s="429" t="str">
        <f>'01-DIRECCIONAMIENTO ESTRATÉGICO'!J17</f>
        <v>Grado de avance en la implementación de acciones para la sostenibilidad y mejora del MIPG</v>
      </c>
      <c r="G6" s="421" t="s">
        <v>760</v>
      </c>
      <c r="H6" s="416" t="s">
        <v>731</v>
      </c>
      <c r="I6" s="417">
        <v>95</v>
      </c>
      <c r="J6" s="418" t="str">
        <f t="shared" si="0"/>
        <v>Desde (&gt;=):</v>
      </c>
      <c r="K6" s="418">
        <f t="shared" si="1"/>
        <v>80</v>
      </c>
      <c r="L6" s="418" t="str">
        <f t="shared" si="2"/>
        <v>Hasta (&lt;=):</v>
      </c>
      <c r="M6" s="418">
        <f t="shared" si="3"/>
        <v>95</v>
      </c>
      <c r="N6" s="418" t="str">
        <f t="shared" si="4"/>
        <v>Menor A:</v>
      </c>
      <c r="O6" s="419">
        <v>80</v>
      </c>
      <c r="P6" s="432">
        <f>+'01-DIRECCIONAMIENTO ESTRATÉGICO'!F17</f>
        <v>0.4</v>
      </c>
      <c r="Q6" s="432">
        <f>+'01-DIRECCIONAMIENTO ESTRATÉGICO'!G17</f>
        <v>0.14000000000000001</v>
      </c>
      <c r="R6" s="439" t="str">
        <f>+'01-DIRECCIONAMIENTO ESTRATÉGICO'!O17</f>
        <v>Dirección de Planeación
Aportan: Dependencias lideradas por  Responsables de procesos y operativos de todos los procesos institucionales</v>
      </c>
    </row>
    <row r="7" spans="2:18" ht="26.4">
      <c r="B7" s="413">
        <f t="shared" ref="B7:B73" si="5">1+B6</f>
        <v>3</v>
      </c>
      <c r="C7" s="414" t="s">
        <v>725</v>
      </c>
      <c r="D7" s="413" t="s">
        <v>748</v>
      </c>
      <c r="E7" s="429" t="str">
        <f>+'01-DIRECCIONAMIENTO ESTRATÉGICO'!I18</f>
        <v xml:space="preserve">Porcentaje de requisitos del  SGA implementados bajo los estándares de la norma ISO 14001 </v>
      </c>
      <c r="F7" s="429" t="str">
        <f>'01-DIRECCIONAMIENTO ESTRATÉGICO'!J18</f>
        <v>Número de requisitos implementados del SGA/ Número total de requisitos del SGA</v>
      </c>
      <c r="G7" s="421" t="s">
        <v>760</v>
      </c>
      <c r="H7" s="416" t="s">
        <v>726</v>
      </c>
      <c r="I7" s="417">
        <v>95</v>
      </c>
      <c r="J7" s="418" t="str">
        <f t="shared" si="0"/>
        <v>Desde (&gt;):</v>
      </c>
      <c r="K7" s="418">
        <f t="shared" si="1"/>
        <v>85</v>
      </c>
      <c r="L7" s="418" t="str">
        <f t="shared" si="2"/>
        <v>Hasta (&lt;):</v>
      </c>
      <c r="M7" s="418">
        <f t="shared" si="3"/>
        <v>95</v>
      </c>
      <c r="N7" s="418" t="str">
        <f t="shared" si="4"/>
        <v>Menor o Igual A:</v>
      </c>
      <c r="O7" s="419">
        <v>85</v>
      </c>
      <c r="P7" s="432">
        <f>+'01-DIRECCIONAMIENTO ESTRATÉGICO'!F18</f>
        <v>1</v>
      </c>
      <c r="Q7" s="432">
        <f>+'01-DIRECCIONAMIENTO ESTRATÉGICO'!G18</f>
        <v>0.33</v>
      </c>
      <c r="R7" s="439" t="str">
        <f>+'01-DIRECCIONAMIENTO ESTRATÉGICO'!O18</f>
        <v>Dirección de Planeación</v>
      </c>
    </row>
    <row r="8" spans="2:18" ht="33" customHeight="1">
      <c r="B8" s="413">
        <f t="shared" si="5"/>
        <v>4</v>
      </c>
      <c r="C8" s="414" t="s">
        <v>725</v>
      </c>
      <c r="D8" s="413" t="s">
        <v>749</v>
      </c>
      <c r="E8" s="429" t="str">
        <f>+'01-DIRECCIONAMIENTO ESTRATÉGICO'!I19</f>
        <v>Acciones de monitoreo y revisión realizadas al PAAC</v>
      </c>
      <c r="F8" s="429" t="str">
        <f>'01-DIRECCIONAMIENTO ESTRATÉGICO'!J19</f>
        <v>Número de acciones de monitoreo realizadas al PAAC</v>
      </c>
      <c r="G8" s="421" t="s">
        <v>760</v>
      </c>
      <c r="H8" s="416" t="s">
        <v>726</v>
      </c>
      <c r="I8" s="417">
        <v>100</v>
      </c>
      <c r="J8" s="418" t="str">
        <f t="shared" si="0"/>
        <v>Desde (&gt;):</v>
      </c>
      <c r="K8" s="418">
        <f t="shared" si="1"/>
        <v>80</v>
      </c>
      <c r="L8" s="418" t="str">
        <f t="shared" si="2"/>
        <v>Hasta (&lt;):</v>
      </c>
      <c r="M8" s="418">
        <f t="shared" si="3"/>
        <v>100</v>
      </c>
      <c r="N8" s="418" t="str">
        <f t="shared" si="4"/>
        <v>Menor o Igual A:</v>
      </c>
      <c r="O8" s="419">
        <v>80</v>
      </c>
      <c r="P8" s="437">
        <f>+'01-DIRECCIONAMIENTO ESTRATÉGICO'!F19</f>
        <v>12</v>
      </c>
      <c r="Q8" s="437">
        <f>+'01-DIRECCIONAMIENTO ESTRATÉGICO'!G19</f>
        <v>3</v>
      </c>
      <c r="R8" s="439" t="str">
        <f>+'01-DIRECCIONAMIENTO ESTRATÉGICO'!O19</f>
        <v>Dirección de Planeación</v>
      </c>
    </row>
    <row r="9" spans="2:18" ht="25.5" customHeight="1">
      <c r="B9" s="413">
        <f t="shared" si="5"/>
        <v>5</v>
      </c>
      <c r="C9" s="420" t="s">
        <v>727</v>
      </c>
      <c r="D9" s="421" t="s">
        <v>782</v>
      </c>
      <c r="E9" s="425" t="str">
        <f>+'02-G. CONOCIMIENTO INNOVACIÓN'!I16</f>
        <v>Proyectos de Investigación, Desarrollo e Innovación (I+D+I) elaborados</v>
      </c>
      <c r="F9" s="425" t="str">
        <f>+'02-G. CONOCIMIENTO INNOVACIÓN'!J16</f>
        <v>Número de proyectos de investigación, desarrollo e innovación elaborados</v>
      </c>
      <c r="G9" s="421" t="s">
        <v>760</v>
      </c>
      <c r="H9" s="416" t="s">
        <v>726</v>
      </c>
      <c r="I9" s="417">
        <v>100</v>
      </c>
      <c r="J9" s="418" t="str">
        <f t="shared" si="0"/>
        <v>Desde (&gt;):</v>
      </c>
      <c r="K9" s="418">
        <f t="shared" si="1"/>
        <v>60</v>
      </c>
      <c r="L9" s="418" t="str">
        <f t="shared" si="2"/>
        <v>Hasta (&lt;):</v>
      </c>
      <c r="M9" s="418">
        <f t="shared" si="3"/>
        <v>100</v>
      </c>
      <c r="N9" s="418" t="str">
        <f t="shared" si="4"/>
        <v>Menor o Igual A:</v>
      </c>
      <c r="O9" s="419">
        <v>60</v>
      </c>
      <c r="P9" s="431">
        <f>+'02-G. CONOCIMIENTO INNOVACIÓN'!F16</f>
        <v>4</v>
      </c>
      <c r="Q9" s="431">
        <f>+'02-G. CONOCIMIENTO INNOVACIÓN'!G16</f>
        <v>1</v>
      </c>
      <c r="R9" s="436" t="str">
        <f>+'02-G. CONOCIMIENTO INNOVACIÓN'!O16</f>
        <v xml:space="preserve">Dirección de Gestión del Conocimiento e Innovación </v>
      </c>
    </row>
    <row r="10" spans="2:18" ht="25.5" customHeight="1">
      <c r="B10" s="413">
        <f t="shared" si="5"/>
        <v>6</v>
      </c>
      <c r="C10" s="1036" t="s">
        <v>727</v>
      </c>
      <c r="D10" s="421" t="s">
        <v>1143</v>
      </c>
      <c r="E10" s="425" t="str">
        <f>+'02-G. CONOCIMIENTO INNOVACIÓN'!I17</f>
        <v>Productos resultado de investigaciones, entregadas para la comunidad</v>
      </c>
      <c r="F10" s="425" t="str">
        <f>+'02-G. CONOCIMIENTO INNOVACIÓN'!J17</f>
        <v>Número de proyectos de investigación, desarrollo e innovación elaborados</v>
      </c>
      <c r="G10" s="421" t="s">
        <v>760</v>
      </c>
      <c r="H10" s="416" t="s">
        <v>726</v>
      </c>
      <c r="I10" s="417">
        <v>100</v>
      </c>
      <c r="J10" s="418" t="str">
        <f t="shared" si="0"/>
        <v>Desde (&gt;):</v>
      </c>
      <c r="K10" s="418">
        <f t="shared" ref="K10" si="6">IF(I10&gt;O10,O10,
IF(I10&lt;O10,I10,
IF(I10=O10,"No Aplica","")))</f>
        <v>60</v>
      </c>
      <c r="L10" s="418" t="str">
        <f t="shared" si="2"/>
        <v>Hasta (&lt;):</v>
      </c>
      <c r="M10" s="418">
        <f t="shared" ref="M10" si="7">IF(I10&gt;O10,I10,
IF(I10&lt;O10,O10,
IF(I10=O10,"No Aplica","")))</f>
        <v>100</v>
      </c>
      <c r="N10" s="418" t="str">
        <f t="shared" si="4"/>
        <v>Menor o Igual A:</v>
      </c>
      <c r="O10" s="419">
        <v>60</v>
      </c>
      <c r="P10" s="431">
        <f>+'02-G. CONOCIMIENTO INNOVACIÓN'!F17</f>
        <v>2</v>
      </c>
      <c r="Q10" s="431">
        <f>+'02-G. CONOCIMIENTO INNOVACIÓN'!G17</f>
        <v>1</v>
      </c>
      <c r="R10" s="436" t="str">
        <f>+'02-G. CONOCIMIENTO INNOVACIÓN'!O17</f>
        <v xml:space="preserve">Dirección de Gestión del Conocimiento e Innovación </v>
      </c>
    </row>
    <row r="11" spans="2:18" ht="32.25" customHeight="1">
      <c r="B11" s="413">
        <f t="shared" si="5"/>
        <v>7</v>
      </c>
      <c r="C11" s="420" t="s">
        <v>727</v>
      </c>
      <c r="D11" s="421" t="s">
        <v>745</v>
      </c>
      <c r="E11" s="425" t="str">
        <f>+'02-G. CONOCIMIENTO INNOVACIÓN'!I18</f>
        <v>Informes de investigación e innovación construidos</v>
      </c>
      <c r="F11" s="425" t="str">
        <f>+'02-G. CONOCIMIENTO INNOVACIÓN'!J18</f>
        <v>Número de Informes de Investigación e Innovación construidos</v>
      </c>
      <c r="G11" s="421" t="s">
        <v>760</v>
      </c>
      <c r="H11" s="416" t="s">
        <v>726</v>
      </c>
      <c r="I11" s="417">
        <v>100</v>
      </c>
      <c r="J11" s="418" t="str">
        <f t="shared" si="0"/>
        <v>Desde (&gt;):</v>
      </c>
      <c r="K11" s="418">
        <f t="shared" si="1"/>
        <v>60</v>
      </c>
      <c r="L11" s="418" t="str">
        <f t="shared" si="2"/>
        <v>Hasta (&lt;):</v>
      </c>
      <c r="M11" s="418">
        <f t="shared" si="3"/>
        <v>100</v>
      </c>
      <c r="N11" s="418" t="str">
        <f t="shared" si="4"/>
        <v>Menor o Igual A:</v>
      </c>
      <c r="O11" s="419">
        <v>60</v>
      </c>
      <c r="P11" s="431">
        <f>+'02-G. CONOCIMIENTO INNOVACIÓN'!F18</f>
        <v>8</v>
      </c>
      <c r="Q11" s="431">
        <f>+'02-G. CONOCIMIENTO INNOVACIÓN'!G18</f>
        <v>2</v>
      </c>
      <c r="R11" s="436" t="str">
        <f>+'02-G. CONOCIMIENTO INNOVACIÓN'!O18</f>
        <v xml:space="preserve">Dirección de Gestión del Conocimiento e Innovación </v>
      </c>
    </row>
    <row r="12" spans="2:18" ht="26.4">
      <c r="B12" s="413">
        <f t="shared" si="5"/>
        <v>8</v>
      </c>
      <c r="C12" s="420" t="s">
        <v>727</v>
      </c>
      <c r="D12" s="421" t="s">
        <v>785</v>
      </c>
      <c r="E12" s="425" t="str">
        <f>+'02-G. CONOCIMIENTO INNOVACIÓN'!I19</f>
        <v>Actividades de apropiación social del conocimiento desarrolladas</v>
      </c>
      <c r="F12" s="425" t="str">
        <f>+'02-G. CONOCIMIENTO INNOVACIÓN'!J19</f>
        <v xml:space="preserve"> Número de Actividades de apropiación social del conocimiento realizadas</v>
      </c>
      <c r="G12" s="421" t="s">
        <v>760</v>
      </c>
      <c r="H12" s="416" t="s">
        <v>726</v>
      </c>
      <c r="I12" s="417">
        <v>100</v>
      </c>
      <c r="J12" s="418" t="str">
        <f t="shared" si="0"/>
        <v>Desde (&gt;):</v>
      </c>
      <c r="K12" s="418">
        <f t="shared" si="1"/>
        <v>60</v>
      </c>
      <c r="L12" s="418" t="str">
        <f t="shared" si="2"/>
        <v>Hasta (&lt;):</v>
      </c>
      <c r="M12" s="418">
        <f t="shared" si="3"/>
        <v>100</v>
      </c>
      <c r="N12" s="418" t="str">
        <f t="shared" si="4"/>
        <v>Menor o Igual A:</v>
      </c>
      <c r="O12" s="419">
        <v>60</v>
      </c>
      <c r="P12" s="431">
        <f>+'02-G. CONOCIMIENTO INNOVACIÓN'!F19</f>
        <v>80</v>
      </c>
      <c r="Q12" s="431">
        <f>+'02-G. CONOCIMIENTO INNOVACIÓN'!G19</f>
        <v>38</v>
      </c>
      <c r="R12" s="436" t="str">
        <f>+'02-G. CONOCIMIENTO INNOVACIÓN'!O19</f>
        <v xml:space="preserve">Dirección de Gestión del Conocimiento e Innovación </v>
      </c>
    </row>
    <row r="13" spans="2:18" ht="26.4">
      <c r="B13" s="413">
        <f t="shared" si="5"/>
        <v>9</v>
      </c>
      <c r="C13" s="414" t="s">
        <v>728</v>
      </c>
      <c r="D13" s="421" t="s">
        <v>783</v>
      </c>
      <c r="E13" s="425" t="str">
        <f>+'03-DIRECCIONAMIENTO TIC'!I16</f>
        <v>Porcentaje de proyectos implementados de acuerdo al plan de tecnologías de la Información</v>
      </c>
      <c r="F13" s="425" t="str">
        <f>+'03-DIRECCIONAMIENTO TIC'!J16</f>
        <v>Porcentaje de proyectos implementados / Porcentaje de proyectos programados</v>
      </c>
      <c r="G13" s="421" t="s">
        <v>760</v>
      </c>
      <c r="H13" s="416" t="s">
        <v>726</v>
      </c>
      <c r="I13" s="417">
        <v>90</v>
      </c>
      <c r="J13" s="418" t="str">
        <f t="shared" si="0"/>
        <v>Desde (&gt;):</v>
      </c>
      <c r="K13" s="418">
        <f t="shared" si="1"/>
        <v>85</v>
      </c>
      <c r="L13" s="418" t="str">
        <f t="shared" si="2"/>
        <v>Hasta (&lt;):</v>
      </c>
      <c r="M13" s="418">
        <f t="shared" si="3"/>
        <v>90</v>
      </c>
      <c r="N13" s="418" t="str">
        <f t="shared" si="4"/>
        <v>Menor o Igual A:</v>
      </c>
      <c r="O13" s="419">
        <v>85</v>
      </c>
      <c r="P13" s="432">
        <f>+'03-DIRECCIONAMIENTO TIC'!F16</f>
        <v>1</v>
      </c>
      <c r="Q13" s="432">
        <f>+'03-DIRECCIONAMIENTO TIC'!G16</f>
        <v>0.4</v>
      </c>
      <c r="R13" s="436" t="str">
        <f>+'03-DIRECCIONAMIENTO TIC'!O16</f>
        <v>Dirección de Tecnologías de la  Información y las Comunicaciones</v>
      </c>
    </row>
    <row r="14" spans="2:18" ht="26.4">
      <c r="B14" s="413">
        <f t="shared" si="5"/>
        <v>10</v>
      </c>
      <c r="C14" s="414" t="s">
        <v>728</v>
      </c>
      <c r="D14" s="421" t="s">
        <v>786</v>
      </c>
      <c r="E14" s="425" t="str">
        <f>+'03-DIRECCIONAMIENTO TIC'!I17</f>
        <v>Porcentaje de actividades ejecutadas de acuerdo al plan de Seguridad de información</v>
      </c>
      <c r="F14" s="425" t="str">
        <f>+'03-DIRECCIONAMIENTO TIC'!J17</f>
        <v>Porcentaje de actividades ejecutadas / Porcentaje de actividades programadas</v>
      </c>
      <c r="G14" s="421" t="s">
        <v>760</v>
      </c>
      <c r="H14" s="416" t="s">
        <v>726</v>
      </c>
      <c r="I14" s="417">
        <v>90</v>
      </c>
      <c r="J14" s="418" t="str">
        <f t="shared" si="0"/>
        <v>Desde (&gt;):</v>
      </c>
      <c r="K14" s="418">
        <f t="shared" si="1"/>
        <v>85</v>
      </c>
      <c r="L14" s="418" t="str">
        <f t="shared" si="2"/>
        <v>Hasta (&lt;):</v>
      </c>
      <c r="M14" s="418">
        <f t="shared" si="3"/>
        <v>90</v>
      </c>
      <c r="N14" s="418" t="str">
        <f t="shared" si="4"/>
        <v>Menor o Igual A:</v>
      </c>
      <c r="O14" s="419">
        <v>85</v>
      </c>
      <c r="P14" s="432">
        <f>+'03-DIRECCIONAMIENTO TIC'!F17</f>
        <v>1</v>
      </c>
      <c r="Q14" s="432">
        <f>+'03-DIRECCIONAMIENTO TIC'!G17</f>
        <v>0.4</v>
      </c>
      <c r="R14" s="436" t="str">
        <f>+'03-DIRECCIONAMIENTO TIC'!O17</f>
        <v>Dirección de Tecnologías de la  Información y las Comunicaciones</v>
      </c>
    </row>
    <row r="15" spans="2:18" ht="26.4">
      <c r="B15" s="413">
        <f t="shared" si="5"/>
        <v>11</v>
      </c>
      <c r="C15" s="414" t="s">
        <v>728</v>
      </c>
      <c r="D15" s="421" t="s">
        <v>746</v>
      </c>
      <c r="E15" s="425" t="str">
        <f>+'03-DIRECCIONAMIENTO TIC'!I18</f>
        <v xml:space="preserve">Porcentaje de actividades ejecutadas  en la estrategia de servicios ciudadanos digitales </v>
      </c>
      <c r="F15" s="425" t="str">
        <f>+'03-DIRECCIONAMIENTO TIC'!J18</f>
        <v>Porcentaje de actividades ejecutadas / Porcentaje de actividades programadas</v>
      </c>
      <c r="G15" s="421" t="s">
        <v>760</v>
      </c>
      <c r="H15" s="416" t="s">
        <v>726</v>
      </c>
      <c r="I15" s="417">
        <v>90</v>
      </c>
      <c r="J15" s="418" t="str">
        <f t="shared" si="0"/>
        <v>Desde (&gt;):</v>
      </c>
      <c r="K15" s="418">
        <f t="shared" si="1"/>
        <v>85</v>
      </c>
      <c r="L15" s="418" t="str">
        <f t="shared" si="2"/>
        <v>Hasta (&lt;):</v>
      </c>
      <c r="M15" s="418">
        <f t="shared" si="3"/>
        <v>90</v>
      </c>
      <c r="N15" s="418" t="str">
        <f t="shared" si="4"/>
        <v>Menor o Igual A:</v>
      </c>
      <c r="O15" s="419">
        <v>85</v>
      </c>
      <c r="P15" s="432">
        <f>+'03-DIRECCIONAMIENTO TIC'!F18</f>
        <v>1</v>
      </c>
      <c r="Q15" s="432">
        <f>+'03-DIRECCIONAMIENTO TIC'!G18</f>
        <v>0.4</v>
      </c>
      <c r="R15" s="436" t="str">
        <f>+'03-DIRECCIONAMIENTO TIC'!O18</f>
        <v>Dirección de Tecnologías de la  Información y las Comunicaciones</v>
      </c>
    </row>
    <row r="16" spans="2:18" ht="26.4">
      <c r="B16" s="413">
        <f t="shared" si="5"/>
        <v>12</v>
      </c>
      <c r="C16" s="414" t="s">
        <v>728</v>
      </c>
      <c r="D16" s="421" t="s">
        <v>787</v>
      </c>
      <c r="E16" s="425" t="str">
        <f>+'03-DIRECCIONAMIENTO TIC'!I19</f>
        <v>Porcentaje de lineamientos adoptados  en la estrategia de gestión de datos</v>
      </c>
      <c r="F16" s="425" t="str">
        <f>+'03-DIRECCIONAMIENTO TIC'!J19</f>
        <v>Porcentaje de lineamientos adoptados / Porcentaje de lineamietnos proyectados</v>
      </c>
      <c r="G16" s="421" t="s">
        <v>760</v>
      </c>
      <c r="H16" s="416" t="s">
        <v>726</v>
      </c>
      <c r="I16" s="417">
        <v>90</v>
      </c>
      <c r="J16" s="418" t="str">
        <f t="shared" si="0"/>
        <v>Desde (&gt;):</v>
      </c>
      <c r="K16" s="418">
        <f t="shared" si="1"/>
        <v>85</v>
      </c>
      <c r="L16" s="418" t="str">
        <f t="shared" si="2"/>
        <v>Hasta (&lt;):</v>
      </c>
      <c r="M16" s="418">
        <f t="shared" si="3"/>
        <v>90</v>
      </c>
      <c r="N16" s="418" t="str">
        <f t="shared" si="4"/>
        <v>Menor o Igual A:</v>
      </c>
      <c r="O16" s="419">
        <v>85</v>
      </c>
      <c r="P16" s="432">
        <f>+'03-DIRECCIONAMIENTO TIC'!F19</f>
        <v>1</v>
      </c>
      <c r="Q16" s="432">
        <f>+'03-DIRECCIONAMIENTO TIC'!G19</f>
        <v>0.4</v>
      </c>
      <c r="R16" s="436" t="str">
        <f>+'03-DIRECCIONAMIENTO TIC'!O19</f>
        <v>Dirección de Tecnologías de la  Información y las Comunicaciones</v>
      </c>
    </row>
    <row r="17" spans="2:18" ht="39.6">
      <c r="B17" s="413">
        <f t="shared" si="5"/>
        <v>13</v>
      </c>
      <c r="C17" s="414" t="s">
        <v>728</v>
      </c>
      <c r="D17" s="421" t="s">
        <v>788</v>
      </c>
      <c r="E17" s="425" t="str">
        <f>+'03-DIRECCIONAMIENTO TIC'!I20</f>
        <v>Cantidad de requerimientos prioritarios desarrollados para los sistemas información</v>
      </c>
      <c r="F17" s="425" t="str">
        <f>+'03-DIRECCIONAMIENTO TIC'!J20</f>
        <v>Cantidad de requerimientos desarrollados / Cantidad de requerimientos prioritarios programados</v>
      </c>
      <c r="G17" s="421" t="s">
        <v>760</v>
      </c>
      <c r="H17" s="416" t="s">
        <v>726</v>
      </c>
      <c r="I17" s="417">
        <v>90</v>
      </c>
      <c r="J17" s="418" t="str">
        <f t="shared" si="0"/>
        <v>Desde (&gt;):</v>
      </c>
      <c r="K17" s="418">
        <f t="shared" si="1"/>
        <v>85</v>
      </c>
      <c r="L17" s="418" t="str">
        <f t="shared" si="2"/>
        <v>Hasta (&lt;):</v>
      </c>
      <c r="M17" s="418">
        <f t="shared" si="3"/>
        <v>90</v>
      </c>
      <c r="N17" s="418" t="str">
        <f t="shared" si="4"/>
        <v>Menor o Igual A:</v>
      </c>
      <c r="O17" s="419">
        <v>85</v>
      </c>
      <c r="P17" s="432">
        <f>+'03-DIRECCIONAMIENTO TIC'!F20</f>
        <v>1</v>
      </c>
      <c r="Q17" s="432">
        <f>+'03-DIRECCIONAMIENTO TIC'!G20</f>
        <v>0.4</v>
      </c>
      <c r="R17" s="436" t="str">
        <f>+'03-DIRECCIONAMIENTO TIC'!O20</f>
        <v>Dirección de Tecnologías de la  Información y las Comunicaciones</v>
      </c>
    </row>
    <row r="18" spans="2:18" ht="26.4">
      <c r="B18" s="413">
        <f t="shared" si="5"/>
        <v>14</v>
      </c>
      <c r="C18" s="414" t="s">
        <v>728</v>
      </c>
      <c r="D18" s="421" t="s">
        <v>789</v>
      </c>
      <c r="E18" s="425" t="str">
        <f>+'03-DIRECCIONAMIENTO TIC'!I21</f>
        <v>Porcentaje de actividades ejecutadas del plan de uso y apropiación</v>
      </c>
      <c r="F18" s="425" t="str">
        <f>+'03-DIRECCIONAMIENTO TIC'!J21</f>
        <v>Porcentaje de actividades ejecutadas / porcentje de actividades programadas</v>
      </c>
      <c r="G18" s="421" t="s">
        <v>760</v>
      </c>
      <c r="H18" s="416" t="s">
        <v>726</v>
      </c>
      <c r="I18" s="417">
        <v>90</v>
      </c>
      <c r="J18" s="418" t="str">
        <f t="shared" si="0"/>
        <v>Desde (&gt;):</v>
      </c>
      <c r="K18" s="418">
        <f t="shared" si="1"/>
        <v>85</v>
      </c>
      <c r="L18" s="418" t="str">
        <f t="shared" si="2"/>
        <v>Hasta (&lt;):</v>
      </c>
      <c r="M18" s="418">
        <f t="shared" si="3"/>
        <v>90</v>
      </c>
      <c r="N18" s="418" t="str">
        <f t="shared" si="4"/>
        <v>Menor o Igual A:</v>
      </c>
      <c r="O18" s="419">
        <v>85</v>
      </c>
      <c r="P18" s="432">
        <f>+'03-DIRECCIONAMIENTO TIC'!F21</f>
        <v>1</v>
      </c>
      <c r="Q18" s="432">
        <f>+'03-DIRECCIONAMIENTO TIC'!G21</f>
        <v>0.4</v>
      </c>
      <c r="R18" s="436" t="str">
        <f>+'03-DIRECCIONAMIENTO TIC'!O21</f>
        <v>Dirección de Tecnologías de la  Información y las Comunicaciones</v>
      </c>
    </row>
    <row r="19" spans="2:18" ht="26.4">
      <c r="B19" s="413">
        <f t="shared" si="5"/>
        <v>15</v>
      </c>
      <c r="C19" s="414" t="s">
        <v>728</v>
      </c>
      <c r="D19" s="421" t="s">
        <v>790</v>
      </c>
      <c r="E19" s="425" t="str">
        <f>+'03-DIRECCIONAMIENTO TIC'!I22</f>
        <v>Porcentaje de actividades ejecutadas de la hoja de ruta de optimización tecnológica</v>
      </c>
      <c r="F19" s="425" t="str">
        <f>+'03-DIRECCIONAMIENTO TIC'!J22</f>
        <v>Porcentaje de actividades ejecutadas / porcentaje de actividades programadas</v>
      </c>
      <c r="G19" s="421" t="s">
        <v>760</v>
      </c>
      <c r="H19" s="416" t="s">
        <v>726</v>
      </c>
      <c r="I19" s="417">
        <v>90</v>
      </c>
      <c r="J19" s="418" t="str">
        <f t="shared" si="0"/>
        <v>Desde (&gt;):</v>
      </c>
      <c r="K19" s="418">
        <f t="shared" si="1"/>
        <v>85</v>
      </c>
      <c r="L19" s="418" t="str">
        <f t="shared" si="2"/>
        <v>Hasta (&lt;):</v>
      </c>
      <c r="M19" s="418">
        <f t="shared" si="3"/>
        <v>90</v>
      </c>
      <c r="N19" s="418" t="str">
        <f t="shared" si="4"/>
        <v>Menor o Igual A:</v>
      </c>
      <c r="O19" s="419">
        <v>85</v>
      </c>
      <c r="P19" s="432">
        <f>+'03-DIRECCIONAMIENTO TIC'!F22</f>
        <v>1</v>
      </c>
      <c r="Q19" s="432">
        <f>+'03-DIRECCIONAMIENTO TIC'!G22</f>
        <v>0.4</v>
      </c>
      <c r="R19" s="436" t="str">
        <f>+'03-DIRECCIONAMIENTO TIC'!O22</f>
        <v>Dirección de Tecnologías de la  Información y las Comunicaciones</v>
      </c>
    </row>
    <row r="20" spans="2:18" ht="39.6">
      <c r="B20" s="413">
        <f t="shared" si="5"/>
        <v>16</v>
      </c>
      <c r="C20" s="420" t="s">
        <v>729</v>
      </c>
      <c r="D20" s="413" t="s">
        <v>784</v>
      </c>
      <c r="E20" s="425" t="str">
        <f>+'04-COMUNICACIÓN ESTRATÉGICA'!I16</f>
        <v>Productos de comunicación externa desarrollados</v>
      </c>
      <c r="F20" s="425" t="str">
        <f>+'04-COMUNICACIÓN ESTRATÉGICA'!J16</f>
        <v>Número de productos de comunicación externa realizados/ Número de productos de comunicación externa  programados* 100</v>
      </c>
      <c r="G20" s="421" t="s">
        <v>760</v>
      </c>
      <c r="H20" s="416" t="s">
        <v>731</v>
      </c>
      <c r="I20" s="417">
        <v>90</v>
      </c>
      <c r="J20" s="418" t="str">
        <f t="shared" si="0"/>
        <v>Desde (&gt;=):</v>
      </c>
      <c r="K20" s="418">
        <f t="shared" si="1"/>
        <v>75</v>
      </c>
      <c r="L20" s="418" t="str">
        <f t="shared" si="2"/>
        <v>Hasta (&lt;=):</v>
      </c>
      <c r="M20" s="418">
        <f t="shared" si="3"/>
        <v>90</v>
      </c>
      <c r="N20" s="418" t="str">
        <f t="shared" si="4"/>
        <v>Menor A:</v>
      </c>
      <c r="O20" s="419">
        <v>75</v>
      </c>
      <c r="P20" s="432">
        <f>+'04-COMUNICACIÓN ESTRATÉGICA'!F16</f>
        <v>1</v>
      </c>
      <c r="Q20" s="432">
        <f>+'04-COMUNICACIÓN ESTRATÉGICA'!G16</f>
        <v>1</v>
      </c>
      <c r="R20" s="436" t="str">
        <f>+'04-COMUNICACIÓN ESTRATÉGICA'!O16</f>
        <v>Oficina Asesora de Comunicaciones</v>
      </c>
    </row>
    <row r="21" spans="2:18" ht="39.6">
      <c r="B21" s="413">
        <f t="shared" si="5"/>
        <v>17</v>
      </c>
      <c r="C21" s="420" t="s">
        <v>729</v>
      </c>
      <c r="D21" s="413" t="s">
        <v>792</v>
      </c>
      <c r="E21" s="425" t="str">
        <f>+'04-COMUNICACIÓN ESTRATÉGICA'!I17</f>
        <v>Productos  de comunicación interna
desarrollados</v>
      </c>
      <c r="F21" s="425" t="str">
        <f>+'04-COMUNICACIÓN ESTRATÉGICA'!J17</f>
        <v>Número de productos de comunicación interna realizados/ Número de productos de comunicación interna  programados* 100</v>
      </c>
      <c r="G21" s="421" t="s">
        <v>760</v>
      </c>
      <c r="H21" s="416" t="s">
        <v>731</v>
      </c>
      <c r="I21" s="417">
        <v>90</v>
      </c>
      <c r="J21" s="418" t="str">
        <f t="shared" si="0"/>
        <v>Desde (&gt;=):</v>
      </c>
      <c r="K21" s="418">
        <f t="shared" si="1"/>
        <v>75</v>
      </c>
      <c r="L21" s="418" t="str">
        <f t="shared" si="2"/>
        <v>Hasta (&lt;=):</v>
      </c>
      <c r="M21" s="418">
        <f t="shared" si="3"/>
        <v>90</v>
      </c>
      <c r="N21" s="418" t="str">
        <f t="shared" si="4"/>
        <v>Menor A:</v>
      </c>
      <c r="O21" s="419">
        <v>75</v>
      </c>
      <c r="P21" s="432">
        <f>+'04-COMUNICACIÓN ESTRATÉGICA'!F17</f>
        <v>1</v>
      </c>
      <c r="Q21" s="432">
        <f>+'04-COMUNICACIÓN ESTRATÉGICA'!G17</f>
        <v>1</v>
      </c>
      <c r="R21" s="436" t="str">
        <f>+'04-COMUNICACIÓN ESTRATÉGICA'!O17</f>
        <v>Oficina Asesora de Comunicaciones</v>
      </c>
    </row>
    <row r="22" spans="2:18" ht="68.400000000000006" customHeight="1">
      <c r="B22" s="413">
        <f t="shared" si="5"/>
        <v>18</v>
      </c>
      <c r="C22" s="414" t="s">
        <v>730</v>
      </c>
      <c r="D22" s="413" t="s">
        <v>791</v>
      </c>
      <c r="E22" s="425" t="str">
        <f>+'05-POA PROM DEFENSA DERECHOS'!I16</f>
        <v>Intervenciones realizadas en defensa de los derechos</v>
      </c>
      <c r="F22" s="425" t="str">
        <f>+'05-POA PROM DEFENSA DERECHOS'!J16</f>
        <v>∑ Número de Intervenciones a Petición de Parte Realizadas en Defensa de los Derechos + Númerode Intervenciones de Oficio Realizadas en Defensa de los Derechos</v>
      </c>
      <c r="G22" s="421" t="s">
        <v>760</v>
      </c>
      <c r="H22" s="416" t="s">
        <v>731</v>
      </c>
      <c r="I22" s="417">
        <v>85</v>
      </c>
      <c r="J22" s="418" t="str">
        <f t="shared" si="0"/>
        <v>Desde (&gt;=):</v>
      </c>
      <c r="K22" s="418">
        <f t="shared" si="1"/>
        <v>80</v>
      </c>
      <c r="L22" s="418" t="str">
        <f t="shared" si="2"/>
        <v>Hasta (&lt;=):</v>
      </c>
      <c r="M22" s="418">
        <f t="shared" si="3"/>
        <v>85</v>
      </c>
      <c r="N22" s="418" t="str">
        <f t="shared" si="4"/>
        <v>Menor A:</v>
      </c>
      <c r="O22" s="419">
        <v>80</v>
      </c>
      <c r="P22" s="431">
        <f>+'05-POA PROM DEFENSA DERECHOS'!F16</f>
        <v>356610</v>
      </c>
      <c r="Q22" s="431">
        <f>+'05-POA PROM DEFENSA DERECHOS'!G16</f>
        <v>106660</v>
      </c>
      <c r="R22" s="436" t="str">
        <f>+'05-POA PROM DEFENSA DERECHOS'!O16</f>
        <v>P.D. para Asuntos Penales I, Penales II, Derechos Humanos y Policivos y Civiles
P.D. para los Sectores Planeación y Movilidad y la P.D. para los Sectores Educación y Cultura, Recreación y Deporte</v>
      </c>
    </row>
    <row r="23" spans="2:18" ht="68.400000000000006">
      <c r="B23" s="413">
        <f t="shared" si="5"/>
        <v>19</v>
      </c>
      <c r="C23" s="414" t="s">
        <v>730</v>
      </c>
      <c r="D23" s="413" t="s">
        <v>793</v>
      </c>
      <c r="E23" s="425" t="str">
        <f>+'05-POA PROM DEFENSA DERECHOS'!I17</f>
        <v>Personas orientadas en garantía de derechos</v>
      </c>
      <c r="F23" s="425" t="str">
        <f>+'05-POA PROM DEFENSA DERECHOS'!J17</f>
        <v>∑ Número de Personas Orientadas (Incluye las Orientaciones de Traslados por No Competencia)</v>
      </c>
      <c r="G23" s="421" t="s">
        <v>760</v>
      </c>
      <c r="H23" s="416" t="s">
        <v>731</v>
      </c>
      <c r="I23" s="417">
        <v>85</v>
      </c>
      <c r="J23" s="418" t="str">
        <f t="shared" si="0"/>
        <v>Desde (&gt;=):</v>
      </c>
      <c r="K23" s="418">
        <f t="shared" si="1"/>
        <v>80</v>
      </c>
      <c r="L23" s="418" t="str">
        <f t="shared" si="2"/>
        <v>Hasta (&lt;=):</v>
      </c>
      <c r="M23" s="418">
        <f t="shared" si="3"/>
        <v>85</v>
      </c>
      <c r="N23" s="418" t="str">
        <f t="shared" si="4"/>
        <v>Menor A:</v>
      </c>
      <c r="O23" s="419">
        <v>80</v>
      </c>
      <c r="P23" s="431">
        <f>+'05-POA PROM DEFENSA DERECHOS'!F17</f>
        <v>292755</v>
      </c>
      <c r="Q23" s="431">
        <f>+'05-POA PROM DEFENSA DERECHOS'!G17</f>
        <v>97105</v>
      </c>
      <c r="R23" s="436" t="str">
        <f>+'05-POA PROM DEFENSA DERECHOS'!O17</f>
        <v>P.D. para la Coordinación del MP y DDHH y sus dependencias adscritas
P.D. para la Coordinación de la Gestión de Personerías Locales y sus Personerías Locales adscritas
P.D. para la Coordinación de la Prevención y Control a la Función Pública y sus dependencias adscritas</v>
      </c>
    </row>
    <row r="24" spans="2:18" ht="79.8">
      <c r="B24" s="413">
        <f t="shared" si="5"/>
        <v>20</v>
      </c>
      <c r="C24" s="414" t="s">
        <v>730</v>
      </c>
      <c r="D24" s="413" t="s">
        <v>794</v>
      </c>
      <c r="E24" s="425" t="str">
        <f>+'05-POA PROM DEFENSA DERECHOS'!I18</f>
        <v>Personas asistidas en garantía de derechos</v>
      </c>
      <c r="F24" s="425" t="str">
        <f>+'05-POA PROM DEFENSA DERECHOS'!J18</f>
        <v>∑ Número de Personas Asistidas</v>
      </c>
      <c r="G24" s="421" t="s">
        <v>760</v>
      </c>
      <c r="H24" s="416" t="s">
        <v>731</v>
      </c>
      <c r="I24" s="417">
        <v>80</v>
      </c>
      <c r="J24" s="418" t="str">
        <f t="shared" si="0"/>
        <v>Desde (&gt;=):</v>
      </c>
      <c r="K24" s="418">
        <f t="shared" si="1"/>
        <v>70</v>
      </c>
      <c r="L24" s="418" t="str">
        <f t="shared" si="2"/>
        <v>Hasta (&lt;=):</v>
      </c>
      <c r="M24" s="418">
        <f t="shared" si="3"/>
        <v>80</v>
      </c>
      <c r="N24" s="418" t="str">
        <f t="shared" si="4"/>
        <v>Menor A:</v>
      </c>
      <c r="O24" s="419">
        <v>70</v>
      </c>
      <c r="P24" s="431">
        <f>+'05-POA PROM DEFENSA DERECHOS'!F18</f>
        <v>117610</v>
      </c>
      <c r="Q24" s="431">
        <f>+'05-POA PROM DEFENSA DERECHOS'!G18</f>
        <v>26115</v>
      </c>
      <c r="R24" s="436" t="str">
        <f>+'05-POA PROM DEFENSA DERECHOS'!O18</f>
        <v>P.D. para Asuntos Policivos y Civiles, Derechos Humanos, Familia, Orientación y Asistencia, Consumidor, Asuntos Jurisdiccionales y Dirección de Conciliación y M.A.S.C.
P.D. para la Coordinación de la Gestión de Personerías Locales y sus Personerías Locales adscritas
P.D. para la Coordinación de la Prevención y Control a la Función Pública y sus dependencias adscritas</v>
      </c>
    </row>
    <row r="25" spans="2:18" ht="39.6">
      <c r="B25" s="413">
        <f t="shared" si="5"/>
        <v>21</v>
      </c>
      <c r="C25" s="414" t="s">
        <v>730</v>
      </c>
      <c r="D25" s="413" t="s">
        <v>795</v>
      </c>
      <c r="E25" s="425" t="str">
        <f>+'05-POA PROM DEFENSA DERECHOS'!I19</f>
        <v>Personas asistidas en Mecanismos Alternativos de Solución de Conflictos</v>
      </c>
      <c r="F25" s="425" t="str">
        <f>+'05-POA PROM DEFENSA DERECHOS'!J19</f>
        <v>∑ Número de Solicitudes de Conciliación Atendidas + Número de Uniones Maritales de Hecho Atendidas</v>
      </c>
      <c r="G25" s="421" t="s">
        <v>760</v>
      </c>
      <c r="H25" s="416" t="s">
        <v>731</v>
      </c>
      <c r="I25" s="417">
        <v>85</v>
      </c>
      <c r="J25" s="418" t="str">
        <f t="shared" si="0"/>
        <v>Desde (&gt;=):</v>
      </c>
      <c r="K25" s="418">
        <f t="shared" si="1"/>
        <v>80</v>
      </c>
      <c r="L25" s="418" t="str">
        <f t="shared" si="2"/>
        <v>Hasta (&lt;=):</v>
      </c>
      <c r="M25" s="418">
        <f t="shared" si="3"/>
        <v>85</v>
      </c>
      <c r="N25" s="418" t="str">
        <f t="shared" si="4"/>
        <v>Menor A:</v>
      </c>
      <c r="O25" s="419">
        <v>80</v>
      </c>
      <c r="P25" s="431">
        <f>+'05-POA PROM DEFENSA DERECHOS'!F19</f>
        <v>28586</v>
      </c>
      <c r="Q25" s="431">
        <f>+'05-POA PROM DEFENSA DERECHOS'!G19</f>
        <v>6900</v>
      </c>
      <c r="R25" s="436" t="str">
        <f>+'05-POA PROM DEFENSA DERECHOS'!O19</f>
        <v>Dirección de Conciliación y M.A.S.C.</v>
      </c>
    </row>
    <row r="26" spans="2:18" ht="103.2" customHeight="1">
      <c r="B26" s="413">
        <f t="shared" si="5"/>
        <v>22</v>
      </c>
      <c r="C26" s="414" t="s">
        <v>730</v>
      </c>
      <c r="D26" s="413" t="s">
        <v>796</v>
      </c>
      <c r="E26" s="425" t="str">
        <f>+'05-POA PROM DEFENSA DERECHOS'!I20</f>
        <v>Peticiones o requerimientos ciudadanos atendidos en garantía de derechos</v>
      </c>
      <c r="F26" s="425" t="str">
        <f>+'05-POA PROM DEFENSA DERECHOS'!J20</f>
        <v>∑ Número de Peticiones o Requerimientos Ciudadanos Atendidos en Garantía de Derechos</v>
      </c>
      <c r="G26" s="421" t="s">
        <v>760</v>
      </c>
      <c r="H26" s="416" t="s">
        <v>731</v>
      </c>
      <c r="I26" s="417">
        <v>85</v>
      </c>
      <c r="J26" s="418" t="str">
        <f t="shared" si="0"/>
        <v>Desde (&gt;=):</v>
      </c>
      <c r="K26" s="418">
        <f t="shared" si="1"/>
        <v>80</v>
      </c>
      <c r="L26" s="418" t="str">
        <f t="shared" si="2"/>
        <v>Hasta (&lt;=):</v>
      </c>
      <c r="M26" s="418">
        <f t="shared" si="3"/>
        <v>85</v>
      </c>
      <c r="N26" s="418" t="str">
        <f t="shared" si="4"/>
        <v>Menor A:</v>
      </c>
      <c r="O26" s="419">
        <v>80</v>
      </c>
      <c r="P26" s="431">
        <f>+'05-POA PROM DEFENSA DERECHOS'!F20</f>
        <v>55722</v>
      </c>
      <c r="Q26" s="431">
        <f>+'05-POA PROM DEFENSA DERECHOS'!G20</f>
        <v>16115</v>
      </c>
      <c r="R26" s="436" t="str">
        <f>+'05-POA PROM DEFENSA DERECHOS'!O20</f>
        <v>* P.D. para la Coordinación del MP y DDHH, P.D. para Asuntos Penales I, Penales II, Policivos y Civiles, Derechos Humanos, Familia y Orientación y Asistencia.
* P.D. para la Coordinación de la Gestión de Personerías Locales y sus Personerías Locales adscritas
* P.D. para la Coordinación de la Prevención y Control a la Función Pública y sus dependencias adscritas</v>
      </c>
    </row>
    <row r="27" spans="2:18" ht="26.4">
      <c r="B27" s="413">
        <f t="shared" si="5"/>
        <v>23</v>
      </c>
      <c r="C27" s="414" t="s">
        <v>730</v>
      </c>
      <c r="D27" s="413" t="s">
        <v>797</v>
      </c>
      <c r="E27" s="425" t="str">
        <f>+'05-POA PROM DEFENSA DERECHOS'!I21</f>
        <v>Espacios de mejora y transferencia de conocimiento realizados</v>
      </c>
      <c r="F27" s="425" t="str">
        <f>+'05-POA PROM DEFENSA DERECHOS'!J21</f>
        <v>∑ Número de Espacios de Mejora y Transferencia de Conocimiento</v>
      </c>
      <c r="G27" s="421" t="s">
        <v>760</v>
      </c>
      <c r="H27" s="416" t="s">
        <v>731</v>
      </c>
      <c r="I27" s="417">
        <v>85</v>
      </c>
      <c r="J27" s="418" t="str">
        <f t="shared" si="0"/>
        <v>Desde (&gt;=):</v>
      </c>
      <c r="K27" s="418">
        <f t="shared" si="1"/>
        <v>80</v>
      </c>
      <c r="L27" s="418" t="str">
        <f t="shared" si="2"/>
        <v>Hasta (&lt;=):</v>
      </c>
      <c r="M27" s="418">
        <f t="shared" si="3"/>
        <v>85</v>
      </c>
      <c r="N27" s="418" t="str">
        <f t="shared" si="4"/>
        <v>Menor A:</v>
      </c>
      <c r="O27" s="419">
        <v>80</v>
      </c>
      <c r="P27" s="431">
        <f>+'05-POA PROM DEFENSA DERECHOS'!F21</f>
        <v>80</v>
      </c>
      <c r="Q27" s="431">
        <f>+'05-POA PROM DEFENSA DERECHOS'!G21</f>
        <v>20</v>
      </c>
      <c r="R27" s="436" t="str">
        <f>+'05-POA PROM DEFENSA DERECHOS'!O21</f>
        <v>P.D. para la Coordinación del MP y DDHH y sus dependencias adscritas.</v>
      </c>
    </row>
    <row r="28" spans="2:18" ht="92.4">
      <c r="B28" s="413">
        <f t="shared" si="5"/>
        <v>24</v>
      </c>
      <c r="C28" s="414" t="s">
        <v>730</v>
      </c>
      <c r="D28" s="413" t="s">
        <v>798</v>
      </c>
      <c r="E28" s="425" t="str">
        <f>+'05-POA PROM DEFENSA DERECHOS'!I22</f>
        <v>Porcentaje de Acciones de Tutela, Desacatos e Impugnaciones Entregadas en un Termino Menor a Cinco (5) Días Hábiles</v>
      </c>
      <c r="F28" s="425" t="str">
        <f>+'05-POA PROM DEFENSA DERECHOS'!J22</f>
        <v>∑ Número de Tutelas, Desacatos e Impugnaciones entregadas en los primeros cinco (5) días hábiles
-------------------------------------------------------------------- * 100
∑ Número de Tutelas, Desacatos e Impugnaciones solicitadas</v>
      </c>
      <c r="G28" s="421" t="s">
        <v>760</v>
      </c>
      <c r="H28" s="416" t="s">
        <v>726</v>
      </c>
      <c r="I28" s="417">
        <v>95</v>
      </c>
      <c r="J28" s="418" t="str">
        <f t="shared" si="0"/>
        <v>Desde (&gt;):</v>
      </c>
      <c r="K28" s="418">
        <f t="shared" si="1"/>
        <v>90</v>
      </c>
      <c r="L28" s="418" t="str">
        <f t="shared" si="2"/>
        <v>Hasta (&lt;):</v>
      </c>
      <c r="M28" s="418">
        <f t="shared" si="3"/>
        <v>95</v>
      </c>
      <c r="N28" s="418" t="str">
        <f t="shared" si="4"/>
        <v>Menor o Igual A:</v>
      </c>
      <c r="O28" s="419">
        <v>90</v>
      </c>
      <c r="P28" s="431" t="str">
        <f>+'05-POA PROM DEFENSA DERECHOS'!F22</f>
        <v>&gt;=95%</v>
      </c>
      <c r="Q28" s="431" t="str">
        <f>+'05-POA PROM DEFENSA DERECHOS'!G22</f>
        <v>&gt;=95%</v>
      </c>
      <c r="R28" s="436" t="str">
        <f>+'05-POA PROM DEFENSA DERECHOS'!O22</f>
        <v>P.D. para Asuntos Jurisdiccionales, Víctimas y Penal II.
P.D. para la Coordinación de la Gestión de Personerías Locales y sus Personerías Locales adscritas</v>
      </c>
    </row>
    <row r="29" spans="2:18" ht="26.4">
      <c r="B29" s="413">
        <f t="shared" si="5"/>
        <v>25</v>
      </c>
      <c r="C29" s="414" t="s">
        <v>730</v>
      </c>
      <c r="D29" s="413" t="s">
        <v>799</v>
      </c>
      <c r="E29" s="425" t="str">
        <f>+'05-POA PROM DEFENSA DERECHOS'!I23</f>
        <v>Audiencias Publicas Realizadas con Asistencia del Ministerio Público</v>
      </c>
      <c r="F29" s="425" t="str">
        <f>+'05-POA PROM DEFENSA DERECHOS'!J23</f>
        <v>∑ Número de Audiencias Publicas Realizadas con Asistencia del Ministerio Público</v>
      </c>
      <c r="G29" s="421" t="s">
        <v>760</v>
      </c>
      <c r="H29" s="416" t="s">
        <v>726</v>
      </c>
      <c r="I29" s="417">
        <v>95</v>
      </c>
      <c r="J29" s="418" t="str">
        <f t="shared" si="0"/>
        <v>Desde (&gt;):</v>
      </c>
      <c r="K29" s="418">
        <f t="shared" si="1"/>
        <v>90</v>
      </c>
      <c r="L29" s="418" t="str">
        <f t="shared" si="2"/>
        <v>Hasta (&lt;):</v>
      </c>
      <c r="M29" s="418">
        <f t="shared" si="3"/>
        <v>95</v>
      </c>
      <c r="N29" s="418" t="str">
        <f t="shared" si="4"/>
        <v>Menor o Igual A:</v>
      </c>
      <c r="O29" s="419">
        <v>90</v>
      </c>
      <c r="P29" s="431">
        <f>+'05-POA PROM DEFENSA DERECHOS'!F23</f>
        <v>19500</v>
      </c>
      <c r="Q29" s="431">
        <f>+'05-POA PROM DEFENSA DERECHOS'!G23</f>
        <v>6000</v>
      </c>
      <c r="R29" s="436" t="str">
        <f>+'05-POA PROM DEFENSA DERECHOS'!O23</f>
        <v>P.D. para la Coordinación de la Gestión de Personerías Locales y sus Personerías Locales adscritas</v>
      </c>
    </row>
    <row r="30" spans="2:18" ht="39.6">
      <c r="B30" s="413">
        <f t="shared" si="5"/>
        <v>26</v>
      </c>
      <c r="C30" s="414" t="s">
        <v>730</v>
      </c>
      <c r="D30" s="413" t="s">
        <v>800</v>
      </c>
      <c r="E30" s="425" t="str">
        <f>+'05-POA PROM DEFENSA DERECHOS'!I24</f>
        <v>Intervenciones realizadas oportunamente para evitar la caducidad y perdida de fuerza ejecutoria (Impulsos procesales)</v>
      </c>
      <c r="F30" s="425" t="str">
        <f>+'05-POA PROM DEFENSA DERECHOS'!J24</f>
        <v>∑ Número de intervenciones realizadas para Evitar la Caducidad y Perdida de Fuerza Ejecutoria (Impulsos procesales)</v>
      </c>
      <c r="G30" s="421" t="s">
        <v>760</v>
      </c>
      <c r="H30" s="416" t="s">
        <v>726</v>
      </c>
      <c r="I30" s="417">
        <v>95</v>
      </c>
      <c r="J30" s="418" t="str">
        <f t="shared" si="0"/>
        <v>Desde (&gt;):</v>
      </c>
      <c r="K30" s="418">
        <f t="shared" si="1"/>
        <v>90</v>
      </c>
      <c r="L30" s="418" t="str">
        <f t="shared" si="2"/>
        <v>Hasta (&lt;):</v>
      </c>
      <c r="M30" s="418">
        <f t="shared" si="3"/>
        <v>95</v>
      </c>
      <c r="N30" s="418" t="str">
        <f t="shared" si="4"/>
        <v>Menor o Igual A:</v>
      </c>
      <c r="O30" s="419">
        <v>90</v>
      </c>
      <c r="P30" s="431">
        <f>+'05-POA PROM DEFENSA DERECHOS'!F24</f>
        <v>11000</v>
      </c>
      <c r="Q30" s="431">
        <f>+'05-POA PROM DEFENSA DERECHOS'!G24</f>
        <v>3000</v>
      </c>
      <c r="R30" s="436" t="str">
        <f>+'05-POA PROM DEFENSA DERECHOS'!O24</f>
        <v>P.D. para la Coordinación de la Gestión de Personerías Locales y sus Personerías Locales adscritas</v>
      </c>
    </row>
    <row r="31" spans="2:18" ht="26.4">
      <c r="B31" s="413">
        <f t="shared" si="5"/>
        <v>27</v>
      </c>
      <c r="C31" s="414" t="s">
        <v>730</v>
      </c>
      <c r="D31" s="413" t="s">
        <v>801</v>
      </c>
      <c r="E31" s="425" t="str">
        <f>+'05-POA PROM DEFENSA DERECHOS'!I25</f>
        <v>Expedientes con impulso procesal para la gestión de multas</v>
      </c>
      <c r="F31" s="425" t="str">
        <f>+'05-POA PROM DEFENSA DERECHOS'!J25</f>
        <v>∑ Número de expedientes con Impulso Procesal para la Gestión de las Multas</v>
      </c>
      <c r="G31" s="421" t="s">
        <v>760</v>
      </c>
      <c r="H31" s="416" t="s">
        <v>726</v>
      </c>
      <c r="I31" s="417">
        <v>95</v>
      </c>
      <c r="J31" s="418" t="str">
        <f t="shared" si="0"/>
        <v>Desde (&gt;):</v>
      </c>
      <c r="K31" s="418">
        <f t="shared" si="1"/>
        <v>90</v>
      </c>
      <c r="L31" s="418" t="str">
        <f t="shared" si="2"/>
        <v>Hasta (&lt;):</v>
      </c>
      <c r="M31" s="418">
        <f t="shared" si="3"/>
        <v>95</v>
      </c>
      <c r="N31" s="418" t="str">
        <f t="shared" si="4"/>
        <v>Menor o Igual A:</v>
      </c>
      <c r="O31" s="419">
        <v>90</v>
      </c>
      <c r="P31" s="431">
        <f>+'05-POA PROM DEFENSA DERECHOS'!F25</f>
        <v>2300</v>
      </c>
      <c r="Q31" s="431">
        <f>+'05-POA PROM DEFENSA DERECHOS'!G25</f>
        <v>500</v>
      </c>
      <c r="R31" s="436" t="str">
        <f>+'05-POA PROM DEFENSA DERECHOS'!O25</f>
        <v>P.D. para la Coordinación de la Gestión de Personerías Locales y sus Personerías Locales adscritas</v>
      </c>
    </row>
    <row r="32" spans="2:18" ht="39.6">
      <c r="B32" s="413">
        <f t="shared" si="5"/>
        <v>28</v>
      </c>
      <c r="C32" s="414" t="s">
        <v>730</v>
      </c>
      <c r="D32" s="413" t="s">
        <v>802</v>
      </c>
      <c r="E32" s="425" t="str">
        <f>+'05-POA PROM DEFENSA DERECHOS'!I26</f>
        <v>Estados de vulneración establecidos</v>
      </c>
      <c r="F32" s="425" t="str">
        <f>+'05-POA PROM DEFENSA DERECHOS'!J26</f>
        <v xml:space="preserve">∑ Número de Estados de vulneración realizados
</v>
      </c>
      <c r="G32" s="421" t="s">
        <v>760</v>
      </c>
      <c r="H32" s="416" t="s">
        <v>726</v>
      </c>
      <c r="I32" s="417">
        <v>95</v>
      </c>
      <c r="J32" s="418" t="str">
        <f t="shared" si="0"/>
        <v>Desde (&gt;):</v>
      </c>
      <c r="K32" s="418">
        <f t="shared" si="1"/>
        <v>90</v>
      </c>
      <c r="L32" s="418" t="str">
        <f t="shared" si="2"/>
        <v>Hasta (&lt;):</v>
      </c>
      <c r="M32" s="418">
        <f t="shared" si="3"/>
        <v>95</v>
      </c>
      <c r="N32" s="418" t="str">
        <f t="shared" si="4"/>
        <v>Menor o Igual A:</v>
      </c>
      <c r="O32" s="419">
        <v>90</v>
      </c>
      <c r="P32" s="431">
        <f>+'05-POA PROM DEFENSA DERECHOS'!F26</f>
        <v>40</v>
      </c>
      <c r="Q32" s="431">
        <f>+'05-POA PROM DEFENSA DERECHOS'!G26</f>
        <v>0</v>
      </c>
      <c r="R32" s="436" t="str">
        <f>+'05-POA PROM DEFENSA DERECHOS'!O26</f>
        <v>P.D. para la Coordinación de la Gestión de Personerías Locales y sus Personerías Locales adscritas</v>
      </c>
    </row>
    <row r="33" spans="2:18" ht="45.6">
      <c r="B33" s="413">
        <f t="shared" si="5"/>
        <v>29</v>
      </c>
      <c r="C33" s="414" t="s">
        <v>730</v>
      </c>
      <c r="D33" s="413" t="s">
        <v>803</v>
      </c>
      <c r="E33" s="425" t="str">
        <f>+'05-POA PROM DEFENSA DERECHOS'!I27</f>
        <v>Personas sensibilizadas en el Distrito Capital</v>
      </c>
      <c r="F33" s="425" t="str">
        <f>+'05-POA PROM DEFENSA DERECHOS'!J27</f>
        <v>∑ Número de Personas Sensibilizadas en el Distrito Capital</v>
      </c>
      <c r="G33" s="421" t="s">
        <v>760</v>
      </c>
      <c r="H33" s="416" t="s">
        <v>731</v>
      </c>
      <c r="I33" s="417">
        <v>85</v>
      </c>
      <c r="J33" s="418" t="str">
        <f t="shared" si="0"/>
        <v>Desde (&gt;=):</v>
      </c>
      <c r="K33" s="418">
        <f t="shared" si="1"/>
        <v>80</v>
      </c>
      <c r="L33" s="418" t="str">
        <f t="shared" si="2"/>
        <v>Hasta (&lt;=):</v>
      </c>
      <c r="M33" s="418">
        <f t="shared" si="3"/>
        <v>85</v>
      </c>
      <c r="N33" s="418" t="str">
        <f t="shared" si="4"/>
        <v>Menor A:</v>
      </c>
      <c r="O33" s="419">
        <v>80</v>
      </c>
      <c r="P33" s="431">
        <f>+'05-POA PROM DEFENSA DERECHOS'!F27</f>
        <v>205930</v>
      </c>
      <c r="Q33" s="431">
        <f>+'05-POA PROM DEFENSA DERECHOS'!G27</f>
        <v>71570</v>
      </c>
      <c r="R33" s="436" t="str">
        <f>+'05-POA PROM DEFENSA DERECHOS'!O27</f>
        <v>P.D. para la Coordinación del MP y DDHH y sus dependencias adscritas
P.D. para la Coordinación de la Gestión de Personerías Locales y sus Personerías Locales adscritas</v>
      </c>
    </row>
    <row r="34" spans="2:18" ht="45.6">
      <c r="B34" s="413">
        <f t="shared" si="5"/>
        <v>30</v>
      </c>
      <c r="C34" s="414" t="s">
        <v>730</v>
      </c>
      <c r="D34" s="413" t="s">
        <v>804</v>
      </c>
      <c r="E34" s="425" t="str">
        <f>+'05-POA PROM DEFENSA DERECHOS'!I28</f>
        <v>Acciones en favor de las víctimas del conflicto armado interno adelantadas</v>
      </c>
      <c r="F34" s="425" t="str">
        <f>+'05-POA PROM DEFENSA DERECHOS'!J28</f>
        <v>∑ Número de Acciones en Favor de las Víctimas del Conflicto Armado Interno Realizadas</v>
      </c>
      <c r="G34" s="421" t="s">
        <v>760</v>
      </c>
      <c r="H34" s="416" t="s">
        <v>731</v>
      </c>
      <c r="I34" s="417">
        <v>85</v>
      </c>
      <c r="J34" s="418" t="str">
        <f t="shared" si="0"/>
        <v>Desde (&gt;=):</v>
      </c>
      <c r="K34" s="418">
        <f t="shared" si="1"/>
        <v>80</v>
      </c>
      <c r="L34" s="418" t="str">
        <f t="shared" si="2"/>
        <v>Hasta (&lt;=):</v>
      </c>
      <c r="M34" s="418">
        <f t="shared" si="3"/>
        <v>85</v>
      </c>
      <c r="N34" s="418" t="str">
        <f t="shared" si="4"/>
        <v>Menor A:</v>
      </c>
      <c r="O34" s="419">
        <v>80</v>
      </c>
      <c r="P34" s="431">
        <f>+'05-POA PROM DEFENSA DERECHOS'!F28</f>
        <v>23910</v>
      </c>
      <c r="Q34" s="431">
        <f>+'05-POA PROM DEFENSA DERECHOS'!G28</f>
        <v>5480</v>
      </c>
      <c r="R34" s="436" t="str">
        <f>+'05-POA PROM DEFENSA DERECHOS'!O28</f>
        <v>P.D. para la Protección de las Víctimas del Conflicto Armado Interno
P.D. para la Coordinación de la Gestión de Personerías Locales y sus Personerías Locales adscritas</v>
      </c>
    </row>
    <row r="35" spans="2:18" ht="45.6">
      <c r="B35" s="413">
        <f t="shared" si="5"/>
        <v>31</v>
      </c>
      <c r="C35" s="414" t="s">
        <v>730</v>
      </c>
      <c r="D35" s="413" t="s">
        <v>805</v>
      </c>
      <c r="E35" s="425" t="str">
        <f>+'05-POA PROM DEFENSA DERECHOS'!I29</f>
        <v>Acciones constitucionales elaboradas para prevenir vulneración de derechos</v>
      </c>
      <c r="F35" s="425" t="str">
        <f>+'05-POA PROM DEFENSA DERECHOS'!J29</f>
        <v>∑ Número de Acciones Constitucionales Elaboradas</v>
      </c>
      <c r="G35" s="421" t="s">
        <v>760</v>
      </c>
      <c r="H35" s="416" t="s">
        <v>731</v>
      </c>
      <c r="I35" s="417">
        <v>85</v>
      </c>
      <c r="J35" s="418" t="str">
        <f t="shared" si="0"/>
        <v>Desde (&gt;=):</v>
      </c>
      <c r="K35" s="418">
        <f t="shared" si="1"/>
        <v>80</v>
      </c>
      <c r="L35" s="418" t="str">
        <f t="shared" si="2"/>
        <v>Hasta (&lt;=):</v>
      </c>
      <c r="M35" s="418">
        <f t="shared" si="3"/>
        <v>85</v>
      </c>
      <c r="N35" s="418" t="str">
        <f t="shared" si="4"/>
        <v>Menor A:</v>
      </c>
      <c r="O35" s="419">
        <v>80</v>
      </c>
      <c r="P35" s="431">
        <f>+'05-POA PROM DEFENSA DERECHOS'!F29</f>
        <v>18880</v>
      </c>
      <c r="Q35" s="431">
        <f>+'05-POA PROM DEFENSA DERECHOS'!G29</f>
        <v>4790</v>
      </c>
      <c r="R35" s="436" t="str">
        <f>+'05-POA PROM DEFENSA DERECHOS'!O29</f>
        <v>P.D. para Asuntos Jurisdiccionales, Víctimas, Penal II y Consumidor.
P.D. para la Coordinación de la Gestión de Personerías Locales y sus Personerías Locales adscritas</v>
      </c>
    </row>
    <row r="36" spans="2:18" ht="39.6">
      <c r="B36" s="413">
        <f t="shared" si="5"/>
        <v>32</v>
      </c>
      <c r="C36" s="414" t="s">
        <v>730</v>
      </c>
      <c r="D36" s="413" t="s">
        <v>806</v>
      </c>
      <c r="E36" s="425" t="str">
        <f>+'05-POA PROM DEFENSA DERECHOS'!I30</f>
        <v>Seguimientos realizados por el Ministerio Público a las medidas de protección impuestas por las Comisarias de Familia</v>
      </c>
      <c r="F36" s="425" t="str">
        <f>+'05-POA PROM DEFENSA DERECHOS'!J30</f>
        <v>∑ Número de Seguimientos Realizados por el Ministerio Público a las Medidas de Protección impuestas por las Comisarias de Familia</v>
      </c>
      <c r="G36" s="421" t="s">
        <v>760</v>
      </c>
      <c r="H36" s="416" t="s">
        <v>731</v>
      </c>
      <c r="I36" s="417">
        <v>85</v>
      </c>
      <c r="J36" s="418" t="str">
        <f t="shared" si="0"/>
        <v>Desde (&gt;=):</v>
      </c>
      <c r="K36" s="418">
        <f t="shared" si="1"/>
        <v>80</v>
      </c>
      <c r="L36" s="418" t="str">
        <f t="shared" si="2"/>
        <v>Hasta (&lt;=):</v>
      </c>
      <c r="M36" s="418">
        <f t="shared" si="3"/>
        <v>85</v>
      </c>
      <c r="N36" s="418" t="str">
        <f t="shared" si="4"/>
        <v>Menor A:</v>
      </c>
      <c r="O36" s="419">
        <v>80</v>
      </c>
      <c r="P36" s="431">
        <f>+'05-POA PROM DEFENSA DERECHOS'!F30</f>
        <v>3940</v>
      </c>
      <c r="Q36" s="431">
        <f>+'05-POA PROM DEFENSA DERECHOS'!G30</f>
        <v>800</v>
      </c>
      <c r="R36" s="436" t="str">
        <f>+'05-POA PROM DEFENSA DERECHOS'!O30</f>
        <v>P.D. para la Familia y Sujetos de Especial Protección Constitucional</v>
      </c>
    </row>
    <row r="37" spans="2:18" ht="57">
      <c r="B37" s="413">
        <f t="shared" si="5"/>
        <v>33</v>
      </c>
      <c r="C37" s="414" t="s">
        <v>730</v>
      </c>
      <c r="D37" s="413" t="s">
        <v>807</v>
      </c>
      <c r="E37" s="425" t="str">
        <f>+'05-POA PROM DEFENSA DERECHOS'!I31</f>
        <v>Espacios Interinstitucionales con participación</v>
      </c>
      <c r="F37" s="425" t="str">
        <f>+'05-POA PROM DEFENSA DERECHOS'!J31</f>
        <v>∑ Número de Espacios Interinstitucional con Participación</v>
      </c>
      <c r="G37" s="421" t="s">
        <v>760</v>
      </c>
      <c r="H37" s="416" t="s">
        <v>731</v>
      </c>
      <c r="I37" s="417">
        <v>85</v>
      </c>
      <c r="J37" s="418" t="str">
        <f t="shared" si="0"/>
        <v>Desde (&gt;=):</v>
      </c>
      <c r="K37" s="418">
        <f t="shared" si="1"/>
        <v>80</v>
      </c>
      <c r="L37" s="418" t="str">
        <f t="shared" si="2"/>
        <v>Hasta (&lt;=):</v>
      </c>
      <c r="M37" s="418">
        <f t="shared" si="3"/>
        <v>85</v>
      </c>
      <c r="N37" s="418" t="str">
        <f t="shared" si="4"/>
        <v>Menor A:</v>
      </c>
      <c r="O37" s="419">
        <v>80</v>
      </c>
      <c r="P37" s="431">
        <f>+'05-POA PROM DEFENSA DERECHOS'!F31</f>
        <v>7711</v>
      </c>
      <c r="Q37" s="431">
        <f>+'05-POA PROM DEFENSA DERECHOS'!G31</f>
        <v>2771</v>
      </c>
      <c r="R37" s="436" t="str">
        <f>+'05-POA PROM DEFENSA DERECHOS'!O31</f>
        <v>P.D. para la Coordinación del MP y DDHH, P.D. para Asuntos Penales I, Penales II, Derechos Humanos, Familia, Víctimas, Asuntos Jurisdiccionales y Consumidor.
 P.D. para la Coordinación de la Gestión de Personerías Locales y sus Personerías Locales adscritas</v>
      </c>
    </row>
    <row r="38" spans="2:18" ht="57">
      <c r="B38" s="413">
        <f t="shared" si="5"/>
        <v>34</v>
      </c>
      <c r="C38" s="414" t="s">
        <v>730</v>
      </c>
      <c r="D38" s="413" t="s">
        <v>808</v>
      </c>
      <c r="E38" s="425" t="str">
        <f>+'05-POA PROM DEFENSA DERECHOS'!I32</f>
        <v>Seguimientos a la Amenaza y Vulneración de los Derechos Realizados</v>
      </c>
      <c r="F38" s="425" t="str">
        <f>+'05-POA PROM DEFENSA DERECHOS'!J32</f>
        <v>∑ Número de Seguimientos a la Amenaza y Vulneración de los Derechos Realizados</v>
      </c>
      <c r="G38" s="421" t="s">
        <v>760</v>
      </c>
      <c r="H38" s="416" t="s">
        <v>731</v>
      </c>
      <c r="I38" s="417">
        <v>85</v>
      </c>
      <c r="J38" s="418" t="str">
        <f t="shared" ref="J38:J66" si="8">IF(OR($H38="Mayor A:",$H38="Menor A:"),"Desde (&gt;=):",
IF(OR($H38="Mayor o Igual A:",$H38="Menor o Igual A:"),"Desde (&gt;):",
IF($H38="Igual A:","No Aplica",
IF($H38="",""))))</f>
        <v>Desde (&gt;=):</v>
      </c>
      <c r="K38" s="418">
        <f t="shared" si="1"/>
        <v>80</v>
      </c>
      <c r="L38" s="418" t="str">
        <f t="shared" ref="L38:L66" si="9">IF(OR($H38="Mayor A:",$H38="Menor A:"),"Hasta (&lt;=):",
IF(OR($H38="Mayor o Igual A:",$H38="Menor o Igual A:"),"Hasta (&lt;):",
IF($H38="Igual A:","No Aplica",
IF($H38="",""))))</f>
        <v>Hasta (&lt;=):</v>
      </c>
      <c r="M38" s="418">
        <f t="shared" si="3"/>
        <v>85</v>
      </c>
      <c r="N38" s="418" t="str">
        <f t="shared" ref="N38:N66" si="10">IF($H38="Mayor A:","Menor A:",
IF($H38="Menor A:","Mayor A:",
IF($H38="Mayor o Igual A:","Menor o Igual A:",
IF($H38="Menor o Igual A:","Mayor o Igual A:",
IF($H38="Igual A:","Igual A:",
IF($H38="",""))))))</f>
        <v>Menor A:</v>
      </c>
      <c r="O38" s="419">
        <v>80</v>
      </c>
      <c r="P38" s="431">
        <f>+'05-POA PROM DEFENSA DERECHOS'!F32</f>
        <v>712</v>
      </c>
      <c r="Q38" s="431">
        <f>+'05-POA PROM DEFENSA DERECHOS'!G32</f>
        <v>208</v>
      </c>
      <c r="R38" s="436" t="str">
        <f>+'05-POA PROM DEFENSA DERECHOS'!O32</f>
        <v>P.D. para la Coordinación del MP y DDHH, P.D. para Asuntos Policivos y Civiles, Penales I, Penales II, Derechos Humanos, Familia, Víctimas, Consumidor y Asuntos Jurisdiccionales.
 P.D. para la Coordinación de la Gestión de Personerías Locales y sus Personerías Locales adscritas</v>
      </c>
    </row>
    <row r="39" spans="2:18" ht="45.6">
      <c r="B39" s="413">
        <f t="shared" si="5"/>
        <v>35</v>
      </c>
      <c r="C39" s="414" t="s">
        <v>730</v>
      </c>
      <c r="D39" s="413" t="s">
        <v>809</v>
      </c>
      <c r="E39" s="425" t="str">
        <f>+'05-POA PROM DEFENSA DERECHOS'!I33</f>
        <v>Actividades de acercamiento de la Entidad a la comunidad realizadas</v>
      </c>
      <c r="F39" s="425" t="str">
        <f>+'05-POA PROM DEFENSA DERECHOS'!J33</f>
        <v>∑ Número de Actividades Realizadas para Acercar la Entidad a la Comunidad</v>
      </c>
      <c r="G39" s="421" t="s">
        <v>760</v>
      </c>
      <c r="H39" s="416" t="s">
        <v>731</v>
      </c>
      <c r="I39" s="417">
        <v>85</v>
      </c>
      <c r="J39" s="418" t="str">
        <f t="shared" si="8"/>
        <v>Desde (&gt;=):</v>
      </c>
      <c r="K39" s="418">
        <f t="shared" si="1"/>
        <v>80</v>
      </c>
      <c r="L39" s="418" t="str">
        <f t="shared" si="9"/>
        <v>Hasta (&lt;=):</v>
      </c>
      <c r="M39" s="418">
        <f t="shared" si="3"/>
        <v>85</v>
      </c>
      <c r="N39" s="418" t="str">
        <f t="shared" si="10"/>
        <v>Menor A:</v>
      </c>
      <c r="O39" s="419">
        <v>80</v>
      </c>
      <c r="P39" s="431">
        <f>+'05-POA PROM DEFENSA DERECHOS'!F33</f>
        <v>20</v>
      </c>
      <c r="Q39" s="431">
        <f>+'05-POA PROM DEFENSA DERECHOS'!G33</f>
        <v>8</v>
      </c>
      <c r="R39" s="436" t="str">
        <f>+'05-POA PROM DEFENSA DERECHOS'!O33</f>
        <v>P.D. para la Coordinación del MP y DDHH y sus dependencias adscritas
 P.D. para la Coordinación de la Gestión de Personerías Locales y sus Personerías Locales adscritas</v>
      </c>
    </row>
    <row r="40" spans="2:18" ht="45.6">
      <c r="B40" s="413">
        <f t="shared" si="5"/>
        <v>36</v>
      </c>
      <c r="C40" s="414" t="s">
        <v>730</v>
      </c>
      <c r="D40" s="413" t="s">
        <v>810</v>
      </c>
      <c r="E40" s="425" t="str">
        <f>+'05-POA PROM DEFENSA DERECHOS'!I34</f>
        <v>Acciones realizadas para incrementar la cobertura de los servicios</v>
      </c>
      <c r="F40" s="425" t="str">
        <f>+'05-POA PROM DEFENSA DERECHOS'!J34</f>
        <v>∑ Número de acciones realizadas para incrementar la Cobertura</v>
      </c>
      <c r="G40" s="421" t="s">
        <v>760</v>
      </c>
      <c r="H40" s="416" t="s">
        <v>731</v>
      </c>
      <c r="I40" s="417">
        <v>85</v>
      </c>
      <c r="J40" s="418" t="str">
        <f t="shared" si="8"/>
        <v>Desde (&gt;=):</v>
      </c>
      <c r="K40" s="418">
        <f t="shared" si="1"/>
        <v>80</v>
      </c>
      <c r="L40" s="418" t="str">
        <f t="shared" si="9"/>
        <v>Hasta (&lt;=):</v>
      </c>
      <c r="M40" s="418">
        <f t="shared" si="3"/>
        <v>85</v>
      </c>
      <c r="N40" s="418" t="str">
        <f t="shared" si="10"/>
        <v>Menor A:</v>
      </c>
      <c r="O40" s="419">
        <v>80</v>
      </c>
      <c r="P40" s="431">
        <f>+'05-POA PROM DEFENSA DERECHOS'!F34</f>
        <v>11</v>
      </c>
      <c r="Q40" s="431">
        <f>+'05-POA PROM DEFENSA DERECHOS'!G34</f>
        <v>3</v>
      </c>
      <c r="R40" s="436" t="str">
        <f>+'05-POA PROM DEFENSA DERECHOS'!O34</f>
        <v>P.D. para la Coordinación del MP y DDHH y sus dependencias adscritas
 P.D. para la Coordinación de la Gestión de Personerías Locales y sus Personerías Locales adscritas</v>
      </c>
    </row>
    <row r="41" spans="2:18" ht="45.6">
      <c r="B41" s="413">
        <f t="shared" si="5"/>
        <v>37</v>
      </c>
      <c r="C41" s="414" t="s">
        <v>730</v>
      </c>
      <c r="D41" s="413" t="s">
        <v>811</v>
      </c>
      <c r="E41" s="425" t="str">
        <f>+'05-POA PROM DEFENSA DERECHOS'!I35</f>
        <v>Herramientas de promoción y prevención a infracciones del Derecho Internacional Humanitario implementadas</v>
      </c>
      <c r="F41" s="425" t="str">
        <f>+'05-POA PROM DEFENSA DERECHOS'!J35</f>
        <v>∑ Número de Herramientas de Promoción y Prevención a Infracciones del Derecho Internacional Humanitario Implementadas</v>
      </c>
      <c r="G41" s="421" t="s">
        <v>760</v>
      </c>
      <c r="H41" s="416" t="s">
        <v>731</v>
      </c>
      <c r="I41" s="417">
        <v>85</v>
      </c>
      <c r="J41" s="418" t="str">
        <f t="shared" si="8"/>
        <v>Desde (&gt;=):</v>
      </c>
      <c r="K41" s="418">
        <f t="shared" si="1"/>
        <v>80</v>
      </c>
      <c r="L41" s="418" t="str">
        <f t="shared" si="9"/>
        <v>Hasta (&lt;=):</v>
      </c>
      <c r="M41" s="418">
        <f t="shared" si="3"/>
        <v>85</v>
      </c>
      <c r="N41" s="418" t="str">
        <f t="shared" si="10"/>
        <v>Menor A:</v>
      </c>
      <c r="O41" s="419">
        <v>80</v>
      </c>
      <c r="P41" s="431">
        <f>+'05-POA PROM DEFENSA DERECHOS'!F35</f>
        <v>4</v>
      </c>
      <c r="Q41" s="431">
        <f>+'05-POA PROM DEFENSA DERECHOS'!G35</f>
        <v>1</v>
      </c>
      <c r="R41" s="436" t="str">
        <f>+'05-POA PROM DEFENSA DERECHOS'!O35</f>
        <v>P.D. para la Coordinación del MP y DDHH y sus dependencias adscritas
 P.D. para la Coordinación de la Gestión de Personerías Locales y sus Personerías Locales adscritas</v>
      </c>
    </row>
    <row r="42" spans="2:18" ht="70.2" customHeight="1">
      <c r="B42" s="413">
        <f t="shared" si="5"/>
        <v>38</v>
      </c>
      <c r="C42" s="422" t="s">
        <v>732</v>
      </c>
      <c r="D42" s="421" t="s">
        <v>815</v>
      </c>
      <c r="E42" s="430" t="str">
        <f>+'06-PREV CTRL FUN PÚBLICA'!I16</f>
        <v>Informes realizados en temas específicos.</v>
      </c>
      <c r="F42" s="430" t="str">
        <f>+'06-PREV CTRL FUN PÚBLICA'!J16</f>
        <v>Número de informes realizados en temas específicos programados en el periodo.</v>
      </c>
      <c r="G42" s="421" t="s">
        <v>760</v>
      </c>
      <c r="H42" s="416" t="s">
        <v>731</v>
      </c>
      <c r="I42" s="417">
        <v>90</v>
      </c>
      <c r="J42" s="418" t="str">
        <f t="shared" si="8"/>
        <v>Desde (&gt;=):</v>
      </c>
      <c r="K42" s="418">
        <f t="shared" si="1"/>
        <v>66</v>
      </c>
      <c r="L42" s="418" t="str">
        <f t="shared" si="9"/>
        <v>Hasta (&lt;=):</v>
      </c>
      <c r="M42" s="418">
        <f t="shared" si="3"/>
        <v>90</v>
      </c>
      <c r="N42" s="418" t="str">
        <f t="shared" si="10"/>
        <v>Menor A:</v>
      </c>
      <c r="O42" s="419">
        <v>66</v>
      </c>
      <c r="P42" s="438">
        <f>+'06-PREV CTRL FUN PÚBLICA'!F16</f>
        <v>16</v>
      </c>
      <c r="Q42" s="438">
        <f>+'06-PREV CTRL FUN PÚBLICA'!G16</f>
        <v>7</v>
      </c>
      <c r="R42" s="436" t="str">
        <f>+'06-PREV CTRL FUN PÚBLICA'!O16</f>
        <v xml:space="preserve">Personería Delegada para la Coordinación de Prevención y Control a la Función Pública y sus Personerías Delegadas.
Personería Delegada para la Coordinación de Gestión de las Personerías Locales y sus Personerías Locales. </v>
      </c>
    </row>
    <row r="43" spans="2:18" ht="45.6">
      <c r="B43" s="413">
        <f t="shared" si="5"/>
        <v>39</v>
      </c>
      <c r="C43" s="422" t="s">
        <v>732</v>
      </c>
      <c r="D43" s="421" t="s">
        <v>818</v>
      </c>
      <c r="E43" s="430" t="str">
        <f>+'06-PREV CTRL FUN PÚBLICA'!I17</f>
        <v>Informes de seguimientos realizados en temas específicos.</v>
      </c>
      <c r="F43" s="430" t="str">
        <f>+'06-PREV CTRL FUN PÚBLICA'!J17</f>
        <v>Número informes de seguimientos realizados en temas específicos en el periodo.</v>
      </c>
      <c r="G43" s="421" t="s">
        <v>760</v>
      </c>
      <c r="H43" s="416" t="s">
        <v>731</v>
      </c>
      <c r="I43" s="417">
        <v>90</v>
      </c>
      <c r="J43" s="418" t="str">
        <f t="shared" si="8"/>
        <v>Desde (&gt;=):</v>
      </c>
      <c r="K43" s="418">
        <f t="shared" si="1"/>
        <v>69</v>
      </c>
      <c r="L43" s="418" t="str">
        <f t="shared" si="9"/>
        <v>Hasta (&lt;=):</v>
      </c>
      <c r="M43" s="418">
        <f t="shared" si="3"/>
        <v>90</v>
      </c>
      <c r="N43" s="418" t="str">
        <f t="shared" si="10"/>
        <v>Menor A:</v>
      </c>
      <c r="O43" s="419">
        <v>69</v>
      </c>
      <c r="P43" s="438">
        <f>+'06-PREV CTRL FUN PÚBLICA'!F17</f>
        <v>6</v>
      </c>
      <c r="Q43" s="438">
        <f>+'06-PREV CTRL FUN PÚBLICA'!G17</f>
        <v>1</v>
      </c>
      <c r="R43" s="436" t="str">
        <f>+'06-PREV CTRL FUN PÚBLICA'!O17</f>
        <v xml:space="preserve">Personería Delegada para la Coordinación de Prevención y Control a la Función Pública y sus Personerías Delegadas.
Personería Delegada para la Coordinación de Gestión de las Personerías Locales y sus Personerías Locales. </v>
      </c>
    </row>
    <row r="44" spans="2:18" ht="45.6">
      <c r="B44" s="413">
        <f t="shared" si="5"/>
        <v>40</v>
      </c>
      <c r="C44" s="422" t="s">
        <v>732</v>
      </c>
      <c r="D44" s="421" t="s">
        <v>819</v>
      </c>
      <c r="E44" s="430" t="str">
        <f>+'06-PREV CTRL FUN PÚBLICA'!I18</f>
        <v>Acciones de Prevención y Control a la Función Pública realizadas, con informe.</v>
      </c>
      <c r="F44" s="430" t="str">
        <f>+'06-PREV CTRL FUN PÚBLICA'!J18</f>
        <v>Número de informes de Acción de Prevención y Control a la Función Publica realizados en el periodo.</v>
      </c>
      <c r="G44" s="421" t="s">
        <v>760</v>
      </c>
      <c r="H44" s="416" t="s">
        <v>731</v>
      </c>
      <c r="I44" s="417">
        <v>77</v>
      </c>
      <c r="J44" s="418" t="str">
        <f t="shared" si="8"/>
        <v>Desde (&gt;=):</v>
      </c>
      <c r="K44" s="418">
        <f t="shared" si="1"/>
        <v>53</v>
      </c>
      <c r="L44" s="418" t="str">
        <f t="shared" si="9"/>
        <v>Hasta (&lt;=):</v>
      </c>
      <c r="M44" s="418">
        <f t="shared" si="3"/>
        <v>77</v>
      </c>
      <c r="N44" s="418" t="str">
        <f t="shared" si="10"/>
        <v>Menor A:</v>
      </c>
      <c r="O44" s="419">
        <v>53</v>
      </c>
      <c r="P44" s="438">
        <f>+'06-PREV CTRL FUN PÚBLICA'!F18</f>
        <v>817</v>
      </c>
      <c r="Q44" s="438">
        <f>+'06-PREV CTRL FUN PÚBLICA'!G18</f>
        <v>286</v>
      </c>
      <c r="R44" s="436" t="str">
        <f>+'06-PREV CTRL FUN PÚBLICA'!O18</f>
        <v xml:space="preserve">Personería Delegada para la Coordinación de Prevención y Control a la Función Pública y sus Personerías Delegadas.
Personería Delegada para la Coordinación de Gestión de las Personerías Locales y sus Personerías Locales. </v>
      </c>
    </row>
    <row r="45" spans="2:18" ht="45.6">
      <c r="B45" s="413">
        <f t="shared" si="5"/>
        <v>41</v>
      </c>
      <c r="C45" s="422" t="s">
        <v>732</v>
      </c>
      <c r="D45" s="421" t="s">
        <v>820</v>
      </c>
      <c r="E45" s="430" t="str">
        <f>+'06-PREV CTRL FUN PÚBLICA'!I19</f>
        <v>Seguimientos realizados sobre acciones previas, con informe</v>
      </c>
      <c r="F45" s="430" t="str">
        <f>+'06-PREV CTRL FUN PÚBLICA'!J19</f>
        <v>Número de informes de seguimientos realizados en el periodo.</v>
      </c>
      <c r="G45" s="421" t="s">
        <v>760</v>
      </c>
      <c r="H45" s="416" t="s">
        <v>731</v>
      </c>
      <c r="I45" s="417">
        <v>80</v>
      </c>
      <c r="J45" s="418" t="str">
        <f t="shared" si="8"/>
        <v>Desde (&gt;=):</v>
      </c>
      <c r="K45" s="418">
        <f t="shared" si="1"/>
        <v>45</v>
      </c>
      <c r="L45" s="418" t="str">
        <f t="shared" si="9"/>
        <v>Hasta (&lt;=):</v>
      </c>
      <c r="M45" s="418">
        <f t="shared" si="3"/>
        <v>80</v>
      </c>
      <c r="N45" s="418" t="str">
        <f t="shared" si="10"/>
        <v>Menor A:</v>
      </c>
      <c r="O45" s="419">
        <v>45</v>
      </c>
      <c r="P45" s="438">
        <f>+'06-PREV CTRL FUN PÚBLICA'!F19</f>
        <v>135</v>
      </c>
      <c r="Q45" s="438">
        <f>+'06-PREV CTRL FUN PÚBLICA'!G19</f>
        <v>67</v>
      </c>
      <c r="R45" s="436" t="str">
        <f>+'06-PREV CTRL FUN PÚBLICA'!O19</f>
        <v xml:space="preserve">Personería Delegada para la Coordinación de Prevención y Control a la Función Pública y sus Personerías Delegadas.
Personería Delegada para la Coordinación de Gestión de las Personerías Locales y sus Personerías Locales. </v>
      </c>
    </row>
    <row r="46" spans="2:18" ht="26.4">
      <c r="B46" s="413">
        <f t="shared" si="5"/>
        <v>42</v>
      </c>
      <c r="C46" s="422" t="s">
        <v>732</v>
      </c>
      <c r="D46" s="421" t="s">
        <v>821</v>
      </c>
      <c r="E46" s="430" t="str">
        <f>+'06-PREV CTRL FUN PÚBLICA'!I20</f>
        <v>Audiencias públicas y/o mesas de trabajo realizadas.</v>
      </c>
      <c r="F46" s="430" t="str">
        <f>+'06-PREV CTRL FUN PÚBLICA'!J20</f>
        <v>Número de audiencias públicas y/o mesas de trabajo realizadas en el periodo.</v>
      </c>
      <c r="G46" s="421" t="s">
        <v>760</v>
      </c>
      <c r="H46" s="416" t="s">
        <v>731</v>
      </c>
      <c r="I46" s="417">
        <v>85</v>
      </c>
      <c r="J46" s="418" t="str">
        <f t="shared" si="8"/>
        <v>Desde (&gt;=):</v>
      </c>
      <c r="K46" s="418">
        <f t="shared" si="1"/>
        <v>57</v>
      </c>
      <c r="L46" s="418" t="str">
        <f t="shared" si="9"/>
        <v>Hasta (&lt;=):</v>
      </c>
      <c r="M46" s="418">
        <f t="shared" si="3"/>
        <v>85</v>
      </c>
      <c r="N46" s="418" t="str">
        <f t="shared" si="10"/>
        <v>Menor A:</v>
      </c>
      <c r="O46" s="419">
        <v>57</v>
      </c>
      <c r="P46" s="438">
        <f>+'06-PREV CTRL FUN PÚBLICA'!F20</f>
        <v>60</v>
      </c>
      <c r="Q46" s="438">
        <f>+'06-PREV CTRL FUN PÚBLICA'!G20</f>
        <v>21</v>
      </c>
      <c r="R46" s="436" t="str">
        <f>+'06-PREV CTRL FUN PÚBLICA'!O20</f>
        <v>Personería Delegada para la Coordinación de Prevención y Control a la Función Pública y sus Personerías Delegadas.</v>
      </c>
    </row>
    <row r="47" spans="2:18" ht="26.4">
      <c r="B47" s="413">
        <f t="shared" si="5"/>
        <v>43</v>
      </c>
      <c r="C47" s="422" t="s">
        <v>732</v>
      </c>
      <c r="D47" s="421" t="s">
        <v>822</v>
      </c>
      <c r="E47" s="430" t="str">
        <f>+'06-PREV CTRL FUN PÚBLICA'!I21</f>
        <v>Acompañamientos a los ciudadanos realizados.</v>
      </c>
      <c r="F47" s="430" t="str">
        <f>+'06-PREV CTRL FUN PÚBLICA'!J21</f>
        <v>Número de acompañamientos a los ciudadanos realizados en el periodo.</v>
      </c>
      <c r="G47" s="421" t="s">
        <v>760</v>
      </c>
      <c r="H47" s="416" t="s">
        <v>731</v>
      </c>
      <c r="I47" s="417">
        <v>90</v>
      </c>
      <c r="J47" s="418" t="str">
        <f t="shared" si="8"/>
        <v>Desde (&gt;=):</v>
      </c>
      <c r="K47" s="418">
        <f t="shared" si="1"/>
        <v>69</v>
      </c>
      <c r="L47" s="418" t="str">
        <f t="shared" si="9"/>
        <v>Hasta (&lt;=):</v>
      </c>
      <c r="M47" s="418">
        <f t="shared" si="3"/>
        <v>90</v>
      </c>
      <c r="N47" s="418" t="str">
        <f t="shared" si="10"/>
        <v>Menor A:</v>
      </c>
      <c r="O47" s="419">
        <v>69</v>
      </c>
      <c r="P47" s="438">
        <f>+'06-PREV CTRL FUN PÚBLICA'!F21</f>
        <v>160</v>
      </c>
      <c r="Q47" s="438">
        <f>+'06-PREV CTRL FUN PÚBLICA'!G21</f>
        <v>60</v>
      </c>
      <c r="R47" s="436" t="str">
        <f>+'06-PREV CTRL FUN PÚBLICA'!O21</f>
        <v xml:space="preserve">Personería Delegada para la Coordinación de Gestión de las Personerías Locales y sus Personerías Locales. </v>
      </c>
    </row>
    <row r="48" spans="2:18" ht="45.6">
      <c r="B48" s="413">
        <f t="shared" si="5"/>
        <v>44</v>
      </c>
      <c r="C48" s="422" t="s">
        <v>732</v>
      </c>
      <c r="D48" s="421" t="s">
        <v>823</v>
      </c>
      <c r="E48" s="430" t="str">
        <f>+'06-PREV CTRL FUN PÚBLICA'!I22</f>
        <v>Espacios de dialogo realizados.</v>
      </c>
      <c r="F48" s="430" t="str">
        <f>+'06-PREV CTRL FUN PÚBLICA'!J22</f>
        <v>Número de espacios de dialogo realizados en el periodo.</v>
      </c>
      <c r="G48" s="421" t="s">
        <v>760</v>
      </c>
      <c r="H48" s="416" t="s">
        <v>731</v>
      </c>
      <c r="I48" s="417">
        <v>90</v>
      </c>
      <c r="J48" s="418" t="str">
        <f t="shared" si="8"/>
        <v>Desde (&gt;=):</v>
      </c>
      <c r="K48" s="418">
        <f t="shared" si="1"/>
        <v>69</v>
      </c>
      <c r="L48" s="418" t="str">
        <f t="shared" si="9"/>
        <v>Hasta (&lt;=):</v>
      </c>
      <c r="M48" s="418">
        <f t="shared" si="3"/>
        <v>90</v>
      </c>
      <c r="N48" s="418" t="str">
        <f t="shared" si="10"/>
        <v>Menor A:</v>
      </c>
      <c r="O48" s="419">
        <v>69</v>
      </c>
      <c r="P48" s="438">
        <f>+'06-PREV CTRL FUN PÚBLICA'!F22</f>
        <v>100</v>
      </c>
      <c r="Q48" s="438">
        <f>+'06-PREV CTRL FUN PÚBLICA'!G22</f>
        <v>30</v>
      </c>
      <c r="R48" s="436" t="str">
        <f>+'06-PREV CTRL FUN PÚBLICA'!O22</f>
        <v>Personería Delegada para la Coordinación de Gestión de las Personerías Locales y sus Personerías Locales. 
Personería Delegada para la Coordinación de Prevención y Control a la Función Pública y sus Personerías Delegadas.</v>
      </c>
    </row>
    <row r="49" spans="2:18" ht="26.4">
      <c r="B49" s="413">
        <f t="shared" si="5"/>
        <v>45</v>
      </c>
      <c r="C49" s="423" t="s">
        <v>733</v>
      </c>
      <c r="D49" s="421" t="s">
        <v>816</v>
      </c>
      <c r="E49" s="430" t="str">
        <f>+'07-POTESTAD DISCIPLINARIA'!I16</f>
        <v>Procesos priorizados identificados y decididos de fondo</v>
      </c>
      <c r="F49" s="430" t="str">
        <f>+'07-POTESTAD DISCIPLINARIA'!J16</f>
        <v>Número de procesos priorizados con decisiones de fondo proferidas</v>
      </c>
      <c r="G49" s="421" t="s">
        <v>760</v>
      </c>
      <c r="H49" s="416" t="s">
        <v>731</v>
      </c>
      <c r="I49" s="417">
        <v>90</v>
      </c>
      <c r="J49" s="418" t="str">
        <f t="shared" si="8"/>
        <v>Desde (&gt;=):</v>
      </c>
      <c r="K49" s="418">
        <f t="shared" si="1"/>
        <v>60</v>
      </c>
      <c r="L49" s="418" t="str">
        <f t="shared" si="9"/>
        <v>Hasta (&lt;=):</v>
      </c>
      <c r="M49" s="418">
        <f t="shared" si="3"/>
        <v>90</v>
      </c>
      <c r="N49" s="418" t="str">
        <f t="shared" si="10"/>
        <v>Menor A:</v>
      </c>
      <c r="O49" s="419">
        <v>60</v>
      </c>
      <c r="P49" s="431">
        <f>+'07-POTESTAD DISCIPLINARIA'!F16</f>
        <v>6700</v>
      </c>
      <c r="Q49" s="431">
        <f>+'07-POTESTAD DISCIPLINARIA'!G16</f>
        <v>1800</v>
      </c>
      <c r="R49" s="436" t="str">
        <f>+'07-POTESTAD DISCIPLINARIA'!O16</f>
        <v>Personería Delegada para la Coordinación de Potestad Disciplinaria</v>
      </c>
    </row>
    <row r="50" spans="2:18" ht="39.6">
      <c r="B50" s="413">
        <f t="shared" si="5"/>
        <v>46</v>
      </c>
      <c r="C50" s="423" t="s">
        <v>733</v>
      </c>
      <c r="D50" s="421" t="s">
        <v>824</v>
      </c>
      <c r="E50" s="430" t="str">
        <f>+'07-POTESTAD DISCIPLINARIA'!I17</f>
        <v>Noticias disciplinarias  evaluadas y con impulso procesal</v>
      </c>
      <c r="F50" s="430" t="str">
        <f>+'07-POTESTAD DISCIPLINARIA'!J17</f>
        <v>Número de noticias disciplinarias evaluadas y con impulso procesal/ Número de noticias disciplinaria comisionadas a las Delegadas</v>
      </c>
      <c r="G50" s="421" t="s">
        <v>760</v>
      </c>
      <c r="H50" s="416" t="s">
        <v>731</v>
      </c>
      <c r="I50" s="417">
        <v>90</v>
      </c>
      <c r="J50" s="418" t="str">
        <f t="shared" si="8"/>
        <v>Desde (&gt;=):</v>
      </c>
      <c r="K50" s="418">
        <f t="shared" si="1"/>
        <v>60</v>
      </c>
      <c r="L50" s="418" t="str">
        <f t="shared" si="9"/>
        <v>Hasta (&lt;=):</v>
      </c>
      <c r="M50" s="418">
        <f t="shared" si="3"/>
        <v>90</v>
      </c>
      <c r="N50" s="418" t="str">
        <f t="shared" si="10"/>
        <v>Menor A:</v>
      </c>
      <c r="O50" s="419">
        <v>60</v>
      </c>
      <c r="P50" s="435">
        <f>+'07-POTESTAD DISCIPLINARIA'!F17</f>
        <v>1</v>
      </c>
      <c r="Q50" s="435">
        <f>+'07-POTESTAD DISCIPLINARIA'!G17</f>
        <v>1</v>
      </c>
      <c r="R50" s="436" t="str">
        <f>+'07-POTESTAD DISCIPLINARIA'!O17</f>
        <v>Personería Delegada para la Coordinación de Potestad Disciplinaria</v>
      </c>
    </row>
    <row r="51" spans="2:18" ht="26.4">
      <c r="B51" s="413">
        <f t="shared" si="5"/>
        <v>47</v>
      </c>
      <c r="C51" s="423" t="s">
        <v>733</v>
      </c>
      <c r="D51" s="421" t="s">
        <v>825</v>
      </c>
      <c r="E51" s="430" t="str">
        <f>+'07-POTESTAD DISCIPLINARIA'!I18</f>
        <v>Visitas de seguimiento a Oficinas de Control Interno Disciplinario realizadas</v>
      </c>
      <c r="F51" s="430" t="str">
        <f>+'07-POTESTAD DISCIPLINARIA'!J18</f>
        <v>Número de visitas de seguimiento a OCID realizadas</v>
      </c>
      <c r="G51" s="421" t="s">
        <v>760</v>
      </c>
      <c r="H51" s="416" t="s">
        <v>731</v>
      </c>
      <c r="I51" s="417">
        <v>90</v>
      </c>
      <c r="J51" s="418" t="str">
        <f t="shared" si="8"/>
        <v>Desde (&gt;=):</v>
      </c>
      <c r="K51" s="418">
        <f t="shared" si="1"/>
        <v>65</v>
      </c>
      <c r="L51" s="418" t="str">
        <f t="shared" si="9"/>
        <v>Hasta (&lt;=):</v>
      </c>
      <c r="M51" s="418">
        <f t="shared" si="3"/>
        <v>90</v>
      </c>
      <c r="N51" s="418" t="str">
        <f t="shared" si="10"/>
        <v>Menor A:</v>
      </c>
      <c r="O51" s="419">
        <v>65</v>
      </c>
      <c r="P51" s="431">
        <f>+'07-POTESTAD DISCIPLINARIA'!F18</f>
        <v>204</v>
      </c>
      <c r="Q51" s="431">
        <f>+'07-POTESTAD DISCIPLINARIA'!G18</f>
        <v>51</v>
      </c>
      <c r="R51" s="436" t="str">
        <f>+'07-POTESTAD DISCIPLINARIA'!O18</f>
        <v>Personería Delegada para la Coordinación de Potestad Disciplinaria</v>
      </c>
    </row>
    <row r="52" spans="2:18" ht="39.6">
      <c r="B52" s="413">
        <f t="shared" si="5"/>
        <v>48</v>
      </c>
      <c r="C52" s="423" t="s">
        <v>733</v>
      </c>
      <c r="D52" s="421" t="s">
        <v>826</v>
      </c>
      <c r="E52" s="430" t="str">
        <f>+'07-POTESTAD DISCIPLINARIA'!I19</f>
        <v>Procesos de interés e impacto asumidos por competencia</v>
      </c>
      <c r="F52" s="430" t="str">
        <f>+'07-POTESTAD DISCIPLINARIA'!J19</f>
        <v>Número de solicitudes a petición asumidas por poder preferente/ Número total de peticiones solicitadas por poder preferente</v>
      </c>
      <c r="G52" s="421" t="s">
        <v>760</v>
      </c>
      <c r="H52" s="416" t="s">
        <v>731</v>
      </c>
      <c r="I52" s="417">
        <v>90</v>
      </c>
      <c r="J52" s="418" t="str">
        <f t="shared" si="8"/>
        <v>Desde (&gt;=):</v>
      </c>
      <c r="K52" s="418">
        <f t="shared" si="1"/>
        <v>65</v>
      </c>
      <c r="L52" s="418" t="str">
        <f t="shared" si="9"/>
        <v>Hasta (&lt;=):</v>
      </c>
      <c r="M52" s="418">
        <f t="shared" si="3"/>
        <v>90</v>
      </c>
      <c r="N52" s="418" t="str">
        <f t="shared" si="10"/>
        <v>Menor A:</v>
      </c>
      <c r="O52" s="419">
        <v>65</v>
      </c>
      <c r="P52" s="435">
        <f>+'07-POTESTAD DISCIPLINARIA'!F19</f>
        <v>1</v>
      </c>
      <c r="Q52" s="435">
        <f>+'07-POTESTAD DISCIPLINARIA'!G19</f>
        <v>1</v>
      </c>
      <c r="R52" s="436" t="str">
        <f>+'07-POTESTAD DISCIPLINARIA'!O19</f>
        <v>Personería Delegada para la Coordinación de Potestad Disciplinaria</v>
      </c>
    </row>
    <row r="53" spans="2:18" ht="26.4">
      <c r="B53" s="413">
        <f t="shared" si="5"/>
        <v>49</v>
      </c>
      <c r="C53" s="423" t="s">
        <v>733</v>
      </c>
      <c r="D53" s="421" t="s">
        <v>827</v>
      </c>
      <c r="E53" s="430" t="str">
        <f>+'07-POTESTAD DISCIPLINARIA'!I20</f>
        <v>Escenarios de intercambio de conocimiento generados</v>
      </c>
      <c r="F53" s="430" t="str">
        <f>+'07-POTESTAD DISCIPLINARIA'!J20</f>
        <v xml:space="preserve">Número de escenarios de sensibilización generados </v>
      </c>
      <c r="G53" s="421" t="s">
        <v>760</v>
      </c>
      <c r="H53" s="416" t="s">
        <v>731</v>
      </c>
      <c r="I53" s="417">
        <v>90</v>
      </c>
      <c r="J53" s="418" t="str">
        <f t="shared" si="8"/>
        <v>Desde (&gt;=):</v>
      </c>
      <c r="K53" s="418">
        <f t="shared" si="1"/>
        <v>65</v>
      </c>
      <c r="L53" s="418" t="str">
        <f t="shared" si="9"/>
        <v>Hasta (&lt;=):</v>
      </c>
      <c r="M53" s="418">
        <f t="shared" si="3"/>
        <v>90</v>
      </c>
      <c r="N53" s="418" t="str">
        <f t="shared" si="10"/>
        <v>Menor A:</v>
      </c>
      <c r="O53" s="419">
        <v>65</v>
      </c>
      <c r="P53" s="431">
        <f>+'07-POTESTAD DISCIPLINARIA'!F20</f>
        <v>8</v>
      </c>
      <c r="Q53" s="431">
        <f>+'07-POTESTAD DISCIPLINARIA'!G20</f>
        <v>2</v>
      </c>
      <c r="R53" s="436" t="str">
        <f>+'07-POTESTAD DISCIPLINARIA'!O20</f>
        <v>Personería Delegada para la Coordinación de Potestad Disciplinaria</v>
      </c>
    </row>
    <row r="54" spans="2:18" ht="26.4">
      <c r="B54" s="413">
        <f t="shared" si="5"/>
        <v>50</v>
      </c>
      <c r="C54" s="423" t="s">
        <v>733</v>
      </c>
      <c r="D54" s="421" t="s">
        <v>828</v>
      </c>
      <c r="E54" s="430" t="str">
        <f>+'07-POTESTAD DISCIPLINARIA'!I21</f>
        <v xml:space="preserve">Sistema de Comunicación con las Oficinas de Control Interno Disciplinario implementado </v>
      </c>
      <c r="F54" s="430" t="str">
        <f>+'07-POTESTAD DISCIPLINARIA'!J21</f>
        <v>Porcentaje de avance en la implementación del Sistema de Comunicación</v>
      </c>
      <c r="G54" s="421" t="s">
        <v>760</v>
      </c>
      <c r="H54" s="416" t="s">
        <v>731</v>
      </c>
      <c r="I54" s="417">
        <v>90</v>
      </c>
      <c r="J54" s="418" t="str">
        <f t="shared" si="8"/>
        <v>Desde (&gt;=):</v>
      </c>
      <c r="K54" s="418">
        <f t="shared" si="1"/>
        <v>65</v>
      </c>
      <c r="L54" s="418" t="str">
        <f t="shared" si="9"/>
        <v>Hasta (&lt;=):</v>
      </c>
      <c r="M54" s="418">
        <f t="shared" si="3"/>
        <v>90</v>
      </c>
      <c r="N54" s="418" t="str">
        <f t="shared" si="10"/>
        <v>Menor A:</v>
      </c>
      <c r="O54" s="419">
        <v>65</v>
      </c>
      <c r="P54" s="431">
        <f>+'07-POTESTAD DISCIPLINARIA'!F21</f>
        <v>1</v>
      </c>
      <c r="Q54" s="433">
        <f>+'07-POTESTAD DISCIPLINARIA'!G21</f>
        <v>0.5</v>
      </c>
      <c r="R54" s="436" t="str">
        <f>+'07-POTESTAD DISCIPLINARIA'!O21</f>
        <v>Personería Delegada para la Coordinación de Potestad Disciplinaria</v>
      </c>
    </row>
    <row r="55" spans="2:18" ht="26.4">
      <c r="B55" s="413">
        <f t="shared" si="5"/>
        <v>51</v>
      </c>
      <c r="C55" s="423" t="s">
        <v>733</v>
      </c>
      <c r="D55" s="421" t="s">
        <v>829</v>
      </c>
      <c r="E55" s="430" t="str">
        <f>+'07-POTESTAD DISCIPLINARIA'!I22</f>
        <v xml:space="preserve">Sistema de información misional implementado </v>
      </c>
      <c r="F55" s="430" t="str">
        <f>+'07-POTESTAD DISCIPLINARIA'!J22</f>
        <v>Porcentaje de avance en la implementación de Sistema de Información</v>
      </c>
      <c r="G55" s="421" t="s">
        <v>760</v>
      </c>
      <c r="H55" s="416" t="s">
        <v>731</v>
      </c>
      <c r="I55" s="417">
        <v>90</v>
      </c>
      <c r="J55" s="418" t="str">
        <f t="shared" si="8"/>
        <v>Desde (&gt;=):</v>
      </c>
      <c r="K55" s="418">
        <f t="shared" si="1"/>
        <v>65</v>
      </c>
      <c r="L55" s="418" t="str">
        <f t="shared" si="9"/>
        <v>Hasta (&lt;=):</v>
      </c>
      <c r="M55" s="418">
        <f t="shared" si="3"/>
        <v>90</v>
      </c>
      <c r="N55" s="418" t="str">
        <f t="shared" si="10"/>
        <v>Menor A:</v>
      </c>
      <c r="O55" s="419">
        <v>65</v>
      </c>
      <c r="P55" s="431">
        <f>+'07-POTESTAD DISCIPLINARIA'!F22</f>
        <v>1</v>
      </c>
      <c r="Q55" s="433">
        <f>+'07-POTESTAD DISCIPLINARIA'!G22</f>
        <v>0.4</v>
      </c>
      <c r="R55" s="436" t="str">
        <f>+'07-POTESTAD DISCIPLINARIA'!O22</f>
        <v>Personería Delegada para la Coordinación de Potestad Disciplinaria</v>
      </c>
    </row>
    <row r="56" spans="2:18" ht="26.4">
      <c r="B56" s="413">
        <f t="shared" si="5"/>
        <v>52</v>
      </c>
      <c r="C56" s="423" t="s">
        <v>733</v>
      </c>
      <c r="D56" s="421" t="s">
        <v>830</v>
      </c>
      <c r="E56" s="430" t="str">
        <f>+'07-POTESTAD DISCIPLINARIA'!I23</f>
        <v>Relatoría diseñada e implementada</v>
      </c>
      <c r="F56" s="430" t="str">
        <f>+'07-POTESTAD DISCIPLINARIA'!J23</f>
        <v>Porcentaje de avance en la implementación de la relatoría</v>
      </c>
      <c r="G56" s="421" t="s">
        <v>760</v>
      </c>
      <c r="H56" s="416" t="s">
        <v>731</v>
      </c>
      <c r="I56" s="417">
        <v>90</v>
      </c>
      <c r="J56" s="418" t="str">
        <f t="shared" si="8"/>
        <v>Desde (&gt;=):</v>
      </c>
      <c r="K56" s="418">
        <f t="shared" si="1"/>
        <v>65</v>
      </c>
      <c r="L56" s="418" t="str">
        <f t="shared" si="9"/>
        <v>Hasta (&lt;=):</v>
      </c>
      <c r="M56" s="418">
        <f t="shared" si="3"/>
        <v>90</v>
      </c>
      <c r="N56" s="418" t="str">
        <f t="shared" si="10"/>
        <v>Menor A:</v>
      </c>
      <c r="O56" s="419">
        <v>65</v>
      </c>
      <c r="P56" s="431">
        <f>+'07-POTESTAD DISCIPLINARIA'!F23</f>
        <v>1</v>
      </c>
      <c r="Q56" s="433">
        <f>+'07-POTESTAD DISCIPLINARIA'!G23</f>
        <v>0.3</v>
      </c>
      <c r="R56" s="436" t="str">
        <f>+'07-POTESTAD DISCIPLINARIA'!O23</f>
        <v>Personería Delegada para la Coordinación de Potestad Disciplinaria</v>
      </c>
    </row>
    <row r="57" spans="2:18" ht="54" customHeight="1">
      <c r="B57" s="413">
        <f t="shared" si="5"/>
        <v>53</v>
      </c>
      <c r="C57" s="424" t="s">
        <v>734</v>
      </c>
      <c r="D57" s="421" t="s">
        <v>817</v>
      </c>
      <c r="E57" s="430" t="str">
        <f>+'08-G. DEL TALENTO HUMANO'!I16</f>
        <v>Porcentaje de novedades y situaciones administrativas gestionadas</v>
      </c>
      <c r="F57" s="430" t="str">
        <f>+'08-G. DEL TALENTO HUMANO'!J16</f>
        <v>N° de novedades y situaciones administrativas gestionadas /  N° requerimientos de novedades y situaciones administrativas presentados * 100</v>
      </c>
      <c r="G57" s="421" t="s">
        <v>760</v>
      </c>
      <c r="H57" s="416" t="s">
        <v>726</v>
      </c>
      <c r="I57" s="417">
        <v>90</v>
      </c>
      <c r="J57" s="418" t="str">
        <f t="shared" si="8"/>
        <v>Desde (&gt;):</v>
      </c>
      <c r="K57" s="418">
        <f t="shared" si="1"/>
        <v>69</v>
      </c>
      <c r="L57" s="418" t="str">
        <f t="shared" si="9"/>
        <v>Hasta (&lt;):</v>
      </c>
      <c r="M57" s="418">
        <f t="shared" si="3"/>
        <v>90</v>
      </c>
      <c r="N57" s="418" t="str">
        <f t="shared" si="10"/>
        <v>Menor o Igual A:</v>
      </c>
      <c r="O57" s="419">
        <v>69</v>
      </c>
      <c r="P57" s="432">
        <f>+'08-G. DEL TALENTO HUMANO'!F16</f>
        <v>1</v>
      </c>
      <c r="Q57" s="432">
        <f>+'08-G. DEL TALENTO HUMANO'!G16</f>
        <v>1</v>
      </c>
      <c r="R57" s="436" t="str">
        <f>+'08-G. DEL TALENTO HUMANO'!O16</f>
        <v xml:space="preserve">
Dirección de Talento Humano
</v>
      </c>
    </row>
    <row r="58" spans="2:18" ht="79.2" customHeight="1">
      <c r="B58" s="413">
        <f t="shared" si="5"/>
        <v>54</v>
      </c>
      <c r="C58" s="424" t="s">
        <v>734</v>
      </c>
      <c r="D58" s="421" t="s">
        <v>833</v>
      </c>
      <c r="E58" s="430" t="str">
        <f>+'08-G. DEL TALENTO HUMANO'!I17</f>
        <v xml:space="preserve">Novedades incluidas en la nómina  oportunamente  </v>
      </c>
      <c r="F58" s="430" t="str">
        <f>+'08-G. DEL TALENTO HUMANO'!J17</f>
        <v xml:space="preserve"> N° de Novedades incluidas en la Nomina oportunamente / N° de novedades radicadas en los plazos establecidos</v>
      </c>
      <c r="G58" s="421" t="s">
        <v>760</v>
      </c>
      <c r="H58" s="416" t="s">
        <v>726</v>
      </c>
      <c r="I58" s="417">
        <v>97</v>
      </c>
      <c r="J58" s="418" t="str">
        <f t="shared" si="8"/>
        <v>Desde (&gt;):</v>
      </c>
      <c r="K58" s="418">
        <f t="shared" si="1"/>
        <v>84</v>
      </c>
      <c r="L58" s="418" t="str">
        <f t="shared" si="9"/>
        <v>Hasta (&lt;):</v>
      </c>
      <c r="M58" s="418">
        <f t="shared" si="3"/>
        <v>97</v>
      </c>
      <c r="N58" s="418" t="str">
        <f t="shared" si="10"/>
        <v>Menor o Igual A:</v>
      </c>
      <c r="O58" s="419">
        <v>84</v>
      </c>
      <c r="P58" s="432">
        <f>+'08-G. DEL TALENTO HUMANO'!F17</f>
        <v>0.97799999999999998</v>
      </c>
      <c r="Q58" s="432">
        <f>+'08-G. DEL TALENTO HUMANO'!G17</f>
        <v>0.98</v>
      </c>
      <c r="R58" s="436" t="str">
        <f>+'08-G. DEL TALENTO HUMANO'!O17</f>
        <v>Dependencia Líder: 
Dirección de Talento Humano
Dependencia Operativa:
Subdirección de Gestión del Talento Humano</v>
      </c>
    </row>
    <row r="59" spans="2:18" ht="66">
      <c r="B59" s="413">
        <f t="shared" si="5"/>
        <v>55</v>
      </c>
      <c r="C59" s="424" t="s">
        <v>734</v>
      </c>
      <c r="D59" s="421" t="s">
        <v>834</v>
      </c>
      <c r="E59" s="430" t="str">
        <f>+'08-G. DEL TALENTO HUMANO'!I18</f>
        <v>Porcentaje de Usuarios internos satisfechos con las solicitudes de los servicios atendidas de la SGTH (Certificaciones laborales, bonos pensionales y autorizaciones de retiro de cesantías)</v>
      </c>
      <c r="F59" s="430" t="str">
        <f>+'08-G. DEL TALENTO HUMANO'!J18</f>
        <v>N° de usuarios satisfechos con las solicitudes de servicios atendidas por la SGTH (Certificaciones laborales, bonos pensionales y autorizaciones de retiro de cesantías. / N° de usuarios encuestados *100</v>
      </c>
      <c r="G59" s="421" t="s">
        <v>768</v>
      </c>
      <c r="H59" s="416" t="s">
        <v>726</v>
      </c>
      <c r="I59" s="417">
        <v>90</v>
      </c>
      <c r="J59" s="418" t="str">
        <f t="shared" si="8"/>
        <v>Desde (&gt;):</v>
      </c>
      <c r="K59" s="418">
        <f t="shared" si="1"/>
        <v>79</v>
      </c>
      <c r="L59" s="418" t="str">
        <f t="shared" si="9"/>
        <v>Hasta (&lt;):</v>
      </c>
      <c r="M59" s="418">
        <f t="shared" si="3"/>
        <v>90</v>
      </c>
      <c r="N59" s="418" t="str">
        <f t="shared" si="10"/>
        <v>Menor o Igual A:</v>
      </c>
      <c r="O59" s="419">
        <v>79</v>
      </c>
      <c r="P59" s="432">
        <f>+'08-G. DEL TALENTO HUMANO'!F18</f>
        <v>0.94499999999999995</v>
      </c>
      <c r="Q59" s="432">
        <f>+'08-G. DEL TALENTO HUMANO'!G18</f>
        <v>0.96</v>
      </c>
      <c r="R59" s="436" t="str">
        <f>+'08-G. DEL TALENTO HUMANO'!O18</f>
        <v>Dependencia Líder: 
Dirección de Talento Humano
Dependencia Operativa:
Subdirección de Gestión del Talento Humano</v>
      </c>
    </row>
    <row r="60" spans="2:18" ht="62.4" customHeight="1">
      <c r="B60" s="413">
        <f t="shared" si="5"/>
        <v>56</v>
      </c>
      <c r="C60" s="424" t="s">
        <v>734</v>
      </c>
      <c r="D60" s="421" t="s">
        <v>835</v>
      </c>
      <c r="E60" s="430" t="str">
        <f>+'08-G. DEL TALENTO HUMANO'!I19</f>
        <v>Plan Institucional de Capacitación formulado y ejecutado</v>
      </c>
      <c r="F60" s="430" t="str">
        <f>+'08-G. DEL TALENTO HUMANO'!J19</f>
        <v>Grado de avance en la formulación y ejecución del Plan Institucional de Capacitación</v>
      </c>
      <c r="G60" s="421" t="s">
        <v>760</v>
      </c>
      <c r="H60" s="416" t="s">
        <v>726</v>
      </c>
      <c r="I60" s="417">
        <v>90</v>
      </c>
      <c r="J60" s="418" t="str">
        <f t="shared" si="8"/>
        <v>Desde (&gt;):</v>
      </c>
      <c r="K60" s="418">
        <f t="shared" si="1"/>
        <v>69</v>
      </c>
      <c r="L60" s="418" t="str">
        <f t="shared" si="9"/>
        <v>Hasta (&lt;):</v>
      </c>
      <c r="M60" s="418">
        <f t="shared" si="3"/>
        <v>90</v>
      </c>
      <c r="N60" s="418" t="str">
        <f t="shared" si="10"/>
        <v>Menor o Igual A:</v>
      </c>
      <c r="O60" s="419">
        <v>69</v>
      </c>
      <c r="P60" s="432">
        <f>+'08-G. DEL TALENTO HUMANO'!F19</f>
        <v>1</v>
      </c>
      <c r="Q60" s="432">
        <f>+'08-G. DEL TALENTO HUMANO'!G19</f>
        <v>1</v>
      </c>
      <c r="R60" s="436" t="str">
        <f>+'08-G. DEL TALENTO HUMANO'!O19</f>
        <v>Dependencia Líder: 
Dirección de Talento Humano
Dependencia Operativa:
Subdirección de Desarrollo del Talento Humano</v>
      </c>
    </row>
    <row r="61" spans="2:18" ht="63" customHeight="1">
      <c r="B61" s="413">
        <f t="shared" si="5"/>
        <v>57</v>
      </c>
      <c r="C61" s="424" t="s">
        <v>734</v>
      </c>
      <c r="D61" s="421" t="s">
        <v>836</v>
      </c>
      <c r="E61" s="430" t="str">
        <f>+'08-G. DEL TALENTO HUMANO'!I20</f>
        <v>Plan Institucional de Bienestar formulado y ejecutado</v>
      </c>
      <c r="F61" s="430" t="str">
        <f>+'08-G. DEL TALENTO HUMANO'!J20</f>
        <v>Grado de avance en la formulación y ejecución del Plan Institucional de Bienestar</v>
      </c>
      <c r="G61" s="421" t="s">
        <v>760</v>
      </c>
      <c r="H61" s="416" t="s">
        <v>726</v>
      </c>
      <c r="I61" s="417">
        <v>90</v>
      </c>
      <c r="J61" s="418" t="str">
        <f t="shared" si="8"/>
        <v>Desde (&gt;):</v>
      </c>
      <c r="K61" s="418">
        <f t="shared" si="1"/>
        <v>69</v>
      </c>
      <c r="L61" s="418" t="str">
        <f t="shared" si="9"/>
        <v>Hasta (&lt;):</v>
      </c>
      <c r="M61" s="418">
        <f t="shared" si="3"/>
        <v>90</v>
      </c>
      <c r="N61" s="418" t="str">
        <f t="shared" si="10"/>
        <v>Menor o Igual A:</v>
      </c>
      <c r="O61" s="419">
        <v>69</v>
      </c>
      <c r="P61" s="432">
        <f>+'08-G. DEL TALENTO HUMANO'!F20</f>
        <v>1</v>
      </c>
      <c r="Q61" s="432">
        <f>+'08-G. DEL TALENTO HUMANO'!G20</f>
        <v>1</v>
      </c>
      <c r="R61" s="436" t="str">
        <f>+'08-G. DEL TALENTO HUMANO'!O20</f>
        <v>Dependencia Líder: 
Dirección de Talento Humano
Dependencia Operativa:
Subdirección de Desarrollo del Talento Humano</v>
      </c>
    </row>
    <row r="62" spans="2:18" ht="57">
      <c r="B62" s="413">
        <f t="shared" si="5"/>
        <v>58</v>
      </c>
      <c r="C62" s="424" t="s">
        <v>734</v>
      </c>
      <c r="D62" s="421" t="s">
        <v>837</v>
      </c>
      <c r="E62" s="430" t="str">
        <f>+'08-G. DEL TALENTO HUMANO'!I21</f>
        <v>Plan Institucional de Incentivos formulado y ejecutado</v>
      </c>
      <c r="F62" s="430" t="str">
        <f>+'08-G. DEL TALENTO HUMANO'!J21</f>
        <v>Grado de avance en la formulación y ejecución del Plan Institucional de Incentivos</v>
      </c>
      <c r="G62" s="421" t="s">
        <v>760</v>
      </c>
      <c r="H62" s="416" t="s">
        <v>726</v>
      </c>
      <c r="I62" s="417">
        <v>90</v>
      </c>
      <c r="J62" s="418" t="str">
        <f t="shared" si="8"/>
        <v>Desde (&gt;):</v>
      </c>
      <c r="K62" s="418">
        <f t="shared" si="1"/>
        <v>69</v>
      </c>
      <c r="L62" s="418" t="str">
        <f t="shared" si="9"/>
        <v>Hasta (&lt;):</v>
      </c>
      <c r="M62" s="418">
        <f t="shared" si="3"/>
        <v>90</v>
      </c>
      <c r="N62" s="418" t="str">
        <f t="shared" si="10"/>
        <v>Menor o Igual A:</v>
      </c>
      <c r="O62" s="419">
        <v>69</v>
      </c>
      <c r="P62" s="432">
        <f>+'08-G. DEL TALENTO HUMANO'!F21</f>
        <v>1</v>
      </c>
      <c r="Q62" s="432">
        <f>+'08-G. DEL TALENTO HUMANO'!G21</f>
        <v>1</v>
      </c>
      <c r="R62" s="436" t="str">
        <f>+'08-G. DEL TALENTO HUMANO'!O21</f>
        <v>Dependencia Líder: 
Dirección de Talento Humano
Dependencia Operativa:
Subdirección de Desarrollo del Talento Humano</v>
      </c>
    </row>
    <row r="63" spans="2:18" ht="57">
      <c r="B63" s="413">
        <f t="shared" si="5"/>
        <v>59</v>
      </c>
      <c r="C63" s="424" t="s">
        <v>734</v>
      </c>
      <c r="D63" s="421" t="s">
        <v>838</v>
      </c>
      <c r="E63" s="430" t="str">
        <f>+'08-G. DEL TALENTO HUMANO'!I22</f>
        <v>Plan Anual de Trabajo del Sistema de Gestión de Seguridad y Salud en el Trabajo SG-SST diseñado y ejecutado</v>
      </c>
      <c r="F63" s="430" t="str">
        <f>+'08-G. DEL TALENTO HUMANO'!J22</f>
        <v>Grado de avance en la formulación y ejecución del Plan Anual de Trabajo del SG-SST</v>
      </c>
      <c r="G63" s="421" t="s">
        <v>760</v>
      </c>
      <c r="H63" s="416" t="s">
        <v>726</v>
      </c>
      <c r="I63" s="417">
        <v>90</v>
      </c>
      <c r="J63" s="418" t="str">
        <f t="shared" si="8"/>
        <v>Desde (&gt;):</v>
      </c>
      <c r="K63" s="418">
        <f t="shared" si="1"/>
        <v>69</v>
      </c>
      <c r="L63" s="418" t="str">
        <f t="shared" si="9"/>
        <v>Hasta (&lt;):</v>
      </c>
      <c r="M63" s="418">
        <f t="shared" si="3"/>
        <v>90</v>
      </c>
      <c r="N63" s="418" t="str">
        <f t="shared" si="10"/>
        <v>Menor o Igual A:</v>
      </c>
      <c r="O63" s="419">
        <v>69</v>
      </c>
      <c r="P63" s="432">
        <f>+'08-G. DEL TALENTO HUMANO'!F22</f>
        <v>1</v>
      </c>
      <c r="Q63" s="432">
        <f>+'08-G. DEL TALENTO HUMANO'!G22</f>
        <v>1</v>
      </c>
      <c r="R63" s="436" t="str">
        <f>+'08-G. DEL TALENTO HUMANO'!O22</f>
        <v>Dependencia Líder: 
Dirección de Talento Humano
Dependencia Operativa:
Subdirección de Desarrollo del Talento Humano</v>
      </c>
    </row>
    <row r="64" spans="2:18" ht="52.8">
      <c r="B64" s="413">
        <f t="shared" si="5"/>
        <v>60</v>
      </c>
      <c r="C64" s="424" t="s">
        <v>734</v>
      </c>
      <c r="D64" s="421" t="s">
        <v>839</v>
      </c>
      <c r="E64" s="430" t="str">
        <f>+'08-G. DEL TALENTO HUMANO'!I23</f>
        <v>Capacitaciones realizadas sobre los Sistemas de Gestión y Evaluación del Desempeño Laboral de la Personería de Bogotá, D.C.</v>
      </c>
      <c r="F64" s="430" t="str">
        <f>+'08-G. DEL TALENTO HUMANO'!J23</f>
        <v>Número de capacitacionese realizadas sobre los Sistemas de Gestión y Evaluación del Desempeño Laboral de la Personería de Bogotá, D.C.</v>
      </c>
      <c r="G64" s="421" t="s">
        <v>760</v>
      </c>
      <c r="H64" s="416" t="s">
        <v>731</v>
      </c>
      <c r="I64" s="417">
        <v>100</v>
      </c>
      <c r="J64" s="418" t="str">
        <f t="shared" si="8"/>
        <v>Desde (&gt;=):</v>
      </c>
      <c r="K64" s="418">
        <f t="shared" si="1"/>
        <v>90</v>
      </c>
      <c r="L64" s="418" t="str">
        <f t="shared" si="9"/>
        <v>Hasta (&lt;=):</v>
      </c>
      <c r="M64" s="418">
        <f t="shared" si="3"/>
        <v>100</v>
      </c>
      <c r="N64" s="418" t="str">
        <f t="shared" si="10"/>
        <v>Menor A:</v>
      </c>
      <c r="O64" s="419">
        <v>90</v>
      </c>
      <c r="P64" s="431">
        <f>+'08-G. DEL TALENTO HUMANO'!F23</f>
        <v>21</v>
      </c>
      <c r="Q64" s="431">
        <f>+'08-G. DEL TALENTO HUMANO'!G23</f>
        <v>4</v>
      </c>
      <c r="R64" s="436" t="str">
        <f>+'08-G. DEL TALENTO HUMANO'!O23</f>
        <v>Dirección de Talento Humano</v>
      </c>
    </row>
    <row r="65" spans="2:18" ht="34.200000000000003" customHeight="1">
      <c r="B65" s="413">
        <f t="shared" si="5"/>
        <v>61</v>
      </c>
      <c r="C65" s="423" t="s">
        <v>735</v>
      </c>
      <c r="D65" s="421" t="s">
        <v>840</v>
      </c>
      <c r="E65" s="430" t="str">
        <f>+'09-G.  ADMINISTRATIVA'!I16</f>
        <v>Porcentaje de servicios atendidos</v>
      </c>
      <c r="F65" s="430" t="str">
        <f>+'09-G.  ADMINISTRATIVA'!J16</f>
        <v>No. Servicios realizados /Total de servicios solicitados *100</v>
      </c>
      <c r="G65" s="421" t="s">
        <v>760</v>
      </c>
      <c r="H65" s="416" t="s">
        <v>731</v>
      </c>
      <c r="I65" s="417">
        <v>97</v>
      </c>
      <c r="J65" s="418" t="str">
        <f t="shared" si="8"/>
        <v>Desde (&gt;=):</v>
      </c>
      <c r="K65" s="418">
        <f t="shared" ref="K65:K106" si="11">IF(I65&gt;O65,O65,
IF(I65&lt;O65,I65,
IF(I65=O65,"No Aplica","")))</f>
        <v>93</v>
      </c>
      <c r="L65" s="418" t="str">
        <f t="shared" si="9"/>
        <v>Hasta (&lt;=):</v>
      </c>
      <c r="M65" s="418">
        <f t="shared" ref="M65:M106" si="12">IF(I65&gt;O65,I65,
IF(I65&lt;O65,O65,
IF(I65=O65,"No Aplica","")))</f>
        <v>97</v>
      </c>
      <c r="N65" s="418" t="str">
        <f t="shared" si="10"/>
        <v>Menor A:</v>
      </c>
      <c r="O65" s="419">
        <v>93</v>
      </c>
      <c r="P65" s="432">
        <f>+'09-G.  ADMINISTRATIVA'!G16</f>
        <v>1</v>
      </c>
      <c r="Q65" s="432">
        <f>+'09-G.  ADMINISTRATIVA'!G16</f>
        <v>1</v>
      </c>
      <c r="R65" s="436" t="str">
        <f>+'09-G.  ADMINISTRATIVA'!O16</f>
        <v>Subdirección de Gestión Documental y Recursos Físicos
Dirección Administrativa y Financiera</v>
      </c>
    </row>
    <row r="66" spans="2:18" ht="39.6">
      <c r="B66" s="413">
        <f t="shared" si="5"/>
        <v>62</v>
      </c>
      <c r="C66" s="423" t="s">
        <v>735</v>
      </c>
      <c r="D66" s="421" t="s">
        <v>842</v>
      </c>
      <c r="E66" s="430" t="str">
        <f>+'09-G.  ADMINISTRATIVA'!I17</f>
        <v>Porcentaje de actividades del PESV ejecutadas</v>
      </c>
      <c r="F66" s="430" t="str">
        <f>+'09-G.  ADMINISTRATIVA'!J17</f>
        <v>N° de actividades ejecutadas en el periodo/N° de actividades programadas en el PESV para la vigencia*100</v>
      </c>
      <c r="G66" s="421" t="s">
        <v>760</v>
      </c>
      <c r="H66" s="416" t="s">
        <v>731</v>
      </c>
      <c r="I66" s="417">
        <v>97</v>
      </c>
      <c r="J66" s="418" t="str">
        <f t="shared" si="8"/>
        <v>Desde (&gt;=):</v>
      </c>
      <c r="K66" s="418">
        <f t="shared" si="11"/>
        <v>93</v>
      </c>
      <c r="L66" s="418" t="str">
        <f t="shared" si="9"/>
        <v>Hasta (&lt;=):</v>
      </c>
      <c r="M66" s="418">
        <f t="shared" si="12"/>
        <v>97</v>
      </c>
      <c r="N66" s="418" t="str">
        <f t="shared" si="10"/>
        <v>Menor A:</v>
      </c>
      <c r="O66" s="419">
        <v>93</v>
      </c>
      <c r="P66" s="432">
        <f>+'09-G.  ADMINISTRATIVA'!G17</f>
        <v>0.97</v>
      </c>
      <c r="Q66" s="432">
        <f>+'09-G.  ADMINISTRATIVA'!G17</f>
        <v>0.97</v>
      </c>
      <c r="R66" s="436" t="str">
        <f>+'09-G.  ADMINISTRATIVA'!O17</f>
        <v>Subdirección de Gestión Documental y Recursos Físicos
Dirección Administrativa y Financiera</v>
      </c>
    </row>
    <row r="67" spans="2:18" ht="26.4">
      <c r="B67" s="413">
        <f t="shared" si="5"/>
        <v>63</v>
      </c>
      <c r="C67" s="424" t="s">
        <v>736</v>
      </c>
      <c r="D67" s="421" t="s">
        <v>841</v>
      </c>
      <c r="E67" s="430" t="str">
        <f>+'10-GESTIÓN FINANCIERA'!I16</f>
        <v>Porcentaje del presupuesto aprobado y ejecutado.</v>
      </c>
      <c r="F67" s="430" t="str">
        <f>+'10-GESTIÓN FINANCIERA'!J16</f>
        <v>Valor de ejecución de presupuesto / Valor del presupuesto aprobado</v>
      </c>
      <c r="G67" s="421" t="s">
        <v>760</v>
      </c>
      <c r="H67" s="416" t="s">
        <v>726</v>
      </c>
      <c r="I67" s="417">
        <v>95</v>
      </c>
      <c r="J67" s="418" t="str">
        <f t="shared" ref="J67:J106" si="13">IF(OR($H67="Mayor A:",$H67="Menor A:"),"Desde (&gt;=):",
IF(OR($H67="Mayor o Igual A:",$H67="Menor o Igual A:"),"Desde (&gt;):",
IF($H67="Igual A:","No Aplica",
IF($H67="",""))))</f>
        <v>Desde (&gt;):</v>
      </c>
      <c r="K67" s="418">
        <f t="shared" si="11"/>
        <v>90</v>
      </c>
      <c r="L67" s="418" t="str">
        <f t="shared" ref="L67:L106" si="14">IF(OR($H67="Mayor A:",$H67="Menor A:"),"Hasta (&lt;=):",
IF(OR($H67="Mayor o Igual A:",$H67="Menor o Igual A:"),"Hasta (&lt;):",
IF($H67="Igual A:","No Aplica",
IF($H67="",""))))</f>
        <v>Hasta (&lt;):</v>
      </c>
      <c r="M67" s="418">
        <f t="shared" si="12"/>
        <v>95</v>
      </c>
      <c r="N67" s="418" t="str">
        <f t="shared" ref="N67:N106" si="15">IF($H67="Mayor A:","Menor A:",
IF($H67="Menor A:","Mayor A:",
IF($H67="Mayor o Igual A:","Menor o Igual A:",
IF($H67="Menor o Igual A:","Mayor o Igual A:",
IF($H67="Igual A:","Igual A:",
IF($H67="",""))))))</f>
        <v>Menor o Igual A:</v>
      </c>
      <c r="O67" s="419">
        <v>90</v>
      </c>
      <c r="P67" s="432">
        <f>+'10-GESTIÓN FINANCIERA'!F16</f>
        <v>0.95</v>
      </c>
      <c r="Q67" s="432">
        <f>+'10-GESTIÓN FINANCIERA'!G16</f>
        <v>0.95</v>
      </c>
      <c r="R67" s="436" t="str">
        <f>+'10-GESTIÓN FINANCIERA'!O16</f>
        <v>Subdirección de Gestión Financiera
Dirección Administrativa y Financiera</v>
      </c>
    </row>
    <row r="68" spans="2:18" ht="26.4">
      <c r="B68" s="413">
        <f t="shared" si="5"/>
        <v>64</v>
      </c>
      <c r="C68" s="424" t="s">
        <v>736</v>
      </c>
      <c r="D68" s="421" t="s">
        <v>843</v>
      </c>
      <c r="E68" s="430" t="str">
        <f>+'10-GESTIÓN FINANCIERA'!I17</f>
        <v>Porcentaje de los compromisos de pago programados y ejecutados.</v>
      </c>
      <c r="F68" s="430" t="str">
        <f>+'10-GESTIÓN FINANCIERA'!J17</f>
        <v>Valor de pagos realizados / Valor del presupuesto ejecutado</v>
      </c>
      <c r="G68" s="421" t="s">
        <v>760</v>
      </c>
      <c r="H68" s="416" t="s">
        <v>726</v>
      </c>
      <c r="I68" s="417">
        <v>95</v>
      </c>
      <c r="J68" s="418" t="str">
        <f t="shared" si="13"/>
        <v>Desde (&gt;):</v>
      </c>
      <c r="K68" s="418">
        <f t="shared" si="11"/>
        <v>90</v>
      </c>
      <c r="L68" s="418" t="str">
        <f t="shared" si="14"/>
        <v>Hasta (&lt;):</v>
      </c>
      <c r="M68" s="418">
        <f t="shared" si="12"/>
        <v>95</v>
      </c>
      <c r="N68" s="418" t="str">
        <f t="shared" si="15"/>
        <v>Menor o Igual A:</v>
      </c>
      <c r="O68" s="419">
        <v>90</v>
      </c>
      <c r="P68" s="432">
        <f>+'10-GESTIÓN FINANCIERA'!F17</f>
        <v>0.95</v>
      </c>
      <c r="Q68" s="432">
        <f>+'10-GESTIÓN FINANCIERA'!G17</f>
        <v>0.95</v>
      </c>
      <c r="R68" s="436" t="str">
        <f>+'10-GESTIÓN FINANCIERA'!O17</f>
        <v>Subdirección de Gestión Financiera
Dirección Administrativa y Financiera</v>
      </c>
    </row>
    <row r="69" spans="2:18" ht="26.4">
      <c r="B69" s="413">
        <f t="shared" si="5"/>
        <v>65</v>
      </c>
      <c r="C69" s="424" t="s">
        <v>736</v>
      </c>
      <c r="D69" s="421" t="s">
        <v>844</v>
      </c>
      <c r="E69" s="430" t="str">
        <f>+'10-GESTIÓN FINANCIERA'!I18</f>
        <v>Porcentaje de estados financieros de la Entidad elaborados y presentados.</v>
      </c>
      <c r="F69" s="430" t="str">
        <f>+'10-GESTIÓN FINANCIERA'!J18</f>
        <v>Estados Financieros presentados</v>
      </c>
      <c r="G69" s="421" t="s">
        <v>760</v>
      </c>
      <c r="H69" s="416" t="s">
        <v>726</v>
      </c>
      <c r="I69" s="417">
        <v>100</v>
      </c>
      <c r="J69" s="418" t="str">
        <f t="shared" si="13"/>
        <v>Desde (&gt;):</v>
      </c>
      <c r="K69" s="418">
        <f t="shared" si="11"/>
        <v>95</v>
      </c>
      <c r="L69" s="418" t="str">
        <f t="shared" si="14"/>
        <v>Hasta (&lt;):</v>
      </c>
      <c r="M69" s="418">
        <f t="shared" si="12"/>
        <v>100</v>
      </c>
      <c r="N69" s="418" t="str">
        <f t="shared" si="15"/>
        <v>Menor o Igual A:</v>
      </c>
      <c r="O69" s="419">
        <v>95</v>
      </c>
      <c r="P69" s="432">
        <f>+'10-GESTIÓN FINANCIERA'!F18</f>
        <v>1</v>
      </c>
      <c r="Q69" s="432">
        <f>+'10-GESTIÓN FINANCIERA'!G18</f>
        <v>1</v>
      </c>
      <c r="R69" s="436" t="str">
        <f>+'10-GESTIÓN FINANCIERA'!O18</f>
        <v>Subdirección de Gestión Financiera
Dirección Administrativa y Financiera</v>
      </c>
    </row>
    <row r="70" spans="2:18" ht="26.4">
      <c r="B70" s="413">
        <f t="shared" si="5"/>
        <v>66</v>
      </c>
      <c r="C70" s="423" t="s">
        <v>737</v>
      </c>
      <c r="D70" s="421" t="s">
        <v>831</v>
      </c>
      <c r="E70" s="430" t="str">
        <f>+'11-GESTIÓN CONTRACTUAL'!I16</f>
        <v xml:space="preserve">Porcentaje del Plan Anual de Adquisiciones ejecutado </v>
      </c>
      <c r="F70" s="430" t="str">
        <f>+'11-GESTIÓN CONTRACTUAL'!J16</f>
        <v>No. de adquisiciones realizadas /Total de adquisiciones planeadas *100</v>
      </c>
      <c r="G70" s="421" t="s">
        <v>760</v>
      </c>
      <c r="H70" s="416" t="s">
        <v>726</v>
      </c>
      <c r="I70" s="417">
        <v>95</v>
      </c>
      <c r="J70" s="418" t="str">
        <f t="shared" si="13"/>
        <v>Desde (&gt;):</v>
      </c>
      <c r="K70" s="418">
        <f t="shared" si="11"/>
        <v>90</v>
      </c>
      <c r="L70" s="418" t="str">
        <f t="shared" si="14"/>
        <v>Hasta (&lt;):</v>
      </c>
      <c r="M70" s="418">
        <f t="shared" si="12"/>
        <v>95</v>
      </c>
      <c r="N70" s="418" t="str">
        <f t="shared" si="15"/>
        <v>Menor o Igual A:</v>
      </c>
      <c r="O70" s="419">
        <v>90</v>
      </c>
      <c r="P70" s="432">
        <f>+'11-GESTIÓN CONTRACTUAL'!F16</f>
        <v>0.95</v>
      </c>
      <c r="Q70" s="432">
        <f>+'11-GESTIÓN CONTRACTUAL'!G16</f>
        <v>0.95</v>
      </c>
      <c r="R70" s="436" t="str">
        <f>+'11-GESTIÓN CONTRACTUAL'!O16</f>
        <v>Subdirección de Gestión Contractual
Dirección Administrativa y Financiera</v>
      </c>
    </row>
    <row r="71" spans="2:18" ht="52.8">
      <c r="B71" s="413">
        <f t="shared" si="5"/>
        <v>67</v>
      </c>
      <c r="C71" s="423" t="s">
        <v>737</v>
      </c>
      <c r="D71" s="421" t="s">
        <v>921</v>
      </c>
      <c r="E71" s="430" t="s">
        <v>911</v>
      </c>
      <c r="F71" s="430" t="s">
        <v>914</v>
      </c>
      <c r="G71" s="421" t="s">
        <v>764</v>
      </c>
      <c r="H71" s="416" t="s">
        <v>726</v>
      </c>
      <c r="I71" s="417">
        <v>95</v>
      </c>
      <c r="J71" s="418" t="str">
        <f t="shared" si="13"/>
        <v>Desde (&gt;):</v>
      </c>
      <c r="K71" s="418">
        <f t="shared" si="11"/>
        <v>80</v>
      </c>
      <c r="L71" s="418" t="str">
        <f t="shared" si="14"/>
        <v>Hasta (&lt;):</v>
      </c>
      <c r="M71" s="418">
        <f t="shared" si="12"/>
        <v>95</v>
      </c>
      <c r="N71" s="418" t="str">
        <f t="shared" si="15"/>
        <v>Menor o Igual A:</v>
      </c>
      <c r="O71" s="419">
        <v>80</v>
      </c>
      <c r="P71" s="432">
        <f>+'11-GESTIÓN CONTRACTUAL'!F17</f>
        <v>0.95</v>
      </c>
      <c r="Q71" s="432">
        <f>+'11-GESTIÓN CONTRACTUAL'!G17</f>
        <v>0.8</v>
      </c>
      <c r="R71" s="436" t="str">
        <f>+'11-GESTIÓN CONTRACTUAL'!O17</f>
        <v>Subdirección de Gestión Contractual</v>
      </c>
    </row>
    <row r="72" spans="2:18" ht="92.4">
      <c r="B72" s="413">
        <f t="shared" ref="B72" si="16">1+B71</f>
        <v>68</v>
      </c>
      <c r="C72" s="423" t="s">
        <v>737</v>
      </c>
      <c r="D72" s="421" t="s">
        <v>922</v>
      </c>
      <c r="E72" s="430" t="s">
        <v>912</v>
      </c>
      <c r="F72" s="430" t="s">
        <v>920</v>
      </c>
      <c r="G72" s="421" t="s">
        <v>764</v>
      </c>
      <c r="H72" s="416" t="s">
        <v>726</v>
      </c>
      <c r="I72" s="417">
        <v>95</v>
      </c>
      <c r="J72" s="418" t="str">
        <f t="shared" si="13"/>
        <v>Desde (&gt;):</v>
      </c>
      <c r="K72" s="418">
        <f t="shared" si="11"/>
        <v>80</v>
      </c>
      <c r="L72" s="418" t="str">
        <f t="shared" si="14"/>
        <v>Hasta (&lt;):</v>
      </c>
      <c r="M72" s="418">
        <f t="shared" si="12"/>
        <v>95</v>
      </c>
      <c r="N72" s="418" t="str">
        <f t="shared" si="15"/>
        <v>Menor o Igual A:</v>
      </c>
      <c r="O72" s="419">
        <v>80</v>
      </c>
      <c r="P72" s="432">
        <f>+'11-GESTIÓN CONTRACTUAL'!F18</f>
        <v>0.95</v>
      </c>
      <c r="Q72" s="432">
        <f>+'11-GESTIÓN CONTRACTUAL'!G18</f>
        <v>0.8</v>
      </c>
      <c r="R72" s="436" t="str">
        <f>+'11-GESTIÓN CONTRACTUAL'!O18</f>
        <v>Subdirección de Gestión Contractual</v>
      </c>
    </row>
    <row r="73" spans="2:18" ht="92.4">
      <c r="B73" s="413">
        <f t="shared" si="5"/>
        <v>69</v>
      </c>
      <c r="C73" s="423" t="s">
        <v>737</v>
      </c>
      <c r="D73" s="421" t="s">
        <v>923</v>
      </c>
      <c r="E73" s="430" t="s">
        <v>913</v>
      </c>
      <c r="F73" s="430" t="s">
        <v>919</v>
      </c>
      <c r="G73" s="421" t="s">
        <v>764</v>
      </c>
      <c r="H73" s="416" t="s">
        <v>726</v>
      </c>
      <c r="I73" s="417">
        <v>95</v>
      </c>
      <c r="J73" s="418" t="str">
        <f t="shared" si="13"/>
        <v>Desde (&gt;):</v>
      </c>
      <c r="K73" s="418">
        <f t="shared" si="11"/>
        <v>80</v>
      </c>
      <c r="L73" s="418" t="str">
        <f t="shared" si="14"/>
        <v>Hasta (&lt;):</v>
      </c>
      <c r="M73" s="418">
        <f t="shared" si="12"/>
        <v>95</v>
      </c>
      <c r="N73" s="418" t="str">
        <f t="shared" si="15"/>
        <v>Menor o Igual A:</v>
      </c>
      <c r="O73" s="419">
        <v>80</v>
      </c>
      <c r="P73" s="432">
        <f>+'11-GESTIÓN CONTRACTUAL'!F19</f>
        <v>0.95</v>
      </c>
      <c r="Q73" s="432">
        <f>+'11-GESTIÓN CONTRACTUAL'!G19</f>
        <v>0.8</v>
      </c>
      <c r="R73" s="436" t="str">
        <f>+'11-GESTIÓN CONTRACTUAL'!O19</f>
        <v>Subdirección de Gestión Contractual</v>
      </c>
    </row>
    <row r="74" spans="2:18" ht="58.2" customHeight="1">
      <c r="B74" s="413">
        <f t="shared" ref="B74" si="17">1+B73</f>
        <v>70</v>
      </c>
      <c r="C74" s="424" t="s">
        <v>738</v>
      </c>
      <c r="D74" s="421" t="s">
        <v>832</v>
      </c>
      <c r="E74" s="430" t="str">
        <f>+'12-GESTIÓN DOCUMENTAL'!I16</f>
        <v>Porcentaje de Comunicaciones oficiales con reparto realizado dentro de los 3 días hábiles desde su radicación</v>
      </c>
      <c r="F74" s="430" t="str">
        <f>+'12-GESTIÓN DOCUMENTAL'!J16</f>
        <v>No comunicaciones entregadas a las dependencias internas dentro de los 3 días hábiles de su recepción / Numero de comunicaciones recibidas en el Grupo de Correspondencia</v>
      </c>
      <c r="G74" s="421" t="s">
        <v>764</v>
      </c>
      <c r="H74" s="416" t="s">
        <v>731</v>
      </c>
      <c r="I74" s="417">
        <v>95</v>
      </c>
      <c r="J74" s="418" t="str">
        <f t="shared" si="13"/>
        <v>Desde (&gt;=):</v>
      </c>
      <c r="K74" s="418">
        <f t="shared" si="11"/>
        <v>90</v>
      </c>
      <c r="L74" s="418" t="str">
        <f t="shared" si="14"/>
        <v>Hasta (&lt;=):</v>
      </c>
      <c r="M74" s="418">
        <f t="shared" si="12"/>
        <v>95</v>
      </c>
      <c r="N74" s="418" t="str">
        <f t="shared" si="15"/>
        <v>Menor A:</v>
      </c>
      <c r="O74" s="419">
        <v>90</v>
      </c>
      <c r="P74" s="432">
        <f>+'12-GESTIÓN DOCUMENTAL'!F16</f>
        <v>0.95</v>
      </c>
      <c r="Q74" s="432">
        <f>+'12-GESTIÓN DOCUMENTAL'!G16</f>
        <v>0.95</v>
      </c>
      <c r="R74" s="436" t="str">
        <f>+'12-GESTIÓN DOCUMENTAL'!O16</f>
        <v>Subdirección de Gestión Documental y Recursos Físicos - Grupo de Correspondencia</v>
      </c>
    </row>
    <row r="75" spans="2:18" ht="54" customHeight="1">
      <c r="B75" s="413">
        <f t="shared" ref="B75:B91" si="18">1+B74</f>
        <v>71</v>
      </c>
      <c r="C75" s="424" t="s">
        <v>738</v>
      </c>
      <c r="D75" s="421" t="s">
        <v>847</v>
      </c>
      <c r="E75" s="430" t="str">
        <f>+'12-GESTIÓN DOCUMENTAL'!I17</f>
        <v>Porcentaje de documentación incorporada en el archivo central durante la vigencia.</v>
      </c>
      <c r="F75" s="430" t="str">
        <f>+'12-GESTIÓN DOCUMENTAL'!J17</f>
        <v xml:space="preserve">Metros lineales incorporados al archivo central/ Metros lineales recibidos para incorporar al archivo central que cumplen los requisitos </v>
      </c>
      <c r="G75" s="421" t="s">
        <v>760</v>
      </c>
      <c r="H75" s="416" t="s">
        <v>731</v>
      </c>
      <c r="I75" s="417">
        <v>100</v>
      </c>
      <c r="J75" s="418" t="str">
        <f t="shared" si="13"/>
        <v>Desde (&gt;=):</v>
      </c>
      <c r="K75" s="418">
        <f t="shared" si="11"/>
        <v>93</v>
      </c>
      <c r="L75" s="418" t="str">
        <f t="shared" si="14"/>
        <v>Hasta (&lt;=):</v>
      </c>
      <c r="M75" s="418">
        <f t="shared" si="12"/>
        <v>100</v>
      </c>
      <c r="N75" s="418" t="str">
        <f t="shared" si="15"/>
        <v>Menor A:</v>
      </c>
      <c r="O75" s="419">
        <v>93</v>
      </c>
      <c r="P75" s="432">
        <f>+'12-GESTIÓN DOCUMENTAL'!F17</f>
        <v>0.8</v>
      </c>
      <c r="Q75" s="432">
        <f>+'12-GESTIÓN DOCUMENTAL'!G17</f>
        <v>0.8</v>
      </c>
      <c r="R75" s="436" t="str">
        <f>+'12-GESTIÓN DOCUMENTAL'!O17</f>
        <v>Subdirección de Gestión Documental y Recursos Físicos - Archivo central</v>
      </c>
    </row>
    <row r="76" spans="2:18" ht="52.8">
      <c r="B76" s="413">
        <f t="shared" si="18"/>
        <v>72</v>
      </c>
      <c r="C76" s="424" t="s">
        <v>738</v>
      </c>
      <c r="D76" s="421" t="s">
        <v>848</v>
      </c>
      <c r="E76" s="430" t="str">
        <f>+'12-GESTIÓN DOCUMENTAL'!I18</f>
        <v>Cantidad de actividades realizadas por año para el diseño, actualización o ajuste de los instrumentos archivísticos establecidos por norma</v>
      </c>
      <c r="F76" s="430" t="str">
        <f>+'12-GESTIÓN DOCUMENTAL'!J18</f>
        <v>Cantidad de actividades de diseño, actualización o ajuste de los instrumentos archivisticos establecidos por norma.</v>
      </c>
      <c r="G76" s="421" t="s">
        <v>760</v>
      </c>
      <c r="H76" s="416" t="s">
        <v>726</v>
      </c>
      <c r="I76" s="417">
        <v>100</v>
      </c>
      <c r="J76" s="418" t="str">
        <f t="shared" si="13"/>
        <v>Desde (&gt;):</v>
      </c>
      <c r="K76" s="418">
        <f t="shared" si="11"/>
        <v>80</v>
      </c>
      <c r="L76" s="418" t="str">
        <f t="shared" si="14"/>
        <v>Hasta (&lt;):</v>
      </c>
      <c r="M76" s="418">
        <f t="shared" si="12"/>
        <v>100</v>
      </c>
      <c r="N76" s="418" t="str">
        <f t="shared" si="15"/>
        <v>Menor o Igual A:</v>
      </c>
      <c r="O76" s="419">
        <v>80</v>
      </c>
      <c r="P76" s="438">
        <f>+'12-GESTIÓN DOCUMENTAL'!F18</f>
        <v>100</v>
      </c>
      <c r="Q76" s="438">
        <f>+'12-GESTIÓN DOCUMENTAL'!G18</f>
        <v>25</v>
      </c>
      <c r="R76" s="436" t="str">
        <f>+'12-GESTIÓN DOCUMENTAL'!O18</f>
        <v xml:space="preserve">Subdirección de Gestión Documental y Recursos Físicos </v>
      </c>
    </row>
    <row r="77" spans="2:18" ht="52.8">
      <c r="B77" s="413">
        <f t="shared" si="18"/>
        <v>73</v>
      </c>
      <c r="C77" s="424" t="s">
        <v>738</v>
      </c>
      <c r="D77" s="421" t="s">
        <v>849</v>
      </c>
      <c r="E77" s="430" t="str">
        <f>+'12-GESTIÓN DOCUMENTAL'!I19</f>
        <v>Cantidad de actividades realizadas por año para implementación de los instrumentos archivísticos establecidos por norma, y de herramientas de apoyo a la gestión documental.</v>
      </c>
      <c r="F77" s="430" t="str">
        <f>+'12-GESTIÓN DOCUMENTAL'!J19</f>
        <v>Cantidad de actividades de implementación de los instrumentos archivisticos establecidos por norma.</v>
      </c>
      <c r="G77" s="421" t="s">
        <v>760</v>
      </c>
      <c r="H77" s="416" t="s">
        <v>726</v>
      </c>
      <c r="I77" s="417">
        <v>100</v>
      </c>
      <c r="J77" s="418" t="str">
        <f t="shared" si="13"/>
        <v>Desde (&gt;):</v>
      </c>
      <c r="K77" s="418">
        <f t="shared" si="11"/>
        <v>80</v>
      </c>
      <c r="L77" s="418" t="str">
        <f t="shared" si="14"/>
        <v>Hasta (&lt;):</v>
      </c>
      <c r="M77" s="418">
        <f t="shared" si="12"/>
        <v>100</v>
      </c>
      <c r="N77" s="418" t="str">
        <f t="shared" si="15"/>
        <v>Menor o Igual A:</v>
      </c>
      <c r="O77" s="419">
        <v>80</v>
      </c>
      <c r="P77" s="438">
        <f>+'12-GESTIÓN DOCUMENTAL'!F19</f>
        <v>100</v>
      </c>
      <c r="Q77" s="438">
        <f>+'12-GESTIÓN DOCUMENTAL'!G19</f>
        <v>25</v>
      </c>
      <c r="R77" s="436" t="str">
        <f>+'12-GESTIÓN DOCUMENTAL'!O19</f>
        <v>Subdirección de Gestión Documental y Recursos Físicos
Dirección de Tecnologías de la Información y Comunicaciones</v>
      </c>
    </row>
    <row r="78" spans="2:18" ht="73.2" customHeight="1">
      <c r="B78" s="413">
        <f t="shared" si="18"/>
        <v>74</v>
      </c>
      <c r="C78" s="423" t="s">
        <v>739</v>
      </c>
      <c r="D78" s="421" t="s">
        <v>845</v>
      </c>
      <c r="E78" s="430" t="str">
        <f>+'13-GESTIÓN JURÍDICA'!I16</f>
        <v>Porcentaje de procesos judiciales en los que se vincule o demande a la Entidad, objeto de representación oportuna</v>
      </c>
      <c r="F78" s="430" t="str">
        <f>+'13-GESTIÓN JURÍDICA'!J16</f>
        <v>(Número de procesos judiciales en los que se representa oportunamente, de acuerdo con los términos fijados por los despachos judiciales / Número total de procesos judiciales en los que se vincula la Entidad )  (x 100)</v>
      </c>
      <c r="G78" s="421" t="s">
        <v>760</v>
      </c>
      <c r="H78" s="416" t="s">
        <v>726</v>
      </c>
      <c r="I78" s="417">
        <v>100</v>
      </c>
      <c r="J78" s="418" t="str">
        <f t="shared" si="13"/>
        <v>Desde (&gt;):</v>
      </c>
      <c r="K78" s="418">
        <f t="shared" si="11"/>
        <v>90</v>
      </c>
      <c r="L78" s="418" t="str">
        <f t="shared" si="14"/>
        <v>Hasta (&lt;):</v>
      </c>
      <c r="M78" s="418">
        <f t="shared" si="12"/>
        <v>100</v>
      </c>
      <c r="N78" s="418" t="str">
        <f t="shared" si="15"/>
        <v>Menor o Igual A:</v>
      </c>
      <c r="O78" s="419">
        <v>90</v>
      </c>
      <c r="P78" s="432">
        <f>+'13-GESTIÓN JURÍDICA'!F16</f>
        <v>1</v>
      </c>
      <c r="Q78" s="432">
        <f>+'13-GESTIÓN JURÍDICA'!G16</f>
        <v>1</v>
      </c>
      <c r="R78" s="436" t="str">
        <f>+'13-GESTIÓN JURÍDICA'!O16</f>
        <v>Oficina Asesora Jurídica</v>
      </c>
    </row>
    <row r="79" spans="2:18" ht="66">
      <c r="B79" s="413">
        <f t="shared" si="18"/>
        <v>75</v>
      </c>
      <c r="C79" s="423" t="s">
        <v>739</v>
      </c>
      <c r="D79" s="421" t="s">
        <v>852</v>
      </c>
      <c r="E79" s="430" t="str">
        <f>+'13-GESTIÓN JURÍDICA'!I17</f>
        <v xml:space="preserve">Porcentaje de acciones de tutela en las cuales se defienda judicialmente a la Entidad oportunamente </v>
      </c>
      <c r="F79" s="430" t="str">
        <f>+'13-GESTIÓN JURÍDICA'!J17</f>
        <v xml:space="preserve">(Número de acciones de tutela en las que se interviene oportunamente, de acuerdo con los términos fijados por los despachos judiciales / Numero total de acciones de tutela  en las que se acciona o vincula a la Entidad ) (x 100) </v>
      </c>
      <c r="G79" s="421" t="s">
        <v>760</v>
      </c>
      <c r="H79" s="416" t="s">
        <v>726</v>
      </c>
      <c r="I79" s="417">
        <v>100</v>
      </c>
      <c r="J79" s="418" t="str">
        <f t="shared" si="13"/>
        <v>Desde (&gt;):</v>
      </c>
      <c r="K79" s="418">
        <f t="shared" si="11"/>
        <v>90</v>
      </c>
      <c r="L79" s="418" t="str">
        <f t="shared" si="14"/>
        <v>Hasta (&lt;):</v>
      </c>
      <c r="M79" s="418">
        <f t="shared" si="12"/>
        <v>100</v>
      </c>
      <c r="N79" s="418" t="str">
        <f t="shared" si="15"/>
        <v>Menor o Igual A:</v>
      </c>
      <c r="O79" s="419">
        <v>90</v>
      </c>
      <c r="P79" s="432">
        <f>+'13-GESTIÓN JURÍDICA'!F17</f>
        <v>1</v>
      </c>
      <c r="Q79" s="432">
        <f>+'13-GESTIÓN JURÍDICA'!G17</f>
        <v>1</v>
      </c>
      <c r="R79" s="436" t="str">
        <f>+'13-GESTIÓN JURÍDICA'!O17</f>
        <v>Oficina Asesora Jurídica</v>
      </c>
    </row>
    <row r="80" spans="2:18" ht="52.8">
      <c r="B80" s="413">
        <f t="shared" si="18"/>
        <v>76</v>
      </c>
      <c r="C80" s="423" t="s">
        <v>739</v>
      </c>
      <c r="D80" s="421" t="s">
        <v>853</v>
      </c>
      <c r="E80" s="430" t="str">
        <f>+'13-GESTIÓN JURÍDICA'!I18</f>
        <v>Porcentaje de conceptos de competencia de la dependencia emitidos oportunamente</v>
      </c>
      <c r="F80" s="430" t="str">
        <f>+'13-GESTIÓN JURÍDICA'!J18</f>
        <v>Número de conceptos emitidos oportunamente / Número de solicitudes de conceptos jurídicos recibidas de competencia de la dependencia (x100)</v>
      </c>
      <c r="G80" s="421" t="s">
        <v>760</v>
      </c>
      <c r="H80" s="416" t="s">
        <v>726</v>
      </c>
      <c r="I80" s="417">
        <v>100</v>
      </c>
      <c r="J80" s="418" t="str">
        <f t="shared" si="13"/>
        <v>Desde (&gt;):</v>
      </c>
      <c r="K80" s="418">
        <f t="shared" si="11"/>
        <v>90</v>
      </c>
      <c r="L80" s="418" t="str">
        <f t="shared" si="14"/>
        <v>Hasta (&lt;):</v>
      </c>
      <c r="M80" s="418">
        <f t="shared" si="12"/>
        <v>100</v>
      </c>
      <c r="N80" s="418" t="str">
        <f t="shared" si="15"/>
        <v>Menor o Igual A:</v>
      </c>
      <c r="O80" s="419">
        <v>90</v>
      </c>
      <c r="P80" s="432">
        <f>+'13-GESTIÓN JURÍDICA'!F18</f>
        <v>1</v>
      </c>
      <c r="Q80" s="432">
        <f>+'13-GESTIÓN JURÍDICA'!G18</f>
        <v>1</v>
      </c>
      <c r="R80" s="436" t="str">
        <f>+'13-GESTIÓN JURÍDICA'!O18</f>
        <v>Oficina Asesora Jurídica</v>
      </c>
    </row>
    <row r="81" spans="2:18" ht="39.6">
      <c r="B81" s="413">
        <f t="shared" si="18"/>
        <v>77</v>
      </c>
      <c r="C81" s="423" t="s">
        <v>739</v>
      </c>
      <c r="D81" s="421" t="s">
        <v>854</v>
      </c>
      <c r="E81" s="430" t="str">
        <f>+'13-GESTIÓN JURÍDICA'!I19</f>
        <v>Porcentaje de reportes de la base de datos de sanciones disciplinarias registrados</v>
      </c>
      <c r="F81" s="430" t="str">
        <f>+'13-GESTIÓN JURÍDICA'!J19</f>
        <v>Número de reportes actualizados / Número de solicitudes de actualización de reportes recibidos (x100)</v>
      </c>
      <c r="G81" s="421" t="s">
        <v>760</v>
      </c>
      <c r="H81" s="416" t="s">
        <v>726</v>
      </c>
      <c r="I81" s="417">
        <v>100</v>
      </c>
      <c r="J81" s="418" t="str">
        <f t="shared" si="13"/>
        <v>Desde (&gt;):</v>
      </c>
      <c r="K81" s="418">
        <f t="shared" si="11"/>
        <v>90</v>
      </c>
      <c r="L81" s="418" t="str">
        <f t="shared" si="14"/>
        <v>Hasta (&lt;):</v>
      </c>
      <c r="M81" s="418">
        <f t="shared" si="12"/>
        <v>100</v>
      </c>
      <c r="N81" s="418" t="str">
        <f t="shared" si="15"/>
        <v>Menor o Igual A:</v>
      </c>
      <c r="O81" s="419">
        <v>90</v>
      </c>
      <c r="P81" s="432">
        <f>+'13-GESTIÓN JURÍDICA'!F19</f>
        <v>1</v>
      </c>
      <c r="Q81" s="432">
        <f>+'13-GESTIÓN JURÍDICA'!G19</f>
        <v>1</v>
      </c>
      <c r="R81" s="436" t="str">
        <f>+'13-GESTIÓN JURÍDICA'!O19</f>
        <v>Oficina Asesora Jurídica</v>
      </c>
    </row>
    <row r="82" spans="2:18" ht="39.6">
      <c r="B82" s="413">
        <f t="shared" si="18"/>
        <v>78</v>
      </c>
      <c r="C82" s="423" t="s">
        <v>739</v>
      </c>
      <c r="D82" s="421" t="s">
        <v>855</v>
      </c>
      <c r="E82" s="430" t="str">
        <f>+'13-GESTIÓN JURÍDICA'!I20</f>
        <v>Porcentaje de antecedentes disciplinarios expedidos</v>
      </c>
      <c r="F82" s="430" t="str">
        <f>+'13-GESTIÓN JURÍDICA'!J20</f>
        <v>Número de antecedentes disciplinarios expedidos / Número de antecedentes disciplinarios solicitados (x100)</v>
      </c>
      <c r="G82" s="421" t="s">
        <v>760</v>
      </c>
      <c r="H82" s="416" t="s">
        <v>726</v>
      </c>
      <c r="I82" s="417">
        <v>100</v>
      </c>
      <c r="J82" s="418" t="str">
        <f t="shared" si="13"/>
        <v>Desde (&gt;):</v>
      </c>
      <c r="K82" s="418">
        <f t="shared" si="11"/>
        <v>90</v>
      </c>
      <c r="L82" s="418" t="str">
        <f t="shared" si="14"/>
        <v>Hasta (&lt;):</v>
      </c>
      <c r="M82" s="418">
        <f t="shared" si="12"/>
        <v>100</v>
      </c>
      <c r="N82" s="418" t="str">
        <f t="shared" si="15"/>
        <v>Menor o Igual A:</v>
      </c>
      <c r="O82" s="419">
        <v>90</v>
      </c>
      <c r="P82" s="432">
        <f>+'13-GESTIÓN JURÍDICA'!F20</f>
        <v>1</v>
      </c>
      <c r="Q82" s="432">
        <f>+'13-GESTIÓN JURÍDICA'!G20</f>
        <v>1</v>
      </c>
      <c r="R82" s="436" t="str">
        <f>+'13-GESTIÓN JURÍDICA'!O20</f>
        <v>Oficina Asesora Jurídica</v>
      </c>
    </row>
    <row r="83" spans="2:18" ht="39.6">
      <c r="B83" s="413">
        <f t="shared" si="18"/>
        <v>79</v>
      </c>
      <c r="C83" s="424" t="s">
        <v>740</v>
      </c>
      <c r="D83" s="421" t="s">
        <v>846</v>
      </c>
      <c r="E83" s="429" t="str">
        <f>+'14-SERVICIO AL USUARIO'!I16</f>
        <v>Porcentaje de Percepción de los usuarios en calificación excelente y bueno incrementado</v>
      </c>
      <c r="F83" s="429" t="str">
        <f>+'14-SERVICIO AL USUARIO'!J16</f>
        <v>(Número total de encuestas con calificación excelente y bueno/Número total de encuestras registradas)*100</v>
      </c>
      <c r="G83" s="421" t="s">
        <v>760</v>
      </c>
      <c r="H83" s="416" t="s">
        <v>731</v>
      </c>
      <c r="I83" s="417">
        <v>90</v>
      </c>
      <c r="J83" s="418" t="str">
        <f t="shared" si="13"/>
        <v>Desde (&gt;=):</v>
      </c>
      <c r="K83" s="418">
        <f t="shared" si="11"/>
        <v>70</v>
      </c>
      <c r="L83" s="418" t="str">
        <f t="shared" si="14"/>
        <v>Hasta (&lt;=):</v>
      </c>
      <c r="M83" s="418">
        <f t="shared" si="12"/>
        <v>90</v>
      </c>
      <c r="N83" s="418" t="str">
        <f t="shared" si="15"/>
        <v>Menor A:</v>
      </c>
      <c r="O83" s="419">
        <v>70</v>
      </c>
      <c r="P83" s="432">
        <f>+'14-SERVICIO AL USUARIO'!F16</f>
        <v>0.9</v>
      </c>
      <c r="Q83" s="432">
        <f>+'14-SERVICIO AL USUARIO'!G16</f>
        <v>0.9</v>
      </c>
      <c r="R83" s="436" t="str">
        <f>+'14-SERVICIO AL USUARIO'!O16</f>
        <v>Secretaría General</v>
      </c>
    </row>
    <row r="84" spans="2:18" ht="24.6" customHeight="1">
      <c r="B84" s="413">
        <f t="shared" si="18"/>
        <v>80</v>
      </c>
      <c r="C84" s="424" t="s">
        <v>740</v>
      </c>
      <c r="D84" s="421" t="s">
        <v>856</v>
      </c>
      <c r="E84" s="429" t="str">
        <f>+'14-SERVICIO AL USUARIO'!I17</f>
        <v>Lineamientos implementados</v>
      </c>
      <c r="F84" s="429" t="str">
        <f>+'14-SERVICIO AL USUARIO'!J17</f>
        <v>Número de lineamientos implementados en el periodo</v>
      </c>
      <c r="G84" s="421" t="s">
        <v>760</v>
      </c>
      <c r="H84" s="416" t="s">
        <v>731</v>
      </c>
      <c r="I84" s="417">
        <v>90</v>
      </c>
      <c r="J84" s="418" t="str">
        <f t="shared" si="13"/>
        <v>Desde (&gt;=):</v>
      </c>
      <c r="K84" s="418">
        <f t="shared" si="11"/>
        <v>70</v>
      </c>
      <c r="L84" s="418" t="str">
        <f t="shared" si="14"/>
        <v>Hasta (&lt;=):</v>
      </c>
      <c r="M84" s="418">
        <f t="shared" si="12"/>
        <v>90</v>
      </c>
      <c r="N84" s="418" t="str">
        <f t="shared" si="15"/>
        <v>Menor A:</v>
      </c>
      <c r="O84" s="419">
        <v>70</v>
      </c>
      <c r="P84" s="413">
        <f>+'14-SERVICIO AL USUARIO'!F17</f>
        <v>7</v>
      </c>
      <c r="Q84" s="413">
        <f>+'14-SERVICIO AL USUARIO'!G17</f>
        <v>3</v>
      </c>
      <c r="R84" s="436" t="str">
        <f>+'14-SERVICIO AL USUARIO'!O17</f>
        <v>Secretaría General</v>
      </c>
    </row>
    <row r="85" spans="2:18" ht="31.2" customHeight="1">
      <c r="B85" s="413">
        <f t="shared" si="18"/>
        <v>81</v>
      </c>
      <c r="C85" s="424" t="s">
        <v>740</v>
      </c>
      <c r="D85" s="421" t="s">
        <v>857</v>
      </c>
      <c r="E85" s="429" t="str">
        <f>+'14-SERVICIO AL USUARIO'!I18</f>
        <v>Acuerdos interinstitucionales gestionados</v>
      </c>
      <c r="F85" s="429" t="str">
        <f>+'14-SERVICIO AL USUARIO'!J18</f>
        <v>Número de acuerdos interinstitucionales gestionados en el periodo</v>
      </c>
      <c r="G85" s="421" t="s">
        <v>760</v>
      </c>
      <c r="H85" s="416" t="s">
        <v>731</v>
      </c>
      <c r="I85" s="417">
        <v>90</v>
      </c>
      <c r="J85" s="418" t="str">
        <f t="shared" si="13"/>
        <v>Desde (&gt;=):</v>
      </c>
      <c r="K85" s="418">
        <f t="shared" si="11"/>
        <v>70</v>
      </c>
      <c r="L85" s="418" t="str">
        <f t="shared" si="14"/>
        <v>Hasta (&lt;=):</v>
      </c>
      <c r="M85" s="418">
        <f t="shared" si="12"/>
        <v>90</v>
      </c>
      <c r="N85" s="418" t="str">
        <f t="shared" si="15"/>
        <v>Menor A:</v>
      </c>
      <c r="O85" s="419">
        <v>70</v>
      </c>
      <c r="P85" s="413">
        <f>+'14-SERVICIO AL USUARIO'!F18</f>
        <v>3</v>
      </c>
      <c r="Q85" s="413">
        <f>+'14-SERVICIO AL USUARIO'!G18</f>
        <v>1</v>
      </c>
      <c r="R85" s="436" t="str">
        <f>+'14-SERVICIO AL USUARIO'!O18</f>
        <v>Secretaría General</v>
      </c>
    </row>
    <row r="86" spans="2:18" ht="35.4" customHeight="1">
      <c r="B86" s="413">
        <f t="shared" si="18"/>
        <v>82</v>
      </c>
      <c r="C86" s="423" t="s">
        <v>741</v>
      </c>
      <c r="D86" s="421" t="s">
        <v>850</v>
      </c>
      <c r="E86" s="425" t="str">
        <f>+'15-CTRL DISCIPLINARIO INTERNO'!I16</f>
        <v>Medidas de preservación del orden interno emitidas</v>
      </c>
      <c r="F86" s="425" t="str">
        <f>+'15-CTRL DISCIPLINARIO INTERNO'!J16</f>
        <v>Número de medidas de preservación del orden interno emitidas</v>
      </c>
      <c r="G86" s="421" t="s">
        <v>760</v>
      </c>
      <c r="H86" s="416" t="s">
        <v>726</v>
      </c>
      <c r="I86" s="417">
        <v>100</v>
      </c>
      <c r="J86" s="418" t="str">
        <f t="shared" si="13"/>
        <v>Desde (&gt;):</v>
      </c>
      <c r="K86" s="418">
        <f t="shared" si="11"/>
        <v>79</v>
      </c>
      <c r="L86" s="418" t="str">
        <f t="shared" si="14"/>
        <v>Hasta (&lt;):</v>
      </c>
      <c r="M86" s="418">
        <f t="shared" si="12"/>
        <v>100</v>
      </c>
      <c r="N86" s="418" t="str">
        <f t="shared" si="15"/>
        <v>Menor o Igual A:</v>
      </c>
      <c r="O86" s="419">
        <v>79</v>
      </c>
      <c r="P86" s="413">
        <f>+'15-CTRL DISCIPLINARIO INTERNO'!F16</f>
        <v>96</v>
      </c>
      <c r="Q86" s="413">
        <f>+'15-CTRL DISCIPLINARIO INTERNO'!G16</f>
        <v>24</v>
      </c>
      <c r="R86" s="436" t="str">
        <f>+'15-CTRL DISCIPLINARIO INTERNO'!O16</f>
        <v>Oficina Control Interno Disciplinario</v>
      </c>
    </row>
    <row r="87" spans="2:18">
      <c r="B87" s="413">
        <f t="shared" si="18"/>
        <v>83</v>
      </c>
      <c r="C87" s="423" t="s">
        <v>741</v>
      </c>
      <c r="D87" s="421" t="s">
        <v>858</v>
      </c>
      <c r="E87" s="425" t="str">
        <f>+'15-CTRL DISCIPLINARIO INTERNO'!I17</f>
        <v>Jornadas de sensibilización realizadas</v>
      </c>
      <c r="F87" s="425" t="str">
        <f>+'15-CTRL DISCIPLINARIO INTERNO'!J17</f>
        <v>Número de jornadas de sensibilización realizadas</v>
      </c>
      <c r="G87" s="421" t="s">
        <v>760</v>
      </c>
      <c r="H87" s="416" t="s">
        <v>726</v>
      </c>
      <c r="I87" s="417">
        <v>100</v>
      </c>
      <c r="J87" s="418" t="str">
        <f t="shared" si="13"/>
        <v>Desde (&gt;):</v>
      </c>
      <c r="K87" s="418">
        <f t="shared" si="11"/>
        <v>99</v>
      </c>
      <c r="L87" s="418" t="str">
        <f t="shared" si="14"/>
        <v>Hasta (&lt;):</v>
      </c>
      <c r="M87" s="418">
        <f t="shared" si="12"/>
        <v>100</v>
      </c>
      <c r="N87" s="418" t="str">
        <f t="shared" si="15"/>
        <v>Menor o Igual A:</v>
      </c>
      <c r="O87" s="419">
        <v>99</v>
      </c>
      <c r="P87" s="413">
        <f>+'15-CTRL DISCIPLINARIO INTERNO'!F17</f>
        <v>20</v>
      </c>
      <c r="Q87" s="413">
        <f>+'15-CTRL DISCIPLINARIO INTERNO'!G17</f>
        <v>6</v>
      </c>
      <c r="R87" s="436" t="str">
        <f>+'15-CTRL DISCIPLINARIO INTERNO'!O17</f>
        <v>Oficina Control Interno Disciplinario</v>
      </c>
    </row>
    <row r="88" spans="2:18" ht="26.4">
      <c r="B88" s="413">
        <f t="shared" si="18"/>
        <v>84</v>
      </c>
      <c r="C88" s="423" t="s">
        <v>741</v>
      </c>
      <c r="D88" s="421" t="s">
        <v>859</v>
      </c>
      <c r="E88" s="425" t="str">
        <f>+'15-CTRL DISCIPLINARIO INTERNO'!I18</f>
        <v>Procesos disciplinarios con decisión de fondo proferida</v>
      </c>
      <c r="F88" s="425" t="str">
        <f>+'15-CTRL DISCIPLINARIO INTERNO'!J18</f>
        <v>Número de procesos disciplinarios con decisión de fondo proferidos</v>
      </c>
      <c r="G88" s="421" t="s">
        <v>760</v>
      </c>
      <c r="H88" s="416" t="s">
        <v>726</v>
      </c>
      <c r="I88" s="417">
        <v>100</v>
      </c>
      <c r="J88" s="418" t="str">
        <f t="shared" si="13"/>
        <v>Desde (&gt;):</v>
      </c>
      <c r="K88" s="418">
        <f t="shared" si="11"/>
        <v>70</v>
      </c>
      <c r="L88" s="418" t="str">
        <f t="shared" si="14"/>
        <v>Hasta (&lt;):</v>
      </c>
      <c r="M88" s="418">
        <f t="shared" si="12"/>
        <v>100</v>
      </c>
      <c r="N88" s="418" t="str">
        <f t="shared" si="15"/>
        <v>Menor o Igual A:</v>
      </c>
      <c r="O88" s="419">
        <v>70</v>
      </c>
      <c r="P88" s="413">
        <f>+'15-CTRL DISCIPLINARIO INTERNO'!F18</f>
        <v>400</v>
      </c>
      <c r="Q88" s="413">
        <f>+'15-CTRL DISCIPLINARIO INTERNO'!G18</f>
        <v>100</v>
      </c>
      <c r="R88" s="436" t="str">
        <f>+'15-CTRL DISCIPLINARIO INTERNO'!O18</f>
        <v>Oficina Control Interno Disciplinario</v>
      </c>
    </row>
    <row r="89" spans="2:18" ht="36" customHeight="1">
      <c r="B89" s="413">
        <f t="shared" si="18"/>
        <v>85</v>
      </c>
      <c r="C89" s="424" t="s">
        <v>742</v>
      </c>
      <c r="D89" s="421" t="s">
        <v>851</v>
      </c>
      <c r="E89" s="425" t="str">
        <f>+'16-EVALUACIÓN Y SEGUIMIENTO'!I16</f>
        <v>Programa anual de auditorías ejecutado.</v>
      </c>
      <c r="F89" s="425" t="str">
        <f>+'16-EVALUACIÓN Y SEGUIMIENTO'!J16</f>
        <v>Grado del avance del Programa Anual de Auditoría</v>
      </c>
      <c r="G89" s="421" t="s">
        <v>760</v>
      </c>
      <c r="H89" s="416" t="s">
        <v>726</v>
      </c>
      <c r="I89" s="417">
        <v>90</v>
      </c>
      <c r="J89" s="418" t="str">
        <f t="shared" si="13"/>
        <v>Desde (&gt;):</v>
      </c>
      <c r="K89" s="418">
        <f t="shared" si="11"/>
        <v>69</v>
      </c>
      <c r="L89" s="418" t="str">
        <f t="shared" si="14"/>
        <v>Hasta (&lt;):</v>
      </c>
      <c r="M89" s="418">
        <f t="shared" si="12"/>
        <v>90</v>
      </c>
      <c r="N89" s="418" t="str">
        <f t="shared" si="15"/>
        <v>Menor o Igual A:</v>
      </c>
      <c r="O89" s="419">
        <v>69</v>
      </c>
      <c r="P89" s="413">
        <f>+'16-EVALUACIÓN Y SEGUIMIENTO'!F16</f>
        <v>4</v>
      </c>
      <c r="Q89" s="413">
        <f>+'16-EVALUACIÓN Y SEGUIMIENTO'!G16</f>
        <v>1</v>
      </c>
      <c r="R89" s="436" t="str">
        <f>+'16-EVALUACIÓN Y SEGUIMIENTO'!O16</f>
        <v>Oficina de Control Interno</v>
      </c>
    </row>
    <row r="90" spans="2:18" ht="26.4">
      <c r="B90" s="413">
        <f t="shared" si="18"/>
        <v>86</v>
      </c>
      <c r="C90" s="424" t="s">
        <v>742</v>
      </c>
      <c r="D90" s="421" t="s">
        <v>860</v>
      </c>
      <c r="E90" s="425" t="str">
        <f>+'16-EVALUACIÓN Y SEGUIMIENTO'!I17</f>
        <v>Estrategia de Sensibilización acerca de la Cultura del Control realizada</v>
      </c>
      <c r="F90" s="425" t="str">
        <f>+'16-EVALUACIÓN Y SEGUIMIENTO'!J17</f>
        <v>Número de estratégias de sensibilización acerca de la cultura del control desarrolladas</v>
      </c>
      <c r="G90" s="421" t="s">
        <v>760</v>
      </c>
      <c r="H90" s="416" t="s">
        <v>726</v>
      </c>
      <c r="I90" s="417">
        <v>90</v>
      </c>
      <c r="J90" s="418" t="str">
        <f t="shared" si="13"/>
        <v>Desde (&gt;):</v>
      </c>
      <c r="K90" s="418">
        <f t="shared" si="11"/>
        <v>69</v>
      </c>
      <c r="L90" s="418" t="str">
        <f t="shared" si="14"/>
        <v>Hasta (&lt;):</v>
      </c>
      <c r="M90" s="418">
        <f t="shared" si="12"/>
        <v>90</v>
      </c>
      <c r="N90" s="418" t="str">
        <f t="shared" si="15"/>
        <v>Menor o Igual A:</v>
      </c>
      <c r="O90" s="419">
        <v>69</v>
      </c>
      <c r="P90" s="413">
        <f>+'16-EVALUACIÓN Y SEGUIMIENTO'!F17</f>
        <v>4</v>
      </c>
      <c r="Q90" s="413">
        <f>+'16-EVALUACIÓN Y SEGUIMIENTO'!G17</f>
        <v>1</v>
      </c>
      <c r="R90" s="436" t="str">
        <f>+'16-EVALUACIÓN Y SEGUIMIENTO'!O17</f>
        <v>Oficina de Control Interno</v>
      </c>
    </row>
    <row r="91" spans="2:18" ht="39.6">
      <c r="B91" s="413">
        <f t="shared" si="18"/>
        <v>87</v>
      </c>
      <c r="C91" s="424" t="s">
        <v>742</v>
      </c>
      <c r="D91" s="421" t="s">
        <v>861</v>
      </c>
      <c r="E91" s="425" t="str">
        <f>+'16-EVALUACIÓN Y SEGUIMIENTO'!I18</f>
        <v>Sensibilización a Directivos y Referentes de Gestión sobre la Séptima Dimensión del MIPG realizada</v>
      </c>
      <c r="F91" s="425" t="str">
        <f>+'16-EVALUACIÓN Y SEGUIMIENTO'!J18</f>
        <v>Número de jornadas de Sensibilización realizadas</v>
      </c>
      <c r="G91" s="421" t="s">
        <v>760</v>
      </c>
      <c r="H91" s="416" t="s">
        <v>726</v>
      </c>
      <c r="I91" s="417">
        <v>90</v>
      </c>
      <c r="J91" s="418" t="str">
        <f t="shared" si="13"/>
        <v>Desde (&gt;):</v>
      </c>
      <c r="K91" s="418">
        <f t="shared" si="11"/>
        <v>69</v>
      </c>
      <c r="L91" s="418" t="str">
        <f t="shared" si="14"/>
        <v>Hasta (&lt;):</v>
      </c>
      <c r="M91" s="418">
        <f t="shared" si="12"/>
        <v>90</v>
      </c>
      <c r="N91" s="418" t="str">
        <f t="shared" si="15"/>
        <v>Menor o Igual A:</v>
      </c>
      <c r="O91" s="419">
        <v>69</v>
      </c>
      <c r="P91" s="413">
        <f>+'16-EVALUACIÓN Y SEGUIMIENTO'!F18</f>
        <v>4</v>
      </c>
      <c r="Q91" s="413">
        <f>+'16-EVALUACIÓN Y SEGUIMIENTO'!G18</f>
        <v>1</v>
      </c>
      <c r="R91" s="436" t="str">
        <f>+'16-EVALUACIÓN Y SEGUIMIENTO'!O18</f>
        <v>Oficina de Control Interno</v>
      </c>
    </row>
    <row r="92" spans="2:18">
      <c r="B92" s="413">
        <f t="shared" ref="B92:B106" si="19">1+B91</f>
        <v>88</v>
      </c>
      <c r="C92" s="440"/>
      <c r="D92" s="413"/>
      <c r="E92" s="425"/>
      <c r="F92" s="425"/>
      <c r="G92" s="421"/>
      <c r="H92" s="416"/>
      <c r="I92" s="417"/>
      <c r="J92" s="418" t="str">
        <f t="shared" si="13"/>
        <v/>
      </c>
      <c r="K92" s="418" t="str">
        <f t="shared" si="11"/>
        <v>No Aplica</v>
      </c>
      <c r="L92" s="418" t="str">
        <f t="shared" si="14"/>
        <v/>
      </c>
      <c r="M92" s="418" t="str">
        <f t="shared" si="12"/>
        <v>No Aplica</v>
      </c>
      <c r="N92" s="418" t="str">
        <f t="shared" si="15"/>
        <v/>
      </c>
      <c r="O92" s="419"/>
      <c r="P92" s="413"/>
      <c r="Q92" s="413"/>
      <c r="R92" s="436"/>
    </row>
    <row r="93" spans="2:18">
      <c r="B93" s="413">
        <f t="shared" si="19"/>
        <v>89</v>
      </c>
      <c r="C93" s="440"/>
      <c r="D93" s="413"/>
      <c r="E93" s="425"/>
      <c r="F93" s="425"/>
      <c r="G93" s="421"/>
      <c r="H93" s="416"/>
      <c r="I93" s="417"/>
      <c r="J93" s="418" t="str">
        <f t="shared" si="13"/>
        <v/>
      </c>
      <c r="K93" s="418" t="str">
        <f t="shared" si="11"/>
        <v>No Aplica</v>
      </c>
      <c r="L93" s="418" t="str">
        <f t="shared" si="14"/>
        <v/>
      </c>
      <c r="M93" s="418" t="str">
        <f t="shared" si="12"/>
        <v>No Aplica</v>
      </c>
      <c r="N93" s="418" t="str">
        <f t="shared" si="15"/>
        <v/>
      </c>
      <c r="O93" s="419"/>
      <c r="P93" s="413"/>
      <c r="Q93" s="413"/>
      <c r="R93" s="436"/>
    </row>
    <row r="94" spans="2:18">
      <c r="B94" s="413">
        <f t="shared" si="19"/>
        <v>90</v>
      </c>
      <c r="C94" s="440"/>
      <c r="D94" s="413"/>
      <c r="E94" s="425"/>
      <c r="F94" s="425"/>
      <c r="G94" s="421"/>
      <c r="H94" s="416"/>
      <c r="I94" s="417"/>
      <c r="J94" s="418" t="str">
        <f t="shared" si="13"/>
        <v/>
      </c>
      <c r="K94" s="418" t="str">
        <f t="shared" si="11"/>
        <v>No Aplica</v>
      </c>
      <c r="L94" s="418" t="str">
        <f t="shared" si="14"/>
        <v/>
      </c>
      <c r="M94" s="418" t="str">
        <f t="shared" si="12"/>
        <v>No Aplica</v>
      </c>
      <c r="N94" s="418" t="str">
        <f t="shared" si="15"/>
        <v/>
      </c>
      <c r="O94" s="419"/>
      <c r="P94" s="413"/>
      <c r="Q94" s="413"/>
      <c r="R94" s="436"/>
    </row>
    <row r="95" spans="2:18" hidden="1">
      <c r="B95" s="413">
        <f t="shared" si="19"/>
        <v>91</v>
      </c>
      <c r="C95" s="440"/>
      <c r="D95" s="413"/>
      <c r="E95" s="425"/>
      <c r="F95" s="425"/>
      <c r="G95" s="421"/>
      <c r="H95" s="416"/>
      <c r="I95" s="417"/>
      <c r="J95" s="418" t="str">
        <f t="shared" si="13"/>
        <v/>
      </c>
      <c r="K95" s="418" t="str">
        <f t="shared" si="11"/>
        <v>No Aplica</v>
      </c>
      <c r="L95" s="418" t="str">
        <f t="shared" si="14"/>
        <v/>
      </c>
      <c r="M95" s="418" t="str">
        <f t="shared" si="12"/>
        <v>No Aplica</v>
      </c>
      <c r="N95" s="418" t="str">
        <f t="shared" si="15"/>
        <v/>
      </c>
      <c r="O95" s="419"/>
      <c r="P95" s="413"/>
      <c r="Q95" s="413"/>
      <c r="R95" s="436"/>
    </row>
    <row r="96" spans="2:18" hidden="1">
      <c r="B96" s="413">
        <f t="shared" si="19"/>
        <v>92</v>
      </c>
      <c r="C96" s="440"/>
      <c r="D96" s="413"/>
      <c r="E96" s="425"/>
      <c r="F96" s="425"/>
      <c r="G96" s="421"/>
      <c r="H96" s="416"/>
      <c r="I96" s="417"/>
      <c r="J96" s="418" t="str">
        <f t="shared" si="13"/>
        <v/>
      </c>
      <c r="K96" s="418" t="str">
        <f t="shared" si="11"/>
        <v>No Aplica</v>
      </c>
      <c r="L96" s="418" t="str">
        <f t="shared" si="14"/>
        <v/>
      </c>
      <c r="M96" s="418" t="str">
        <f t="shared" si="12"/>
        <v>No Aplica</v>
      </c>
      <c r="N96" s="418" t="str">
        <f t="shared" si="15"/>
        <v/>
      </c>
      <c r="O96" s="419"/>
      <c r="P96" s="413"/>
      <c r="Q96" s="413"/>
      <c r="R96" s="436"/>
    </row>
    <row r="97" spans="2:18" hidden="1">
      <c r="B97" s="413">
        <f t="shared" si="19"/>
        <v>93</v>
      </c>
      <c r="C97" s="425"/>
      <c r="D97" s="413"/>
      <c r="E97" s="425"/>
      <c r="F97" s="425"/>
      <c r="G97" s="413"/>
      <c r="H97" s="416"/>
      <c r="I97" s="417"/>
      <c r="J97" s="418" t="str">
        <f t="shared" si="13"/>
        <v/>
      </c>
      <c r="K97" s="418" t="str">
        <f t="shared" si="11"/>
        <v>No Aplica</v>
      </c>
      <c r="L97" s="418" t="str">
        <f t="shared" si="14"/>
        <v/>
      </c>
      <c r="M97" s="418" t="str">
        <f t="shared" si="12"/>
        <v>No Aplica</v>
      </c>
      <c r="N97" s="418" t="str">
        <f t="shared" si="15"/>
        <v/>
      </c>
      <c r="O97" s="419"/>
      <c r="P97" s="413"/>
      <c r="Q97" s="413"/>
      <c r="R97" s="436"/>
    </row>
    <row r="98" spans="2:18" hidden="1">
      <c r="B98" s="413">
        <f t="shared" si="19"/>
        <v>94</v>
      </c>
      <c r="C98" s="425"/>
      <c r="D98" s="413"/>
      <c r="E98" s="425"/>
      <c r="F98" s="425"/>
      <c r="G98" s="413"/>
      <c r="H98" s="416"/>
      <c r="I98" s="417"/>
      <c r="J98" s="418" t="str">
        <f t="shared" si="13"/>
        <v/>
      </c>
      <c r="K98" s="418" t="str">
        <f t="shared" si="11"/>
        <v>No Aplica</v>
      </c>
      <c r="L98" s="418" t="str">
        <f t="shared" si="14"/>
        <v/>
      </c>
      <c r="M98" s="418" t="str">
        <f t="shared" si="12"/>
        <v>No Aplica</v>
      </c>
      <c r="N98" s="418" t="str">
        <f t="shared" si="15"/>
        <v/>
      </c>
      <c r="O98" s="419"/>
      <c r="P98" s="413"/>
      <c r="Q98" s="413"/>
      <c r="R98" s="436"/>
    </row>
    <row r="99" spans="2:18" hidden="1">
      <c r="B99" s="413">
        <f t="shared" si="19"/>
        <v>95</v>
      </c>
      <c r="C99" s="425"/>
      <c r="D99" s="413"/>
      <c r="E99" s="425"/>
      <c r="F99" s="425"/>
      <c r="G99" s="413"/>
      <c r="H99" s="416"/>
      <c r="I99" s="417"/>
      <c r="J99" s="418" t="str">
        <f t="shared" si="13"/>
        <v/>
      </c>
      <c r="K99" s="418" t="str">
        <f t="shared" si="11"/>
        <v>No Aplica</v>
      </c>
      <c r="L99" s="418" t="str">
        <f t="shared" si="14"/>
        <v/>
      </c>
      <c r="M99" s="418" t="str">
        <f t="shared" si="12"/>
        <v>No Aplica</v>
      </c>
      <c r="N99" s="418" t="str">
        <f t="shared" si="15"/>
        <v/>
      </c>
      <c r="O99" s="419"/>
      <c r="P99" s="413"/>
      <c r="Q99" s="413"/>
      <c r="R99" s="436"/>
    </row>
    <row r="100" spans="2:18" hidden="1">
      <c r="B100" s="413">
        <f t="shared" si="19"/>
        <v>96</v>
      </c>
      <c r="C100" s="425"/>
      <c r="D100" s="413"/>
      <c r="E100" s="425"/>
      <c r="F100" s="425"/>
      <c r="G100" s="413"/>
      <c r="H100" s="416"/>
      <c r="I100" s="417"/>
      <c r="J100" s="418" t="str">
        <f t="shared" si="13"/>
        <v/>
      </c>
      <c r="K100" s="418" t="str">
        <f t="shared" si="11"/>
        <v>No Aplica</v>
      </c>
      <c r="L100" s="418" t="str">
        <f t="shared" si="14"/>
        <v/>
      </c>
      <c r="M100" s="418" t="str">
        <f t="shared" si="12"/>
        <v>No Aplica</v>
      </c>
      <c r="N100" s="418" t="str">
        <f t="shared" si="15"/>
        <v/>
      </c>
      <c r="O100" s="419"/>
      <c r="P100" s="413"/>
      <c r="Q100" s="413"/>
      <c r="R100" s="436"/>
    </row>
    <row r="101" spans="2:18" hidden="1">
      <c r="B101" s="413">
        <f t="shared" si="19"/>
        <v>97</v>
      </c>
      <c r="C101" s="425"/>
      <c r="D101" s="413"/>
      <c r="E101" s="425"/>
      <c r="F101" s="425"/>
      <c r="G101" s="413"/>
      <c r="H101" s="416"/>
      <c r="I101" s="417"/>
      <c r="J101" s="418" t="str">
        <f t="shared" si="13"/>
        <v/>
      </c>
      <c r="K101" s="418" t="str">
        <f t="shared" si="11"/>
        <v>No Aplica</v>
      </c>
      <c r="L101" s="418" t="str">
        <f t="shared" si="14"/>
        <v/>
      </c>
      <c r="M101" s="418" t="str">
        <f t="shared" si="12"/>
        <v>No Aplica</v>
      </c>
      <c r="N101" s="418" t="str">
        <f t="shared" si="15"/>
        <v/>
      </c>
      <c r="O101" s="419"/>
      <c r="P101" s="413"/>
      <c r="Q101" s="413"/>
      <c r="R101" s="436"/>
    </row>
    <row r="102" spans="2:18" hidden="1">
      <c r="B102" s="413">
        <f t="shared" si="19"/>
        <v>98</v>
      </c>
      <c r="C102" s="425"/>
      <c r="D102" s="413"/>
      <c r="E102" s="425"/>
      <c r="F102" s="425"/>
      <c r="G102" s="413"/>
      <c r="H102" s="416"/>
      <c r="I102" s="417"/>
      <c r="J102" s="418" t="str">
        <f t="shared" si="13"/>
        <v/>
      </c>
      <c r="K102" s="418" t="str">
        <f t="shared" si="11"/>
        <v>No Aplica</v>
      </c>
      <c r="L102" s="418" t="str">
        <f t="shared" si="14"/>
        <v/>
      </c>
      <c r="M102" s="418" t="str">
        <f t="shared" si="12"/>
        <v>No Aplica</v>
      </c>
      <c r="N102" s="418" t="str">
        <f t="shared" si="15"/>
        <v/>
      </c>
      <c r="O102" s="419"/>
      <c r="P102" s="413"/>
      <c r="Q102" s="413"/>
      <c r="R102" s="436"/>
    </row>
    <row r="103" spans="2:18" hidden="1">
      <c r="B103" s="413">
        <f t="shared" si="19"/>
        <v>99</v>
      </c>
      <c r="C103" s="425"/>
      <c r="D103" s="413"/>
      <c r="E103" s="425"/>
      <c r="F103" s="425"/>
      <c r="G103" s="413"/>
      <c r="H103" s="416"/>
      <c r="I103" s="417"/>
      <c r="J103" s="418" t="str">
        <f t="shared" si="13"/>
        <v/>
      </c>
      <c r="K103" s="418" t="str">
        <f t="shared" si="11"/>
        <v>No Aplica</v>
      </c>
      <c r="L103" s="418" t="str">
        <f t="shared" si="14"/>
        <v/>
      </c>
      <c r="M103" s="418" t="str">
        <f t="shared" si="12"/>
        <v>No Aplica</v>
      </c>
      <c r="N103" s="418" t="str">
        <f t="shared" si="15"/>
        <v/>
      </c>
      <c r="O103" s="419"/>
      <c r="P103" s="413"/>
      <c r="Q103" s="413"/>
      <c r="R103" s="436"/>
    </row>
    <row r="104" spans="2:18" hidden="1">
      <c r="B104" s="413">
        <f t="shared" si="19"/>
        <v>100</v>
      </c>
      <c r="C104" s="425"/>
      <c r="D104" s="413"/>
      <c r="E104" s="425"/>
      <c r="F104" s="425"/>
      <c r="G104" s="413"/>
      <c r="H104" s="416"/>
      <c r="I104" s="417"/>
      <c r="J104" s="418" t="str">
        <f t="shared" si="13"/>
        <v/>
      </c>
      <c r="K104" s="418" t="str">
        <f t="shared" si="11"/>
        <v>No Aplica</v>
      </c>
      <c r="L104" s="418" t="str">
        <f t="shared" si="14"/>
        <v/>
      </c>
      <c r="M104" s="418" t="str">
        <f t="shared" si="12"/>
        <v>No Aplica</v>
      </c>
      <c r="N104" s="418" t="str">
        <f t="shared" si="15"/>
        <v/>
      </c>
      <c r="O104" s="419"/>
      <c r="P104" s="413"/>
      <c r="Q104" s="413"/>
      <c r="R104" s="436"/>
    </row>
    <row r="105" spans="2:18" hidden="1">
      <c r="B105" s="413">
        <f t="shared" si="19"/>
        <v>101</v>
      </c>
      <c r="C105" s="425"/>
      <c r="D105" s="413"/>
      <c r="E105" s="425"/>
      <c r="F105" s="425"/>
      <c r="G105" s="413"/>
      <c r="H105" s="416"/>
      <c r="I105" s="417"/>
      <c r="J105" s="418" t="str">
        <f t="shared" si="13"/>
        <v/>
      </c>
      <c r="K105" s="418" t="str">
        <f t="shared" si="11"/>
        <v>No Aplica</v>
      </c>
      <c r="L105" s="418" t="str">
        <f t="shared" si="14"/>
        <v/>
      </c>
      <c r="M105" s="418" t="str">
        <f t="shared" si="12"/>
        <v>No Aplica</v>
      </c>
      <c r="N105" s="418" t="str">
        <f t="shared" si="15"/>
        <v/>
      </c>
      <c r="O105" s="419"/>
      <c r="P105" s="413"/>
      <c r="Q105" s="413"/>
      <c r="R105" s="436"/>
    </row>
    <row r="106" spans="2:18" hidden="1">
      <c r="B106" s="413">
        <f t="shared" si="19"/>
        <v>102</v>
      </c>
      <c r="C106" s="425"/>
      <c r="D106" s="413"/>
      <c r="E106" s="415"/>
      <c r="F106" s="415"/>
      <c r="G106" s="413"/>
      <c r="H106" s="416"/>
      <c r="I106" s="417"/>
      <c r="J106" s="418" t="str">
        <f t="shared" si="13"/>
        <v/>
      </c>
      <c r="K106" s="418" t="str">
        <f t="shared" si="11"/>
        <v>No Aplica</v>
      </c>
      <c r="L106" s="418" t="str">
        <f t="shared" si="14"/>
        <v/>
      </c>
      <c r="M106" s="418" t="str">
        <f t="shared" si="12"/>
        <v>No Aplica</v>
      </c>
      <c r="N106" s="418" t="str">
        <f t="shared" si="15"/>
        <v/>
      </c>
      <c r="O106" s="419"/>
      <c r="P106" s="413"/>
      <c r="Q106" s="413"/>
      <c r="R106" s="436"/>
    </row>
    <row r="109" spans="2:18" ht="15.6">
      <c r="C109" s="1546" t="s">
        <v>751</v>
      </c>
      <c r="D109" s="1547" t="s">
        <v>863</v>
      </c>
      <c r="E109" s="1550" t="s">
        <v>894</v>
      </c>
      <c r="F109" s="1550"/>
      <c r="G109" s="1550"/>
    </row>
    <row r="110" spans="2:18" ht="15.6">
      <c r="C110" s="1546"/>
      <c r="D110" s="1547"/>
      <c r="E110" s="531" t="s">
        <v>760</v>
      </c>
      <c r="F110" s="531" t="s">
        <v>764</v>
      </c>
      <c r="G110" s="531" t="s">
        <v>768</v>
      </c>
    </row>
    <row r="111" spans="2:18" ht="13.8">
      <c r="C111" s="546" t="s">
        <v>725</v>
      </c>
      <c r="D111" s="549">
        <f>COUNT(B5:B8)</f>
        <v>4</v>
      </c>
      <c r="E111" s="550">
        <f>COUNTIF($G5:$G8,"Eficacia")</f>
        <v>4</v>
      </c>
      <c r="F111" s="550">
        <f>COUNTIF($G5:$G8,"Eficiencia")</f>
        <v>0</v>
      </c>
      <c r="G111" s="550">
        <f>COUNTIF($G5:$G8,"Efectividad")</f>
        <v>0</v>
      </c>
    </row>
    <row r="112" spans="2:18" ht="13.8">
      <c r="C112" s="546" t="s">
        <v>727</v>
      </c>
      <c r="D112" s="549">
        <f>COUNT(B9:B12)</f>
        <v>4</v>
      </c>
      <c r="E112" s="550">
        <f>COUNTIF($G9:$G12,"Eficacia")</f>
        <v>4</v>
      </c>
      <c r="F112" s="550">
        <f>COUNTIF($G9:$G12,"Eficiencia")</f>
        <v>0</v>
      </c>
      <c r="G112" s="550">
        <f>COUNTIF($G9:$G12,"Efectividad")</f>
        <v>0</v>
      </c>
    </row>
    <row r="113" spans="3:9" ht="13.8">
      <c r="C113" s="546" t="s">
        <v>728</v>
      </c>
      <c r="D113" s="549">
        <f>COUNT(B13:B19)</f>
        <v>7</v>
      </c>
      <c r="E113" s="550">
        <f>COUNTIF($G13:$G19,"Eficacia")</f>
        <v>7</v>
      </c>
      <c r="F113" s="550">
        <f>COUNTIF($G13:$G19,"Eficiencia")</f>
        <v>0</v>
      </c>
      <c r="G113" s="550">
        <f>COUNTIF($G13:$G19,"Efectividad")</f>
        <v>0</v>
      </c>
    </row>
    <row r="114" spans="3:9" ht="13.8">
      <c r="C114" s="546" t="s">
        <v>729</v>
      </c>
      <c r="D114" s="549">
        <f>COUNT(B20:B21)</f>
        <v>2</v>
      </c>
      <c r="E114" s="550">
        <f>COUNTIF($G20:$G21,"Eficacia")</f>
        <v>2</v>
      </c>
      <c r="F114" s="550">
        <f>COUNTIF($G20:$G21,"Eficiencia")</f>
        <v>0</v>
      </c>
      <c r="G114" s="550">
        <f>COUNTIF($G20:$G21,"Efectividad")</f>
        <v>0</v>
      </c>
    </row>
    <row r="115" spans="3:9" ht="13.8">
      <c r="C115" s="546" t="s">
        <v>730</v>
      </c>
      <c r="D115" s="549">
        <f>COUNT(B22:B41)</f>
        <v>20</v>
      </c>
      <c r="E115" s="550">
        <f>COUNTIF($G18:$G38,"Eficacia")</f>
        <v>21</v>
      </c>
      <c r="F115" s="550">
        <f>COUNTIF($G18:$G38,"Eficiencia")</f>
        <v>0</v>
      </c>
      <c r="G115" s="550">
        <f>COUNTIF($G18:$G38,"Efectividad")</f>
        <v>0</v>
      </c>
    </row>
    <row r="116" spans="3:9" ht="13.8">
      <c r="C116" s="546" t="s">
        <v>865</v>
      </c>
      <c r="D116" s="549">
        <f>COUNT(B42:B48)</f>
        <v>7</v>
      </c>
      <c r="E116" s="550">
        <f>COUNTIF($G42:$G48,"Eficacia")</f>
        <v>7</v>
      </c>
      <c r="F116" s="550">
        <f>COUNTIF($G42:$G48,"Eficiencia")</f>
        <v>0</v>
      </c>
      <c r="G116" s="550">
        <f>COUNTIF($G42:$G48,"Efectividad")</f>
        <v>0</v>
      </c>
    </row>
    <row r="117" spans="3:9" ht="13.8">
      <c r="C117" s="546" t="s">
        <v>733</v>
      </c>
      <c r="D117" s="549">
        <f>COUNT(B49:B56)</f>
        <v>8</v>
      </c>
      <c r="E117" s="550">
        <f>COUNTIF($G49:$G56,"Eficacia")</f>
        <v>8</v>
      </c>
      <c r="F117" s="550">
        <f>COUNTIF($G49:$G56,"Eficiencia")</f>
        <v>0</v>
      </c>
      <c r="G117" s="550">
        <f>COUNTIF($G49:$G56,"Efectividad")</f>
        <v>0</v>
      </c>
    </row>
    <row r="118" spans="3:9" ht="13.8">
      <c r="C118" s="546" t="s">
        <v>734</v>
      </c>
      <c r="D118" s="549">
        <f>COUNT(B57:B64)</f>
        <v>8</v>
      </c>
      <c r="E118" s="550">
        <f>COUNTIF($G57:$G64,"Eficacia")</f>
        <v>7</v>
      </c>
      <c r="F118" s="550">
        <f>COUNTIF($G57:$G64,"Eficiencia")</f>
        <v>0</v>
      </c>
      <c r="G118" s="550">
        <f>COUNTIF($G57:$G64,"Efectividad")</f>
        <v>1</v>
      </c>
    </row>
    <row r="119" spans="3:9" ht="13.8">
      <c r="C119" s="546" t="s">
        <v>735</v>
      </c>
      <c r="D119" s="549">
        <f>COUNT(B65:B66)</f>
        <v>2</v>
      </c>
      <c r="E119" s="550">
        <f>COUNTIF($G65:$G66,"Eficacia")</f>
        <v>2</v>
      </c>
      <c r="F119" s="550">
        <f>COUNTIF($G65:$G66,"Eficiencia")</f>
        <v>0</v>
      </c>
      <c r="G119" s="550">
        <f>COUNTIF($G65:$G66,"Efectividad")</f>
        <v>0</v>
      </c>
    </row>
    <row r="120" spans="3:9" ht="13.8">
      <c r="C120" s="546" t="s">
        <v>736</v>
      </c>
      <c r="D120" s="549">
        <f>COUNT(B67:B69)</f>
        <v>3</v>
      </c>
      <c r="E120" s="550">
        <f>COUNTIF($G67:$G69,"Eficacia")</f>
        <v>3</v>
      </c>
      <c r="F120" s="550">
        <f>COUNTIF($G67:$G69,"Eficiencia")</f>
        <v>0</v>
      </c>
      <c r="G120" s="550">
        <f>COUNTIF($G67:$G69,"Efectividad")</f>
        <v>0</v>
      </c>
    </row>
    <row r="121" spans="3:9" ht="13.8">
      <c r="C121" s="546" t="s">
        <v>737</v>
      </c>
      <c r="D121" s="549">
        <f>COUNT(B70:B73)</f>
        <v>4</v>
      </c>
      <c r="E121" s="550">
        <f>COUNTIF($G70:$G73,"Eficacia")</f>
        <v>1</v>
      </c>
      <c r="F121" s="550">
        <f>COUNTIF($G70:$G73,"Eficiencia")</f>
        <v>3</v>
      </c>
      <c r="G121" s="550">
        <f>COUNTIF($G70:$G73,"Efectividad")</f>
        <v>0</v>
      </c>
    </row>
    <row r="122" spans="3:9" ht="13.8">
      <c r="C122" s="546" t="s">
        <v>738</v>
      </c>
      <c r="D122" s="549">
        <f>COUNT(B74:B77)</f>
        <v>4</v>
      </c>
      <c r="E122" s="550">
        <f>COUNTIF($G74:$G77,"Eficacia")</f>
        <v>3</v>
      </c>
      <c r="F122" s="550">
        <f>COUNTIF($G74:$G77,"Eficiencia")</f>
        <v>1</v>
      </c>
      <c r="G122" s="550">
        <f>COUNTIF($G74:$G77,"Efectividad")</f>
        <v>0</v>
      </c>
    </row>
    <row r="123" spans="3:9" ht="13.8">
      <c r="C123" s="546" t="s">
        <v>739</v>
      </c>
      <c r="D123" s="549">
        <f>COUNT(B78:B82)</f>
        <v>5</v>
      </c>
      <c r="E123" s="550">
        <f>COUNTIF($G78:$G82,"Eficacia")</f>
        <v>5</v>
      </c>
      <c r="F123" s="550">
        <f>COUNTIF($G78:$G82,"Eficiencia")</f>
        <v>0</v>
      </c>
      <c r="G123" s="550">
        <f>COUNTIF($G78:$G82,"Efectividad")</f>
        <v>0</v>
      </c>
    </row>
    <row r="124" spans="3:9" ht="13.8">
      <c r="C124" s="546" t="s">
        <v>740</v>
      </c>
      <c r="D124" s="549">
        <f>COUNT(B83:B85)</f>
        <v>3</v>
      </c>
      <c r="E124" s="550">
        <f>COUNTIF($G83:$G85,"Eficacia")</f>
        <v>3</v>
      </c>
      <c r="F124" s="550">
        <f>COUNTIF($G83:$G85,"Eficiencia")</f>
        <v>0</v>
      </c>
      <c r="G124" s="550">
        <f>COUNTIF($G83:$G85,"Efectividad")</f>
        <v>0</v>
      </c>
    </row>
    <row r="125" spans="3:9" ht="13.8">
      <c r="C125" s="546" t="s">
        <v>741</v>
      </c>
      <c r="D125" s="549">
        <f>COUNT(B86:B88)</f>
        <v>3</v>
      </c>
      <c r="E125" s="550">
        <f>COUNTIF($G86:$G88,"Eficacia")</f>
        <v>3</v>
      </c>
      <c r="F125" s="550">
        <f>COUNTIF($G86:$G88,"Eficiencia")</f>
        <v>0</v>
      </c>
      <c r="G125" s="550">
        <f>COUNTIF($G86:$G88,"Efectividad")</f>
        <v>0</v>
      </c>
    </row>
    <row r="126" spans="3:9" ht="13.8">
      <c r="C126" s="546" t="s">
        <v>742</v>
      </c>
      <c r="D126" s="549">
        <f>COUNT(B89:B91)</f>
        <v>3</v>
      </c>
      <c r="E126" s="550">
        <f>COUNTIF($G89:$G91,"Eficacia")</f>
        <v>3</v>
      </c>
      <c r="F126" s="550">
        <f>COUNTIF($G89:$G91,"Eficiencia")</f>
        <v>0</v>
      </c>
      <c r="G126" s="550">
        <f>COUNTIF($G89:$G91,"Efectividad")</f>
        <v>0</v>
      </c>
    </row>
    <row r="127" spans="3:9" ht="15.6">
      <c r="C127" s="547" t="s">
        <v>901</v>
      </c>
      <c r="D127" s="548">
        <f>SUM(D111:D126)</f>
        <v>87</v>
      </c>
      <c r="E127" s="548">
        <f t="shared" ref="E127:G127" si="20">SUM(E111:E126)</f>
        <v>83</v>
      </c>
      <c r="F127" s="548">
        <f t="shared" si="20"/>
        <v>4</v>
      </c>
      <c r="G127" s="548">
        <f t="shared" si="20"/>
        <v>1</v>
      </c>
      <c r="H127" s="551"/>
      <c r="I127" s="552"/>
    </row>
  </sheetData>
  <sheetProtection formatRows="0"/>
  <mergeCells count="8">
    <mergeCell ref="C109:C110"/>
    <mergeCell ref="D109:D110"/>
    <mergeCell ref="B2:O2"/>
    <mergeCell ref="H3:O3"/>
    <mergeCell ref="H4:I4"/>
    <mergeCell ref="J4:M4"/>
    <mergeCell ref="N4:O4"/>
    <mergeCell ref="E109:G109"/>
  </mergeCells>
  <phoneticPr fontId="68" type="noConversion"/>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4D81A49A-85CB-41E7-8055-CB9D83FD034A}">
          <x14:formula1>
            <xm:f>Listas1!$D$2:$D$4</xm:f>
          </x14:formula1>
          <xm:sqref>G5:G106</xm:sqref>
        </x14:dataValidation>
        <x14:dataValidation type="list" allowBlank="1" showInputMessage="1" showErrorMessage="1" xr:uid="{A9D6115B-0421-40B7-A5F0-DD966BD3D0BC}">
          <x14:formula1>
            <xm:f>Listas1!$G$2:$G$6</xm:f>
          </x14:formula1>
          <xm:sqref>H5:H106</xm:sqref>
        </x14:dataValidation>
        <x14:dataValidation type="list" allowBlank="1" showInputMessage="1" showErrorMessage="1" xr:uid="{9CC7EAA0-D1B5-4E2A-84DE-6AD188ABC013}">
          <x14:formula1>
            <xm:f>Listas1!$A$2:$A$17</xm:f>
          </x14:formula1>
          <xm:sqref>C5:C106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0B201-2029-4371-9633-7F68E9D3BAC5}">
  <sheetPr>
    <tabColor rgb="FF00B050"/>
  </sheetPr>
  <dimension ref="B1:O109"/>
  <sheetViews>
    <sheetView showGridLines="0" topLeftCell="C1" zoomScale="55" zoomScaleNormal="55" workbookViewId="0">
      <pane xSplit="2" ySplit="12" topLeftCell="E13" activePane="bottomRight" state="frozen"/>
      <selection activeCell="C1" sqref="C1"/>
      <selection pane="topRight" activeCell="E1" sqref="E1"/>
      <selection pane="bottomLeft" activeCell="C13" sqref="C13"/>
      <selection pane="bottomRight" activeCell="D13" sqref="D13"/>
    </sheetView>
  </sheetViews>
  <sheetFormatPr baseColWidth="10" defaultColWidth="17.33203125" defaultRowHeight="15" customHeight="1"/>
  <cols>
    <col min="1" max="1" width="4.33203125" style="135" customWidth="1"/>
    <col min="2" max="2" width="50.44140625" style="133" customWidth="1"/>
    <col min="3" max="3" width="55.109375" style="133" customWidth="1"/>
    <col min="4" max="4" width="52.88671875" style="133" customWidth="1"/>
    <col min="5" max="5" width="25.44140625" style="134" customWidth="1"/>
    <col min="6" max="6" width="26.33203125" style="134" customWidth="1"/>
    <col min="7" max="7" width="18" style="134" customWidth="1"/>
    <col min="8" max="8" width="43.6640625" style="133" customWidth="1"/>
    <col min="9" max="9" width="29.44140625" style="133" customWidth="1"/>
    <col min="10" max="10" width="56.33203125" style="133" customWidth="1"/>
    <col min="11" max="14" width="14.33203125" style="135" customWidth="1"/>
    <col min="15" max="15" width="18.5546875" style="135" customWidth="1"/>
    <col min="16" max="16384" width="17.33203125" style="135"/>
  </cols>
  <sheetData>
    <row r="1" spans="2:15" ht="15" customHeight="1" thickBot="1"/>
    <row r="2" spans="2:15" ht="16.5" customHeight="1">
      <c r="B2" s="1575" t="s">
        <v>702</v>
      </c>
      <c r="C2" s="1569" t="s">
        <v>44</v>
      </c>
      <c r="D2" s="1510"/>
      <c r="E2" s="1510"/>
      <c r="F2" s="1510"/>
      <c r="G2" s="1510"/>
      <c r="H2" s="1510"/>
      <c r="I2" s="1510"/>
      <c r="J2" s="1510"/>
      <c r="K2" s="1510"/>
      <c r="L2" s="1510"/>
      <c r="M2" s="1570"/>
      <c r="N2" s="1562" t="s">
        <v>31</v>
      </c>
      <c r="O2" s="1563"/>
    </row>
    <row r="3" spans="2:15" ht="16.5" customHeight="1">
      <c r="B3" s="1576"/>
      <c r="C3" s="1571"/>
      <c r="D3" s="1513"/>
      <c r="E3" s="1513"/>
      <c r="F3" s="1513"/>
      <c r="G3" s="1513"/>
      <c r="H3" s="1513"/>
      <c r="I3" s="1513"/>
      <c r="J3" s="1513"/>
      <c r="K3" s="1513"/>
      <c r="L3" s="1513"/>
      <c r="M3" s="1572"/>
      <c r="N3" s="27" t="s">
        <v>28</v>
      </c>
      <c r="O3" s="28" t="s">
        <v>29</v>
      </c>
    </row>
    <row r="4" spans="2:15" ht="16.5" customHeight="1">
      <c r="B4" s="1576"/>
      <c r="C4" s="1571"/>
      <c r="D4" s="1513"/>
      <c r="E4" s="1513"/>
      <c r="F4" s="1513"/>
      <c r="G4" s="1513"/>
      <c r="H4" s="1513"/>
      <c r="I4" s="1513"/>
      <c r="J4" s="1513"/>
      <c r="K4" s="1513"/>
      <c r="L4" s="1513"/>
      <c r="M4" s="1572"/>
      <c r="N4" s="29">
        <v>5</v>
      </c>
      <c r="O4" s="30" t="s">
        <v>656</v>
      </c>
    </row>
    <row r="5" spans="2:15" ht="16.5" customHeight="1">
      <c r="B5" s="1576"/>
      <c r="C5" s="1571"/>
      <c r="D5" s="1513"/>
      <c r="E5" s="1513"/>
      <c r="F5" s="1513"/>
      <c r="G5" s="1513"/>
      <c r="H5" s="1513"/>
      <c r="I5" s="1513"/>
      <c r="J5" s="1513"/>
      <c r="K5" s="1513"/>
      <c r="L5" s="1513"/>
      <c r="M5" s="1572"/>
      <c r="N5" s="1564" t="s">
        <v>30</v>
      </c>
      <c r="O5" s="1565"/>
    </row>
    <row r="6" spans="2:15" ht="16.5" customHeight="1" thickBot="1">
      <c r="B6" s="1577"/>
      <c r="C6" s="1573"/>
      <c r="D6" s="1516"/>
      <c r="E6" s="1516"/>
      <c r="F6" s="1516"/>
      <c r="G6" s="1516"/>
      <c r="H6" s="1516"/>
      <c r="I6" s="1516"/>
      <c r="J6" s="1516"/>
      <c r="K6" s="1516"/>
      <c r="L6" s="1516"/>
      <c r="M6" s="1574"/>
      <c r="N6" s="1566">
        <v>44306</v>
      </c>
      <c r="O6" s="1567"/>
    </row>
    <row r="7" spans="2:15" ht="14.25" customHeight="1">
      <c r="B7" s="136"/>
      <c r="C7" s="136"/>
      <c r="D7" s="136"/>
      <c r="E7" s="137"/>
      <c r="F7" s="137"/>
      <c r="G7" s="137"/>
      <c r="H7" s="136"/>
      <c r="I7" s="136"/>
      <c r="J7" s="136"/>
    </row>
    <row r="8" spans="2:15" ht="18" customHeight="1">
      <c r="B8" s="1568" t="s">
        <v>48</v>
      </c>
      <c r="C8" s="1568"/>
      <c r="D8" s="1568"/>
      <c r="E8" s="1568"/>
      <c r="F8" s="1568"/>
      <c r="G8" s="1568"/>
      <c r="H8" s="1568"/>
      <c r="I8" s="1568"/>
      <c r="J8" s="1568"/>
      <c r="K8" s="1568"/>
      <c r="L8" s="1568"/>
      <c r="M8" s="1568"/>
      <c r="N8" s="1568"/>
      <c r="O8" s="1568"/>
    </row>
    <row r="9" spans="2:15" ht="14.25" customHeight="1">
      <c r="B9" s="136"/>
      <c r="C9" s="136"/>
      <c r="D9" s="136"/>
      <c r="E9" s="137"/>
      <c r="F9" s="137"/>
      <c r="G9" s="137"/>
      <c r="H9" s="136"/>
      <c r="I9" s="136"/>
      <c r="J9" s="136"/>
      <c r="K9" s="138"/>
      <c r="L9" s="138"/>
      <c r="M9" s="138"/>
      <c r="N9" s="138"/>
      <c r="O9" s="138"/>
    </row>
    <row r="10" spans="2:15" ht="24.75" customHeight="1">
      <c r="B10" s="1476" t="s">
        <v>0</v>
      </c>
      <c r="C10" s="1476" t="s">
        <v>52</v>
      </c>
      <c r="D10" s="1476" t="s">
        <v>54</v>
      </c>
      <c r="E10" s="1500" t="s">
        <v>55</v>
      </c>
      <c r="F10" s="1476" t="s">
        <v>56</v>
      </c>
      <c r="G10" s="1476" t="s">
        <v>70</v>
      </c>
      <c r="H10" s="1476" t="s">
        <v>57</v>
      </c>
      <c r="I10" s="1476" t="s">
        <v>41</v>
      </c>
      <c r="J10" s="1476" t="s">
        <v>42</v>
      </c>
      <c r="K10" s="1528" t="s">
        <v>75</v>
      </c>
      <c r="L10" s="1528"/>
      <c r="M10" s="1528"/>
      <c r="N10" s="1528"/>
      <c r="O10" s="1578" t="s">
        <v>43</v>
      </c>
    </row>
    <row r="11" spans="2:15" ht="24.75" customHeight="1">
      <c r="B11" s="1476"/>
      <c r="C11" s="1476"/>
      <c r="D11" s="1476"/>
      <c r="E11" s="1501"/>
      <c r="F11" s="1476"/>
      <c r="G11" s="1476"/>
      <c r="H11" s="1476"/>
      <c r="I11" s="1476"/>
      <c r="J11" s="1476"/>
      <c r="K11" s="78" t="s">
        <v>59</v>
      </c>
      <c r="L11" s="78" t="s">
        <v>59</v>
      </c>
      <c r="M11" s="78" t="s">
        <v>59</v>
      </c>
      <c r="N11" s="78" t="s">
        <v>59</v>
      </c>
      <c r="O11" s="1578"/>
    </row>
    <row r="12" spans="2:15" ht="22.5" customHeight="1">
      <c r="B12" s="1476"/>
      <c r="C12" s="1476"/>
      <c r="D12" s="1476"/>
      <c r="E12" s="1502"/>
      <c r="F12" s="1476"/>
      <c r="G12" s="1476"/>
      <c r="H12" s="1476"/>
      <c r="I12" s="1476"/>
      <c r="J12" s="1476"/>
      <c r="K12" s="84">
        <v>2021</v>
      </c>
      <c r="L12" s="84">
        <v>2022</v>
      </c>
      <c r="M12" s="84">
        <v>2023</v>
      </c>
      <c r="N12" s="84">
        <v>2024</v>
      </c>
      <c r="O12" s="1578"/>
    </row>
    <row r="13" spans="2:15" ht="103.5" customHeight="1">
      <c r="B13" s="1484" t="s">
        <v>130</v>
      </c>
      <c r="C13" s="1554" t="s">
        <v>1079</v>
      </c>
      <c r="D13" s="31" t="s">
        <v>1080</v>
      </c>
      <c r="E13" s="52">
        <v>0.38</v>
      </c>
      <c r="F13" s="139">
        <v>356610</v>
      </c>
      <c r="G13" s="302" t="s">
        <v>156</v>
      </c>
      <c r="H13" s="141" t="s">
        <v>168</v>
      </c>
      <c r="I13" s="142" t="s">
        <v>198</v>
      </c>
      <c r="J13" s="143" t="s">
        <v>642</v>
      </c>
      <c r="K13" s="931">
        <v>102450</v>
      </c>
      <c r="L13" s="901">
        <v>106660</v>
      </c>
      <c r="M13" s="901">
        <v>98250</v>
      </c>
      <c r="N13" s="901">
        <v>49250</v>
      </c>
      <c r="O13" s="35">
        <f>K13+L13+M13+N13</f>
        <v>356610</v>
      </c>
    </row>
    <row r="14" spans="2:15" ht="142.5" customHeight="1">
      <c r="B14" s="1485"/>
      <c r="C14" s="1487"/>
      <c r="D14" s="31" t="s">
        <v>1081</v>
      </c>
      <c r="E14" s="52">
        <v>0.3</v>
      </c>
      <c r="F14" s="139">
        <v>292755</v>
      </c>
      <c r="G14" s="302" t="s">
        <v>156</v>
      </c>
      <c r="H14" s="141" t="s">
        <v>169</v>
      </c>
      <c r="I14" s="142" t="s">
        <v>198</v>
      </c>
      <c r="J14" s="143" t="s">
        <v>643</v>
      </c>
      <c r="K14" s="931">
        <v>78750</v>
      </c>
      <c r="L14" s="901">
        <v>97105</v>
      </c>
      <c r="M14" s="901">
        <v>76600</v>
      </c>
      <c r="N14" s="901">
        <v>40300</v>
      </c>
      <c r="O14" s="35">
        <f t="shared" ref="O14:O47" si="0">K14+L14+M14+N14</f>
        <v>292755</v>
      </c>
    </row>
    <row r="15" spans="2:15" ht="185.25" customHeight="1">
      <c r="B15" s="1485"/>
      <c r="C15" s="1487"/>
      <c r="D15" s="31" t="s">
        <v>1082</v>
      </c>
      <c r="E15" s="52">
        <v>0.15</v>
      </c>
      <c r="F15" s="139">
        <v>117610</v>
      </c>
      <c r="G15" s="302" t="s">
        <v>156</v>
      </c>
      <c r="H15" s="141" t="s">
        <v>170</v>
      </c>
      <c r="I15" s="142" t="s">
        <v>198</v>
      </c>
      <c r="J15" s="143" t="s">
        <v>644</v>
      </c>
      <c r="K15" s="931">
        <v>28695</v>
      </c>
      <c r="L15" s="901">
        <v>26115</v>
      </c>
      <c r="M15" s="901">
        <v>39200</v>
      </c>
      <c r="N15" s="901">
        <v>23600</v>
      </c>
      <c r="O15" s="35">
        <f t="shared" si="0"/>
        <v>117610</v>
      </c>
    </row>
    <row r="16" spans="2:15" ht="45" customHeight="1">
      <c r="B16" s="1485"/>
      <c r="C16" s="1487"/>
      <c r="D16" s="31" t="s">
        <v>1083</v>
      </c>
      <c r="E16" s="52">
        <v>0.04</v>
      </c>
      <c r="F16" s="139">
        <v>28586</v>
      </c>
      <c r="G16" s="302" t="s">
        <v>156</v>
      </c>
      <c r="H16" s="141" t="s">
        <v>172</v>
      </c>
      <c r="I16" s="142" t="s">
        <v>198</v>
      </c>
      <c r="J16" s="143" t="s">
        <v>613</v>
      </c>
      <c r="K16" s="901">
        <v>6810</v>
      </c>
      <c r="L16" s="901">
        <v>6900</v>
      </c>
      <c r="M16" s="901">
        <v>10500</v>
      </c>
      <c r="N16" s="901">
        <v>4376</v>
      </c>
      <c r="O16" s="35">
        <f t="shared" si="0"/>
        <v>28586</v>
      </c>
    </row>
    <row r="17" spans="2:15" ht="159" customHeight="1">
      <c r="B17" s="1485"/>
      <c r="C17" s="1487"/>
      <c r="D17" s="31" t="s">
        <v>1084</v>
      </c>
      <c r="E17" s="52">
        <v>0.06</v>
      </c>
      <c r="F17" s="139">
        <v>55722</v>
      </c>
      <c r="G17" s="302" t="s">
        <v>156</v>
      </c>
      <c r="H17" s="141" t="s">
        <v>173</v>
      </c>
      <c r="I17" s="142" t="s">
        <v>198</v>
      </c>
      <c r="J17" s="143" t="s">
        <v>1055</v>
      </c>
      <c r="K17" s="931">
        <v>14307</v>
      </c>
      <c r="L17" s="901">
        <v>16115</v>
      </c>
      <c r="M17" s="901">
        <v>21200</v>
      </c>
      <c r="N17" s="901">
        <v>4100</v>
      </c>
      <c r="O17" s="35">
        <f t="shared" si="0"/>
        <v>55722</v>
      </c>
    </row>
    <row r="18" spans="2:15" ht="108.6" customHeight="1">
      <c r="B18" s="1485"/>
      <c r="C18" s="1487"/>
      <c r="D18" s="31" t="s">
        <v>171</v>
      </c>
      <c r="E18" s="52">
        <v>0.01</v>
      </c>
      <c r="F18" s="139">
        <v>80</v>
      </c>
      <c r="G18" s="302" t="s">
        <v>156</v>
      </c>
      <c r="H18" s="141" t="s">
        <v>174</v>
      </c>
      <c r="I18" s="142" t="s">
        <v>198</v>
      </c>
      <c r="J18" s="143" t="s">
        <v>645</v>
      </c>
      <c r="K18" s="144">
        <v>20</v>
      </c>
      <c r="L18" s="144">
        <v>20</v>
      </c>
      <c r="M18" s="144">
        <v>20</v>
      </c>
      <c r="N18" s="144">
        <v>20</v>
      </c>
      <c r="O18" s="35">
        <f t="shared" si="0"/>
        <v>80</v>
      </c>
    </row>
    <row r="19" spans="2:15" ht="88.5" customHeight="1">
      <c r="B19" s="1485"/>
      <c r="C19" s="1487"/>
      <c r="D19" s="31" t="s">
        <v>175</v>
      </c>
      <c r="E19" s="52">
        <v>0.01</v>
      </c>
      <c r="F19" s="139" t="s">
        <v>176</v>
      </c>
      <c r="G19" s="302" t="s">
        <v>156</v>
      </c>
      <c r="H19" s="141" t="s">
        <v>195</v>
      </c>
      <c r="I19" s="142" t="s">
        <v>198</v>
      </c>
      <c r="J19" s="143" t="s">
        <v>646</v>
      </c>
      <c r="K19" s="145" t="s">
        <v>176</v>
      </c>
      <c r="L19" s="145" t="s">
        <v>176</v>
      </c>
      <c r="M19" s="145" t="s">
        <v>176</v>
      </c>
      <c r="N19" s="145" t="s">
        <v>176</v>
      </c>
      <c r="O19" s="36" t="s">
        <v>176</v>
      </c>
    </row>
    <row r="20" spans="2:15" ht="121.5" customHeight="1">
      <c r="B20" s="1485"/>
      <c r="C20" s="1487"/>
      <c r="D20" s="31" t="s">
        <v>1085</v>
      </c>
      <c r="E20" s="52">
        <v>0.02</v>
      </c>
      <c r="F20" s="139">
        <v>19500</v>
      </c>
      <c r="G20" s="302" t="s">
        <v>156</v>
      </c>
      <c r="H20" s="141" t="s">
        <v>196</v>
      </c>
      <c r="I20" s="142" t="s">
        <v>198</v>
      </c>
      <c r="J20" s="143" t="s">
        <v>647</v>
      </c>
      <c r="K20" s="901">
        <v>5000</v>
      </c>
      <c r="L20" s="901">
        <v>6000</v>
      </c>
      <c r="M20" s="901">
        <v>6500</v>
      </c>
      <c r="N20" s="901">
        <v>2000</v>
      </c>
      <c r="O20" s="35">
        <f t="shared" si="0"/>
        <v>19500</v>
      </c>
    </row>
    <row r="21" spans="2:15" ht="84.75" customHeight="1">
      <c r="B21" s="1485"/>
      <c r="C21" s="1487"/>
      <c r="D21" s="31" t="s">
        <v>1086</v>
      </c>
      <c r="E21" s="52">
        <v>0.01</v>
      </c>
      <c r="F21" s="139">
        <v>11000</v>
      </c>
      <c r="G21" s="302" t="s">
        <v>156</v>
      </c>
      <c r="H21" s="141" t="s">
        <v>237</v>
      </c>
      <c r="I21" s="142" t="s">
        <v>198</v>
      </c>
      <c r="J21" s="143" t="s">
        <v>647</v>
      </c>
      <c r="K21" s="901">
        <v>3000</v>
      </c>
      <c r="L21" s="901">
        <v>3000</v>
      </c>
      <c r="M21" s="901">
        <v>4000</v>
      </c>
      <c r="N21" s="901">
        <v>1000</v>
      </c>
      <c r="O21" s="35">
        <f t="shared" si="0"/>
        <v>11000</v>
      </c>
    </row>
    <row r="22" spans="2:15" ht="83.25" customHeight="1">
      <c r="B22" s="1485"/>
      <c r="C22" s="1487"/>
      <c r="D22" s="31" t="s">
        <v>1087</v>
      </c>
      <c r="E22" s="52">
        <v>0.01</v>
      </c>
      <c r="F22" s="139">
        <v>2300</v>
      </c>
      <c r="G22" s="302" t="s">
        <v>156</v>
      </c>
      <c r="H22" s="141" t="s">
        <v>197</v>
      </c>
      <c r="I22" s="142" t="s">
        <v>198</v>
      </c>
      <c r="J22" s="143" t="s">
        <v>647</v>
      </c>
      <c r="K22" s="901">
        <v>700</v>
      </c>
      <c r="L22" s="901">
        <v>500</v>
      </c>
      <c r="M22" s="901">
        <v>800</v>
      </c>
      <c r="N22" s="901">
        <v>300</v>
      </c>
      <c r="O22" s="35">
        <f t="shared" si="0"/>
        <v>2300</v>
      </c>
    </row>
    <row r="23" spans="2:15" ht="93.75" customHeight="1">
      <c r="B23" s="1485"/>
      <c r="C23" s="1555"/>
      <c r="D23" s="31" t="s">
        <v>1088</v>
      </c>
      <c r="E23" s="52">
        <v>0.01</v>
      </c>
      <c r="F23" s="139">
        <v>40</v>
      </c>
      <c r="G23" s="302" t="s">
        <v>156</v>
      </c>
      <c r="H23" s="141" t="s">
        <v>177</v>
      </c>
      <c r="I23" s="142" t="s">
        <v>198</v>
      </c>
      <c r="J23" s="143" t="s">
        <v>647</v>
      </c>
      <c r="K23" s="901">
        <v>0</v>
      </c>
      <c r="L23" s="901">
        <v>0</v>
      </c>
      <c r="M23" s="901">
        <v>20</v>
      </c>
      <c r="N23" s="901">
        <v>20</v>
      </c>
      <c r="O23" s="35">
        <f t="shared" si="0"/>
        <v>40</v>
      </c>
    </row>
    <row r="24" spans="2:15" ht="135.75" customHeight="1">
      <c r="B24" s="1485"/>
      <c r="C24" s="1554" t="s">
        <v>1089</v>
      </c>
      <c r="D24" s="31" t="s">
        <v>1090</v>
      </c>
      <c r="E24" s="52">
        <v>0.75</v>
      </c>
      <c r="F24" s="139">
        <v>205930</v>
      </c>
      <c r="G24" s="302" t="s">
        <v>156</v>
      </c>
      <c r="H24" s="141" t="s">
        <v>178</v>
      </c>
      <c r="I24" s="142" t="s">
        <v>198</v>
      </c>
      <c r="J24" s="143" t="s">
        <v>648</v>
      </c>
      <c r="K24" s="901">
        <v>62360</v>
      </c>
      <c r="L24" s="901">
        <v>71570</v>
      </c>
      <c r="M24" s="901">
        <v>53000</v>
      </c>
      <c r="N24" s="901">
        <v>19000</v>
      </c>
      <c r="O24" s="35">
        <f t="shared" si="0"/>
        <v>205930</v>
      </c>
    </row>
    <row r="25" spans="2:15" ht="102" customHeight="1">
      <c r="B25" s="1485"/>
      <c r="C25" s="1487"/>
      <c r="D25" s="31" t="s">
        <v>1091</v>
      </c>
      <c r="E25" s="52">
        <v>0.12</v>
      </c>
      <c r="F25" s="139">
        <v>23910</v>
      </c>
      <c r="G25" s="302" t="s">
        <v>156</v>
      </c>
      <c r="H25" s="141" t="s">
        <v>179</v>
      </c>
      <c r="I25" s="142" t="s">
        <v>198</v>
      </c>
      <c r="J25" s="143" t="s">
        <v>649</v>
      </c>
      <c r="K25" s="931">
        <v>5480</v>
      </c>
      <c r="L25" s="901">
        <v>5480</v>
      </c>
      <c r="M25" s="901">
        <v>8650</v>
      </c>
      <c r="N25" s="901">
        <v>4300</v>
      </c>
      <c r="O25" s="35">
        <f t="shared" si="0"/>
        <v>23910</v>
      </c>
    </row>
    <row r="26" spans="2:15" ht="82.95" customHeight="1">
      <c r="B26" s="1485"/>
      <c r="C26" s="1487"/>
      <c r="D26" s="31" t="s">
        <v>1092</v>
      </c>
      <c r="E26" s="52">
        <v>0.09</v>
      </c>
      <c r="F26" s="139">
        <v>18880</v>
      </c>
      <c r="G26" s="302" t="s">
        <v>156</v>
      </c>
      <c r="H26" s="141" t="s">
        <v>180</v>
      </c>
      <c r="I26" s="142" t="s">
        <v>198</v>
      </c>
      <c r="J26" s="143" t="s">
        <v>650</v>
      </c>
      <c r="K26" s="901">
        <v>4790</v>
      </c>
      <c r="L26" s="901">
        <v>4790</v>
      </c>
      <c r="M26" s="901">
        <v>6300</v>
      </c>
      <c r="N26" s="901">
        <v>3000</v>
      </c>
      <c r="O26" s="35">
        <f t="shared" si="0"/>
        <v>18880</v>
      </c>
    </row>
    <row r="27" spans="2:15" ht="73.2" customHeight="1">
      <c r="B27" s="1485"/>
      <c r="C27" s="1487"/>
      <c r="D27" s="31" t="s">
        <v>1093</v>
      </c>
      <c r="E27" s="299">
        <v>0.02</v>
      </c>
      <c r="F27" s="139">
        <v>3940</v>
      </c>
      <c r="G27" s="302" t="s">
        <v>156</v>
      </c>
      <c r="H27" s="141" t="s">
        <v>181</v>
      </c>
      <c r="I27" s="142" t="s">
        <v>198</v>
      </c>
      <c r="J27" s="146" t="s">
        <v>651</v>
      </c>
      <c r="K27" s="901">
        <v>940</v>
      </c>
      <c r="L27" s="901">
        <v>800</v>
      </c>
      <c r="M27" s="901">
        <v>1200</v>
      </c>
      <c r="N27" s="901">
        <v>600</v>
      </c>
      <c r="O27" s="35">
        <f t="shared" si="0"/>
        <v>3540</v>
      </c>
    </row>
    <row r="28" spans="2:15" ht="120" customHeight="1">
      <c r="B28" s="1485"/>
      <c r="C28" s="1487"/>
      <c r="D28" s="31" t="s">
        <v>1094</v>
      </c>
      <c r="E28" s="147">
        <v>0.01</v>
      </c>
      <c r="F28" s="139">
        <v>7711</v>
      </c>
      <c r="G28" s="302" t="s">
        <v>156</v>
      </c>
      <c r="H28" s="141" t="s">
        <v>182</v>
      </c>
      <c r="I28" s="31" t="s">
        <v>198</v>
      </c>
      <c r="J28" s="148" t="s">
        <v>652</v>
      </c>
      <c r="K28" s="931">
        <v>2802</v>
      </c>
      <c r="L28" s="901">
        <v>2771</v>
      </c>
      <c r="M28" s="901">
        <v>1092</v>
      </c>
      <c r="N28" s="901">
        <v>1046</v>
      </c>
      <c r="O28" s="35">
        <f t="shared" si="0"/>
        <v>7711</v>
      </c>
    </row>
    <row r="29" spans="2:15" ht="105">
      <c r="B29" s="1485"/>
      <c r="C29" s="1555"/>
      <c r="D29" s="31" t="s">
        <v>1095</v>
      </c>
      <c r="E29" s="147">
        <v>0.01</v>
      </c>
      <c r="F29" s="139">
        <v>712</v>
      </c>
      <c r="G29" s="302" t="s">
        <v>156</v>
      </c>
      <c r="H29" s="141" t="s">
        <v>183</v>
      </c>
      <c r="I29" s="31" t="s">
        <v>198</v>
      </c>
      <c r="J29" s="148" t="s">
        <v>653</v>
      </c>
      <c r="K29" s="901">
        <v>228</v>
      </c>
      <c r="L29" s="901">
        <v>208</v>
      </c>
      <c r="M29" s="901">
        <v>182</v>
      </c>
      <c r="N29" s="901">
        <v>120</v>
      </c>
      <c r="O29" s="35">
        <f t="shared" si="0"/>
        <v>738</v>
      </c>
    </row>
    <row r="30" spans="2:15" ht="90" customHeight="1">
      <c r="B30" s="1485"/>
      <c r="C30" s="1554" t="s">
        <v>1106</v>
      </c>
      <c r="D30" s="31" t="s">
        <v>184</v>
      </c>
      <c r="E30" s="300">
        <v>0.56000000000000005</v>
      </c>
      <c r="F30" s="139">
        <v>20</v>
      </c>
      <c r="G30" s="302" t="s">
        <v>156</v>
      </c>
      <c r="H30" s="141" t="s">
        <v>185</v>
      </c>
      <c r="I30" s="149" t="s">
        <v>198</v>
      </c>
      <c r="J30" s="150" t="s">
        <v>654</v>
      </c>
      <c r="K30" s="901">
        <v>2</v>
      </c>
      <c r="L30" s="901">
        <v>8</v>
      </c>
      <c r="M30" s="901">
        <v>8</v>
      </c>
      <c r="N30" s="901">
        <v>2</v>
      </c>
      <c r="O30" s="35">
        <f t="shared" si="0"/>
        <v>20</v>
      </c>
    </row>
    <row r="31" spans="2:15" ht="92.25" customHeight="1">
      <c r="B31" s="1485"/>
      <c r="C31" s="1487"/>
      <c r="D31" s="31" t="s">
        <v>186</v>
      </c>
      <c r="E31" s="52">
        <v>0.31</v>
      </c>
      <c r="F31" s="139">
        <v>11</v>
      </c>
      <c r="G31" s="302" t="s">
        <v>156</v>
      </c>
      <c r="H31" s="141" t="s">
        <v>187</v>
      </c>
      <c r="I31" s="142" t="s">
        <v>198</v>
      </c>
      <c r="J31" s="143" t="s">
        <v>654</v>
      </c>
      <c r="K31" s="901">
        <v>3</v>
      </c>
      <c r="L31" s="901">
        <v>3</v>
      </c>
      <c r="M31" s="901">
        <v>3</v>
      </c>
      <c r="N31" s="901">
        <v>2</v>
      </c>
      <c r="O31" s="35">
        <f t="shared" si="0"/>
        <v>11</v>
      </c>
    </row>
    <row r="32" spans="2:15" ht="83.25" customHeight="1">
      <c r="B32" s="1485"/>
      <c r="C32" s="1487"/>
      <c r="D32" s="31" t="s">
        <v>188</v>
      </c>
      <c r="E32" s="52">
        <v>0.11</v>
      </c>
      <c r="F32" s="139">
        <v>4</v>
      </c>
      <c r="G32" s="302" t="s">
        <v>156</v>
      </c>
      <c r="H32" s="141" t="s">
        <v>189</v>
      </c>
      <c r="I32" s="142" t="s">
        <v>198</v>
      </c>
      <c r="J32" s="143" t="s">
        <v>654</v>
      </c>
      <c r="K32" s="901">
        <v>1</v>
      </c>
      <c r="L32" s="901">
        <v>1</v>
      </c>
      <c r="M32" s="901">
        <v>1</v>
      </c>
      <c r="N32" s="901">
        <v>1</v>
      </c>
      <c r="O32" s="35">
        <f t="shared" si="0"/>
        <v>4</v>
      </c>
    </row>
    <row r="33" spans="2:15" ht="102" customHeight="1">
      <c r="B33" s="1504" t="s">
        <v>134</v>
      </c>
      <c r="C33" s="1551" t="s">
        <v>135</v>
      </c>
      <c r="D33" s="151" t="s">
        <v>190</v>
      </c>
      <c r="E33" s="152">
        <f>0.727272727272727*100%</f>
        <v>0.72727272727272696</v>
      </c>
      <c r="F33" s="153">
        <v>16</v>
      </c>
      <c r="G33" s="154" t="s">
        <v>156</v>
      </c>
      <c r="H33" s="155" t="s">
        <v>192</v>
      </c>
      <c r="I33" s="156" t="s">
        <v>249</v>
      </c>
      <c r="J33" s="157" t="s">
        <v>250</v>
      </c>
      <c r="K33" s="932">
        <v>2</v>
      </c>
      <c r="L33" s="932">
        <v>7</v>
      </c>
      <c r="M33" s="932">
        <v>6</v>
      </c>
      <c r="N33" s="932">
        <v>1</v>
      </c>
      <c r="O33" s="35">
        <f t="shared" si="0"/>
        <v>16</v>
      </c>
    </row>
    <row r="34" spans="2:15" ht="120" customHeight="1">
      <c r="B34" s="1505"/>
      <c r="C34" s="1552"/>
      <c r="D34" s="151" t="s">
        <v>191</v>
      </c>
      <c r="E34" s="152">
        <f>0.272727272727273*100%</f>
        <v>0.27272727272727298</v>
      </c>
      <c r="F34" s="153">
        <v>6</v>
      </c>
      <c r="G34" s="154" t="s">
        <v>156</v>
      </c>
      <c r="H34" s="155" t="s">
        <v>246</v>
      </c>
      <c r="I34" s="156" t="s">
        <v>249</v>
      </c>
      <c r="J34" s="157" t="s">
        <v>250</v>
      </c>
      <c r="K34" s="932">
        <v>1</v>
      </c>
      <c r="L34" s="932">
        <v>1</v>
      </c>
      <c r="M34" s="932">
        <v>3</v>
      </c>
      <c r="N34" s="932">
        <v>1</v>
      </c>
      <c r="O34" s="35">
        <f t="shared" si="0"/>
        <v>6</v>
      </c>
    </row>
    <row r="35" spans="2:15" ht="100.5" customHeight="1">
      <c r="B35" s="1505"/>
      <c r="C35" s="1551" t="s">
        <v>1107</v>
      </c>
      <c r="D35" s="151" t="s">
        <v>1096</v>
      </c>
      <c r="E35" s="152">
        <f>+F35/880</f>
        <v>0.92840909090909096</v>
      </c>
      <c r="F35" s="153">
        <v>817</v>
      </c>
      <c r="G35" s="154" t="s">
        <v>156</v>
      </c>
      <c r="H35" s="155" t="s">
        <v>275</v>
      </c>
      <c r="I35" s="156" t="s">
        <v>249</v>
      </c>
      <c r="J35" s="157" t="s">
        <v>250</v>
      </c>
      <c r="K35" s="932">
        <v>200</v>
      </c>
      <c r="L35" s="932">
        <v>286</v>
      </c>
      <c r="M35" s="932">
        <v>259</v>
      </c>
      <c r="N35" s="932">
        <v>72</v>
      </c>
      <c r="O35" s="35">
        <f t="shared" si="0"/>
        <v>817</v>
      </c>
    </row>
    <row r="36" spans="2:15" ht="100.5" customHeight="1">
      <c r="B36" s="1505"/>
      <c r="C36" s="1552"/>
      <c r="D36" s="151" t="s">
        <v>1097</v>
      </c>
      <c r="E36" s="152">
        <f>+F36/880</f>
        <v>0.15340909090909091</v>
      </c>
      <c r="F36" s="153">
        <v>135</v>
      </c>
      <c r="G36" s="154" t="s">
        <v>156</v>
      </c>
      <c r="H36" s="155" t="s">
        <v>276</v>
      </c>
      <c r="I36" s="156" t="s">
        <v>249</v>
      </c>
      <c r="J36" s="157" t="s">
        <v>250</v>
      </c>
      <c r="K36" s="932">
        <v>28</v>
      </c>
      <c r="L36" s="932">
        <v>67</v>
      </c>
      <c r="M36" s="932">
        <v>30</v>
      </c>
      <c r="N36" s="932">
        <v>10</v>
      </c>
      <c r="O36" s="35">
        <f t="shared" si="0"/>
        <v>135</v>
      </c>
    </row>
    <row r="37" spans="2:15" ht="65.25" customHeight="1">
      <c r="B37" s="1505"/>
      <c r="C37" s="1551" t="s">
        <v>1108</v>
      </c>
      <c r="D37" s="151" t="s">
        <v>1050</v>
      </c>
      <c r="E37" s="152">
        <f>+F37/295</f>
        <v>0.20338983050847459</v>
      </c>
      <c r="F37" s="153">
        <v>60</v>
      </c>
      <c r="G37" s="154">
        <v>75</v>
      </c>
      <c r="H37" s="155" t="s">
        <v>247</v>
      </c>
      <c r="I37" s="156" t="s">
        <v>249</v>
      </c>
      <c r="J37" s="157" t="s">
        <v>251</v>
      </c>
      <c r="K37" s="932">
        <v>12</v>
      </c>
      <c r="L37" s="932">
        <v>21</v>
      </c>
      <c r="M37" s="932">
        <v>23</v>
      </c>
      <c r="N37" s="932">
        <v>4</v>
      </c>
      <c r="O37" s="35">
        <f t="shared" si="0"/>
        <v>60</v>
      </c>
    </row>
    <row r="38" spans="2:15" ht="63.75" customHeight="1">
      <c r="B38" s="1505"/>
      <c r="C38" s="1480"/>
      <c r="D38" s="151" t="s">
        <v>1098</v>
      </c>
      <c r="E38" s="152">
        <f>+F38/295</f>
        <v>0.5423728813559322</v>
      </c>
      <c r="F38" s="153">
        <v>160</v>
      </c>
      <c r="G38" s="154" t="s">
        <v>156</v>
      </c>
      <c r="H38" s="155" t="s">
        <v>248</v>
      </c>
      <c r="I38" s="156" t="s">
        <v>249</v>
      </c>
      <c r="J38" s="157" t="s">
        <v>252</v>
      </c>
      <c r="K38" s="932">
        <v>40</v>
      </c>
      <c r="L38" s="932">
        <v>60</v>
      </c>
      <c r="M38" s="932">
        <v>40</v>
      </c>
      <c r="N38" s="932">
        <v>20</v>
      </c>
      <c r="O38" s="35">
        <f t="shared" si="0"/>
        <v>160</v>
      </c>
    </row>
    <row r="39" spans="2:15" ht="102" customHeight="1">
      <c r="B39" s="1506"/>
      <c r="C39" s="1552"/>
      <c r="D39" s="151" t="s">
        <v>193</v>
      </c>
      <c r="E39" s="152">
        <f>+F39/295</f>
        <v>0.33898305084745761</v>
      </c>
      <c r="F39" s="153">
        <v>100</v>
      </c>
      <c r="G39" s="154" t="s">
        <v>156</v>
      </c>
      <c r="H39" s="155" t="s">
        <v>194</v>
      </c>
      <c r="I39" s="156" t="s">
        <v>249</v>
      </c>
      <c r="J39" s="157" t="s">
        <v>253</v>
      </c>
      <c r="K39" s="932">
        <v>20</v>
      </c>
      <c r="L39" s="932">
        <v>30</v>
      </c>
      <c r="M39" s="932">
        <v>30</v>
      </c>
      <c r="N39" s="932">
        <v>20</v>
      </c>
      <c r="O39" s="35">
        <f t="shared" si="0"/>
        <v>100</v>
      </c>
    </row>
    <row r="40" spans="2:15" ht="93.75" customHeight="1">
      <c r="B40" s="1484" t="s">
        <v>138</v>
      </c>
      <c r="C40" s="1554" t="s">
        <v>1052</v>
      </c>
      <c r="D40" s="31" t="s">
        <v>1051</v>
      </c>
      <c r="E40" s="52">
        <v>0.8</v>
      </c>
      <c r="F40" s="139">
        <v>6700</v>
      </c>
      <c r="G40" s="139">
        <v>6287</v>
      </c>
      <c r="H40" s="31" t="s">
        <v>285</v>
      </c>
      <c r="I40" s="142" t="s">
        <v>291</v>
      </c>
      <c r="J40" s="159" t="s">
        <v>292</v>
      </c>
      <c r="K40" s="933">
        <v>1600</v>
      </c>
      <c r="L40" s="933">
        <v>1800</v>
      </c>
      <c r="M40" s="933">
        <v>1800</v>
      </c>
      <c r="N40" s="933">
        <v>1500</v>
      </c>
      <c r="O40" s="58">
        <f t="shared" si="0"/>
        <v>6700</v>
      </c>
    </row>
    <row r="41" spans="2:15" ht="67.5" customHeight="1">
      <c r="B41" s="1485"/>
      <c r="C41" s="1555"/>
      <c r="D41" s="31" t="s">
        <v>280</v>
      </c>
      <c r="E41" s="52">
        <v>0.2</v>
      </c>
      <c r="F41" s="160">
        <v>1</v>
      </c>
      <c r="G41" s="160">
        <v>0.98</v>
      </c>
      <c r="H41" s="31" t="s">
        <v>286</v>
      </c>
      <c r="I41" s="142" t="s">
        <v>291</v>
      </c>
      <c r="J41" s="159" t="s">
        <v>292</v>
      </c>
      <c r="K41" s="161">
        <v>1</v>
      </c>
      <c r="L41" s="161">
        <v>1</v>
      </c>
      <c r="M41" s="161">
        <v>1</v>
      </c>
      <c r="N41" s="161">
        <v>1</v>
      </c>
      <c r="O41" s="60">
        <f>AVERAGE(K41:N41)</f>
        <v>1</v>
      </c>
    </row>
    <row r="42" spans="2:15" ht="95.25" customHeight="1">
      <c r="B42" s="1485"/>
      <c r="C42" s="1486" t="s">
        <v>139</v>
      </c>
      <c r="D42" s="31" t="s">
        <v>293</v>
      </c>
      <c r="E42" s="52">
        <v>0.5</v>
      </c>
      <c r="F42" s="68">
        <v>204</v>
      </c>
      <c r="G42" s="68">
        <v>204</v>
      </c>
      <c r="H42" s="31" t="s">
        <v>303</v>
      </c>
      <c r="I42" s="142" t="s">
        <v>291</v>
      </c>
      <c r="J42" s="159" t="s">
        <v>292</v>
      </c>
      <c r="K42" s="162">
        <v>51</v>
      </c>
      <c r="L42" s="162">
        <v>51</v>
      </c>
      <c r="M42" s="162">
        <v>51</v>
      </c>
      <c r="N42" s="162">
        <v>51</v>
      </c>
      <c r="O42" s="58">
        <f t="shared" si="0"/>
        <v>204</v>
      </c>
    </row>
    <row r="43" spans="2:15" ht="95.25" customHeight="1">
      <c r="B43" s="1485"/>
      <c r="C43" s="1488"/>
      <c r="D43" s="31" t="s">
        <v>281</v>
      </c>
      <c r="E43" s="52">
        <v>0.5</v>
      </c>
      <c r="F43" s="160">
        <v>1</v>
      </c>
      <c r="G43" s="160">
        <v>1</v>
      </c>
      <c r="H43" s="31" t="s">
        <v>287</v>
      </c>
      <c r="I43" s="142" t="s">
        <v>291</v>
      </c>
      <c r="J43" s="159" t="s">
        <v>292</v>
      </c>
      <c r="K43" s="161">
        <v>1</v>
      </c>
      <c r="L43" s="161">
        <v>1</v>
      </c>
      <c r="M43" s="161">
        <v>1</v>
      </c>
      <c r="N43" s="161">
        <v>1</v>
      </c>
      <c r="O43" s="60">
        <f>AVERAGE(K43:N43)</f>
        <v>1</v>
      </c>
    </row>
    <row r="44" spans="2:15" ht="126.75" customHeight="1">
      <c r="B44" s="1485"/>
      <c r="C44" s="163" t="s">
        <v>140</v>
      </c>
      <c r="D44" s="31" t="s">
        <v>282</v>
      </c>
      <c r="E44" s="52">
        <v>1</v>
      </c>
      <c r="F44" s="68">
        <v>8</v>
      </c>
      <c r="G44" s="68">
        <v>8</v>
      </c>
      <c r="H44" s="31" t="s">
        <v>288</v>
      </c>
      <c r="I44" s="142" t="s">
        <v>291</v>
      </c>
      <c r="J44" s="159" t="s">
        <v>292</v>
      </c>
      <c r="K44" s="162">
        <v>2</v>
      </c>
      <c r="L44" s="162">
        <v>2</v>
      </c>
      <c r="M44" s="162">
        <v>2</v>
      </c>
      <c r="N44" s="162">
        <v>2</v>
      </c>
      <c r="O44" s="58">
        <f t="shared" si="0"/>
        <v>8</v>
      </c>
    </row>
    <row r="45" spans="2:15" ht="61.5" customHeight="1">
      <c r="B45" s="1485"/>
      <c r="C45" s="1486" t="s">
        <v>278</v>
      </c>
      <c r="D45" s="31" t="s">
        <v>283</v>
      </c>
      <c r="E45" s="52">
        <v>0.2</v>
      </c>
      <c r="F45" s="68">
        <v>1</v>
      </c>
      <c r="G45" s="302" t="s">
        <v>156</v>
      </c>
      <c r="H45" s="31" t="s">
        <v>304</v>
      </c>
      <c r="I45" s="142" t="s">
        <v>291</v>
      </c>
      <c r="J45" s="159" t="s">
        <v>292</v>
      </c>
      <c r="K45" s="162">
        <v>0.5</v>
      </c>
      <c r="L45" s="162">
        <v>0.5</v>
      </c>
      <c r="M45" s="162">
        <v>0</v>
      </c>
      <c r="N45" s="162">
        <v>0</v>
      </c>
      <c r="O45" s="58">
        <f t="shared" si="0"/>
        <v>1</v>
      </c>
    </row>
    <row r="46" spans="2:15" ht="61.5" customHeight="1">
      <c r="B46" s="1485"/>
      <c r="C46" s="1487"/>
      <c r="D46" s="31" t="s">
        <v>661</v>
      </c>
      <c r="E46" s="52">
        <v>0.7</v>
      </c>
      <c r="F46" s="68">
        <v>1</v>
      </c>
      <c r="G46" s="302" t="s">
        <v>156</v>
      </c>
      <c r="H46" s="31" t="s">
        <v>289</v>
      </c>
      <c r="I46" s="142" t="s">
        <v>291</v>
      </c>
      <c r="J46" s="159" t="s">
        <v>292</v>
      </c>
      <c r="K46" s="162">
        <v>0.2</v>
      </c>
      <c r="L46" s="162">
        <v>0.4</v>
      </c>
      <c r="M46" s="162">
        <v>0.3</v>
      </c>
      <c r="N46" s="162">
        <v>0.1</v>
      </c>
      <c r="O46" s="58">
        <f t="shared" si="0"/>
        <v>1.0000000000000002</v>
      </c>
    </row>
    <row r="47" spans="2:15" ht="61.5" customHeight="1">
      <c r="B47" s="1503"/>
      <c r="C47" s="1488"/>
      <c r="D47" s="31" t="s">
        <v>284</v>
      </c>
      <c r="E47" s="52">
        <v>0.1</v>
      </c>
      <c r="F47" s="68">
        <v>1</v>
      </c>
      <c r="G47" s="302" t="s">
        <v>156</v>
      </c>
      <c r="H47" s="31" t="s">
        <v>290</v>
      </c>
      <c r="I47" s="142" t="s">
        <v>291</v>
      </c>
      <c r="J47" s="159" t="s">
        <v>292</v>
      </c>
      <c r="K47" s="162">
        <v>0.1</v>
      </c>
      <c r="L47" s="162">
        <v>0.3</v>
      </c>
      <c r="M47" s="162">
        <v>0.4</v>
      </c>
      <c r="N47" s="162">
        <v>0.2</v>
      </c>
      <c r="O47" s="58">
        <f t="shared" si="0"/>
        <v>1</v>
      </c>
    </row>
    <row r="48" spans="2:15" ht="75" customHeight="1">
      <c r="B48" s="1505" t="s">
        <v>141</v>
      </c>
      <c r="C48" s="1556" t="s">
        <v>142</v>
      </c>
      <c r="D48" s="977" t="s">
        <v>658</v>
      </c>
      <c r="E48" s="978">
        <v>0.14000000000000001</v>
      </c>
      <c r="F48" s="979">
        <v>1</v>
      </c>
      <c r="G48" s="980" t="s">
        <v>156</v>
      </c>
      <c r="H48" s="981" t="s">
        <v>633</v>
      </c>
      <c r="I48" s="977" t="s">
        <v>326</v>
      </c>
      <c r="J48" s="982" t="s">
        <v>327</v>
      </c>
      <c r="K48" s="987">
        <v>0.3</v>
      </c>
      <c r="L48" s="987">
        <v>0.4</v>
      </c>
      <c r="M48" s="987">
        <v>0.25</v>
      </c>
      <c r="N48" s="987">
        <v>0.05</v>
      </c>
      <c r="O48" s="63">
        <v>1</v>
      </c>
    </row>
    <row r="49" spans="2:15" ht="80.25" customHeight="1">
      <c r="B49" s="1505"/>
      <c r="C49" s="1557"/>
      <c r="D49" s="977" t="s">
        <v>332</v>
      </c>
      <c r="E49" s="978">
        <v>0.14000000000000001</v>
      </c>
      <c r="F49" s="979">
        <v>1</v>
      </c>
      <c r="G49" s="980" t="s">
        <v>156</v>
      </c>
      <c r="H49" s="981" t="s">
        <v>331</v>
      </c>
      <c r="I49" s="977" t="s">
        <v>326</v>
      </c>
      <c r="J49" s="982" t="s">
        <v>327</v>
      </c>
      <c r="K49" s="987">
        <v>0.3</v>
      </c>
      <c r="L49" s="987">
        <v>0.4</v>
      </c>
      <c r="M49" s="987">
        <v>0.25</v>
      </c>
      <c r="N49" s="987">
        <v>0.05</v>
      </c>
      <c r="O49" s="63">
        <v>1</v>
      </c>
    </row>
    <row r="50" spans="2:15" ht="111" customHeight="1">
      <c r="B50" s="1505"/>
      <c r="C50" s="1557"/>
      <c r="D50" s="977" t="s">
        <v>660</v>
      </c>
      <c r="E50" s="978">
        <v>0.14000000000000001</v>
      </c>
      <c r="F50" s="979">
        <v>1</v>
      </c>
      <c r="G50" s="980" t="s">
        <v>156</v>
      </c>
      <c r="H50" s="981" t="s">
        <v>328</v>
      </c>
      <c r="I50" s="977" t="s">
        <v>326</v>
      </c>
      <c r="J50" s="982" t="s">
        <v>327</v>
      </c>
      <c r="K50" s="987">
        <v>0.3</v>
      </c>
      <c r="L50" s="987">
        <v>0.4</v>
      </c>
      <c r="M50" s="987">
        <v>0.25</v>
      </c>
      <c r="N50" s="987">
        <v>0.05</v>
      </c>
      <c r="O50" s="63">
        <v>1</v>
      </c>
    </row>
    <row r="51" spans="2:15" ht="82.5" customHeight="1">
      <c r="B51" s="1505"/>
      <c r="C51" s="1557"/>
      <c r="D51" s="977" t="s">
        <v>659</v>
      </c>
      <c r="E51" s="978">
        <v>0.14000000000000001</v>
      </c>
      <c r="F51" s="979">
        <v>1</v>
      </c>
      <c r="G51" s="980" t="s">
        <v>156</v>
      </c>
      <c r="H51" s="981" t="s">
        <v>634</v>
      </c>
      <c r="I51" s="977" t="s">
        <v>326</v>
      </c>
      <c r="J51" s="982" t="s">
        <v>327</v>
      </c>
      <c r="K51" s="987">
        <v>0.3</v>
      </c>
      <c r="L51" s="987">
        <v>0.4</v>
      </c>
      <c r="M51" s="987">
        <v>0.25</v>
      </c>
      <c r="N51" s="987">
        <v>0.05</v>
      </c>
      <c r="O51" s="63">
        <v>1</v>
      </c>
    </row>
    <row r="52" spans="2:15" ht="94.5" customHeight="1">
      <c r="B52" s="1505"/>
      <c r="C52" s="1557"/>
      <c r="D52" s="977" t="s">
        <v>356</v>
      </c>
      <c r="E52" s="978">
        <v>0.14000000000000001</v>
      </c>
      <c r="F52" s="979">
        <v>1</v>
      </c>
      <c r="G52" s="980" t="s">
        <v>156</v>
      </c>
      <c r="H52" s="981" t="s">
        <v>329</v>
      </c>
      <c r="I52" s="977" t="s">
        <v>326</v>
      </c>
      <c r="J52" s="982" t="s">
        <v>327</v>
      </c>
      <c r="K52" s="987">
        <v>0.3</v>
      </c>
      <c r="L52" s="987">
        <v>0.4</v>
      </c>
      <c r="M52" s="987">
        <v>0.25</v>
      </c>
      <c r="N52" s="987">
        <v>0.05</v>
      </c>
      <c r="O52" s="63">
        <v>1</v>
      </c>
    </row>
    <row r="53" spans="2:15" ht="71.25" customHeight="1">
      <c r="B53" s="1505"/>
      <c r="C53" s="1557"/>
      <c r="D53" s="977" t="s">
        <v>323</v>
      </c>
      <c r="E53" s="978">
        <v>0.15</v>
      </c>
      <c r="F53" s="979">
        <v>1</v>
      </c>
      <c r="G53" s="980" t="s">
        <v>156</v>
      </c>
      <c r="H53" s="981" t="s">
        <v>330</v>
      </c>
      <c r="I53" s="977" t="s">
        <v>326</v>
      </c>
      <c r="J53" s="982" t="s">
        <v>327</v>
      </c>
      <c r="K53" s="987">
        <v>0.3</v>
      </c>
      <c r="L53" s="987">
        <v>0.4</v>
      </c>
      <c r="M53" s="987">
        <v>0.25</v>
      </c>
      <c r="N53" s="987">
        <v>0.05</v>
      </c>
      <c r="O53" s="63">
        <v>1</v>
      </c>
    </row>
    <row r="54" spans="2:15" ht="87.75" customHeight="1">
      <c r="B54" s="1505"/>
      <c r="C54" s="1558"/>
      <c r="D54" s="977" t="s">
        <v>324</v>
      </c>
      <c r="E54" s="978">
        <v>0.15</v>
      </c>
      <c r="F54" s="979">
        <v>1</v>
      </c>
      <c r="G54" s="983" t="s">
        <v>325</v>
      </c>
      <c r="H54" s="981" t="s">
        <v>352</v>
      </c>
      <c r="I54" s="977" t="s">
        <v>326</v>
      </c>
      <c r="J54" s="982" t="s">
        <v>327</v>
      </c>
      <c r="K54" s="987">
        <v>0.3</v>
      </c>
      <c r="L54" s="987">
        <v>0.4</v>
      </c>
      <c r="M54" s="987">
        <v>0.25</v>
      </c>
      <c r="N54" s="987">
        <v>0.05</v>
      </c>
      <c r="O54" s="63">
        <v>1</v>
      </c>
    </row>
    <row r="55" spans="2:15" ht="105" customHeight="1">
      <c r="B55" s="1505"/>
      <c r="C55" s="1482" t="s">
        <v>143</v>
      </c>
      <c r="D55" s="31" t="s">
        <v>159</v>
      </c>
      <c r="E55" s="32">
        <v>0.2</v>
      </c>
      <c r="F55" s="160">
        <v>1</v>
      </c>
      <c r="G55" s="33">
        <v>1</v>
      </c>
      <c r="H55" s="169" t="s">
        <v>153</v>
      </c>
      <c r="I55" s="142" t="s">
        <v>360</v>
      </c>
      <c r="J55" s="143" t="s">
        <v>655</v>
      </c>
      <c r="K55" s="170">
        <v>1</v>
      </c>
      <c r="L55" s="170">
        <v>1</v>
      </c>
      <c r="M55" s="170">
        <v>1</v>
      </c>
      <c r="N55" s="170">
        <v>1</v>
      </c>
      <c r="O55" s="36">
        <f>AVERAGE(K55:N55)</f>
        <v>1</v>
      </c>
    </row>
    <row r="56" spans="2:15" ht="96" customHeight="1">
      <c r="B56" s="1505"/>
      <c r="C56" s="1489"/>
      <c r="D56" s="31" t="s">
        <v>160</v>
      </c>
      <c r="E56" s="32">
        <v>0.2</v>
      </c>
      <c r="F56" s="160">
        <v>0.4</v>
      </c>
      <c r="G56" s="33">
        <v>0.6</v>
      </c>
      <c r="H56" s="169" t="s">
        <v>154</v>
      </c>
      <c r="I56" s="142" t="s">
        <v>360</v>
      </c>
      <c r="J56" s="143" t="s">
        <v>655</v>
      </c>
      <c r="K56" s="170">
        <v>0.22</v>
      </c>
      <c r="L56" s="170">
        <v>0.14000000000000001</v>
      </c>
      <c r="M56" s="170">
        <v>0.02</v>
      </c>
      <c r="N56" s="170">
        <v>0.02</v>
      </c>
      <c r="O56" s="36">
        <f>K56+L56+M56+N56</f>
        <v>0.4</v>
      </c>
    </row>
    <row r="57" spans="2:15" ht="74.25" customHeight="1">
      <c r="B57" s="1505"/>
      <c r="C57" s="1489"/>
      <c r="D57" s="31" t="s">
        <v>161</v>
      </c>
      <c r="E57" s="32">
        <v>0.15</v>
      </c>
      <c r="F57" s="160">
        <v>1</v>
      </c>
      <c r="G57" s="171" t="s">
        <v>156</v>
      </c>
      <c r="H57" s="169" t="s">
        <v>155</v>
      </c>
      <c r="I57" s="142" t="s">
        <v>360</v>
      </c>
      <c r="J57" s="143" t="s">
        <v>158</v>
      </c>
      <c r="K57" s="170">
        <v>0.38</v>
      </c>
      <c r="L57" s="170">
        <v>0.33</v>
      </c>
      <c r="M57" s="170">
        <v>0.28999999999999998</v>
      </c>
      <c r="N57" s="170">
        <v>0</v>
      </c>
      <c r="O57" s="36">
        <f>K57+L57+M57+N57</f>
        <v>1</v>
      </c>
    </row>
    <row r="58" spans="2:15" ht="63" customHeight="1">
      <c r="B58" s="1505"/>
      <c r="C58" s="1489"/>
      <c r="D58" s="31" t="s">
        <v>162</v>
      </c>
      <c r="E58" s="32">
        <v>0.1</v>
      </c>
      <c r="F58" s="172">
        <v>12</v>
      </c>
      <c r="G58" s="171" t="s">
        <v>157</v>
      </c>
      <c r="H58" s="169" t="s">
        <v>166</v>
      </c>
      <c r="I58" s="142" t="s">
        <v>360</v>
      </c>
      <c r="J58" s="143" t="s">
        <v>158</v>
      </c>
      <c r="K58" s="173">
        <v>3</v>
      </c>
      <c r="L58" s="173">
        <v>3</v>
      </c>
      <c r="M58" s="173">
        <v>3</v>
      </c>
      <c r="N58" s="173">
        <v>3</v>
      </c>
      <c r="O58" s="64">
        <f>K58+L58+M58+N58</f>
        <v>12</v>
      </c>
    </row>
    <row r="59" spans="2:15" ht="63" customHeight="1">
      <c r="B59" s="1505"/>
      <c r="C59" s="1489"/>
      <c r="D59" s="31" t="s">
        <v>163</v>
      </c>
      <c r="E59" s="32">
        <v>0.2</v>
      </c>
      <c r="F59" s="32">
        <v>0.9</v>
      </c>
      <c r="G59" s="174">
        <v>0.86</v>
      </c>
      <c r="H59" s="175" t="s">
        <v>369</v>
      </c>
      <c r="I59" s="142" t="s">
        <v>361</v>
      </c>
      <c r="J59" s="143" t="s">
        <v>1</v>
      </c>
      <c r="K59" s="170">
        <v>0.9</v>
      </c>
      <c r="L59" s="170">
        <v>0.9</v>
      </c>
      <c r="M59" s="170">
        <v>0.9</v>
      </c>
      <c r="N59" s="170">
        <v>0.9</v>
      </c>
      <c r="O59" s="36">
        <f>AVERAGE(K59:N59)</f>
        <v>0.9</v>
      </c>
    </row>
    <row r="60" spans="2:15" ht="70.5" customHeight="1">
      <c r="B60" s="1505"/>
      <c r="C60" s="1483"/>
      <c r="D60" s="31" t="s">
        <v>164</v>
      </c>
      <c r="E60" s="32">
        <v>0.15</v>
      </c>
      <c r="F60" s="172">
        <v>7</v>
      </c>
      <c r="G60" s="171">
        <v>3</v>
      </c>
      <c r="H60" s="141" t="s">
        <v>370</v>
      </c>
      <c r="I60" s="142" t="s">
        <v>361</v>
      </c>
      <c r="J60" s="143" t="s">
        <v>1</v>
      </c>
      <c r="K60" s="173">
        <v>2</v>
      </c>
      <c r="L60" s="173">
        <v>3</v>
      </c>
      <c r="M60" s="173">
        <v>1</v>
      </c>
      <c r="N60" s="173">
        <v>1</v>
      </c>
      <c r="O60" s="64">
        <v>7</v>
      </c>
    </row>
    <row r="61" spans="2:15" ht="60" customHeight="1">
      <c r="B61" s="1505"/>
      <c r="C61" s="1479" t="s">
        <v>144</v>
      </c>
      <c r="D61" s="151" t="s">
        <v>399</v>
      </c>
      <c r="E61" s="152">
        <v>0.1</v>
      </c>
      <c r="F61" s="165">
        <v>1</v>
      </c>
      <c r="G61" s="176">
        <v>1</v>
      </c>
      <c r="H61" s="177" t="s">
        <v>386</v>
      </c>
      <c r="I61" s="178" t="s">
        <v>387</v>
      </c>
      <c r="J61" s="179" t="s">
        <v>388</v>
      </c>
      <c r="K61" s="180">
        <v>1</v>
      </c>
      <c r="L61" s="180">
        <v>1</v>
      </c>
      <c r="M61" s="180">
        <v>1</v>
      </c>
      <c r="N61" s="180">
        <v>1</v>
      </c>
      <c r="O61" s="86">
        <f>AVERAGE(K61:N61)</f>
        <v>1</v>
      </c>
    </row>
    <row r="62" spans="2:15" ht="88.5" customHeight="1">
      <c r="B62" s="1505"/>
      <c r="C62" s="1480"/>
      <c r="D62" s="151" t="s">
        <v>1099</v>
      </c>
      <c r="E62" s="152">
        <v>0.1</v>
      </c>
      <c r="F62" s="971">
        <v>0.97799999999999998</v>
      </c>
      <c r="G62" s="176">
        <v>0.97</v>
      </c>
      <c r="H62" s="151" t="s">
        <v>389</v>
      </c>
      <c r="I62" s="178" t="s">
        <v>387</v>
      </c>
      <c r="J62" s="179" t="s">
        <v>390</v>
      </c>
      <c r="K62" s="180">
        <v>0.97</v>
      </c>
      <c r="L62" s="180">
        <v>0.98</v>
      </c>
      <c r="M62" s="180">
        <v>0.98</v>
      </c>
      <c r="N62" s="180">
        <v>0.98</v>
      </c>
      <c r="O62" s="972">
        <f t="shared" ref="O62:O67" si="1">AVERAGE(K62:N62)</f>
        <v>0.97749999999999992</v>
      </c>
    </row>
    <row r="63" spans="2:15" ht="99.75" customHeight="1">
      <c r="B63" s="1505"/>
      <c r="C63" s="1480"/>
      <c r="D63" s="151" t="s">
        <v>1100</v>
      </c>
      <c r="E63" s="152">
        <v>0.1</v>
      </c>
      <c r="F63" s="971">
        <v>0.94499999999999995</v>
      </c>
      <c r="G63" s="154" t="s">
        <v>156</v>
      </c>
      <c r="H63" s="155" t="s">
        <v>391</v>
      </c>
      <c r="I63" s="178" t="s">
        <v>387</v>
      </c>
      <c r="J63" s="179" t="s">
        <v>390</v>
      </c>
      <c r="K63" s="180">
        <v>0.9</v>
      </c>
      <c r="L63" s="180">
        <v>0.96</v>
      </c>
      <c r="M63" s="180">
        <v>0.96</v>
      </c>
      <c r="N63" s="180">
        <v>0.96</v>
      </c>
      <c r="O63" s="972">
        <f t="shared" si="1"/>
        <v>0.94499999999999995</v>
      </c>
    </row>
    <row r="64" spans="2:15" ht="75">
      <c r="B64" s="1505"/>
      <c r="C64" s="1480"/>
      <c r="D64" s="151" t="s">
        <v>400</v>
      </c>
      <c r="E64" s="152">
        <v>0.15</v>
      </c>
      <c r="F64" s="181">
        <v>1</v>
      </c>
      <c r="G64" s="181">
        <v>1</v>
      </c>
      <c r="H64" s="182" t="s">
        <v>392</v>
      </c>
      <c r="I64" s="178" t="s">
        <v>387</v>
      </c>
      <c r="J64" s="179" t="s">
        <v>393</v>
      </c>
      <c r="K64" s="180">
        <v>1</v>
      </c>
      <c r="L64" s="180">
        <v>1</v>
      </c>
      <c r="M64" s="180">
        <v>1</v>
      </c>
      <c r="N64" s="180">
        <v>1</v>
      </c>
      <c r="O64" s="86">
        <f t="shared" si="1"/>
        <v>1</v>
      </c>
    </row>
    <row r="65" spans="2:15" ht="75">
      <c r="B65" s="1505"/>
      <c r="C65" s="1480"/>
      <c r="D65" s="151" t="s">
        <v>401</v>
      </c>
      <c r="E65" s="152">
        <v>0.15</v>
      </c>
      <c r="F65" s="181">
        <v>1</v>
      </c>
      <c r="G65" s="181">
        <v>1</v>
      </c>
      <c r="H65" s="182" t="s">
        <v>394</v>
      </c>
      <c r="I65" s="178" t="s">
        <v>387</v>
      </c>
      <c r="J65" s="179" t="s">
        <v>393</v>
      </c>
      <c r="K65" s="180">
        <v>1</v>
      </c>
      <c r="L65" s="180">
        <v>1</v>
      </c>
      <c r="M65" s="180">
        <v>1</v>
      </c>
      <c r="N65" s="180">
        <v>1</v>
      </c>
      <c r="O65" s="86">
        <f t="shared" si="1"/>
        <v>1</v>
      </c>
    </row>
    <row r="66" spans="2:15" ht="75">
      <c r="B66" s="1505"/>
      <c r="C66" s="1480"/>
      <c r="D66" s="151" t="s">
        <v>402</v>
      </c>
      <c r="E66" s="152">
        <v>0.15</v>
      </c>
      <c r="F66" s="181">
        <v>1</v>
      </c>
      <c r="G66" s="181">
        <v>1</v>
      </c>
      <c r="H66" s="182" t="s">
        <v>395</v>
      </c>
      <c r="I66" s="178" t="s">
        <v>387</v>
      </c>
      <c r="J66" s="179" t="s">
        <v>393</v>
      </c>
      <c r="K66" s="180">
        <v>1</v>
      </c>
      <c r="L66" s="180">
        <v>1</v>
      </c>
      <c r="M66" s="180">
        <v>1</v>
      </c>
      <c r="N66" s="180">
        <v>1</v>
      </c>
      <c r="O66" s="86">
        <f t="shared" si="1"/>
        <v>1</v>
      </c>
    </row>
    <row r="67" spans="2:15" ht="75">
      <c r="B67" s="1505"/>
      <c r="C67" s="1480"/>
      <c r="D67" s="151" t="s">
        <v>403</v>
      </c>
      <c r="E67" s="152">
        <v>0.15</v>
      </c>
      <c r="F67" s="181">
        <v>1</v>
      </c>
      <c r="G67" s="181">
        <v>0.99</v>
      </c>
      <c r="H67" s="182" t="s">
        <v>396</v>
      </c>
      <c r="I67" s="178" t="s">
        <v>387</v>
      </c>
      <c r="J67" s="179" t="s">
        <v>393</v>
      </c>
      <c r="K67" s="180">
        <v>1</v>
      </c>
      <c r="L67" s="180">
        <v>1</v>
      </c>
      <c r="M67" s="180">
        <v>1</v>
      </c>
      <c r="N67" s="180">
        <v>1</v>
      </c>
      <c r="O67" s="86">
        <f t="shared" si="1"/>
        <v>1</v>
      </c>
    </row>
    <row r="68" spans="2:15" ht="84.75" customHeight="1">
      <c r="B68" s="1505"/>
      <c r="C68" s="1481"/>
      <c r="D68" s="151" t="s">
        <v>1101</v>
      </c>
      <c r="E68" s="152">
        <v>0.1</v>
      </c>
      <c r="F68" s="183">
        <v>21</v>
      </c>
      <c r="G68" s="184" t="s">
        <v>156</v>
      </c>
      <c r="H68" s="177" t="s">
        <v>397</v>
      </c>
      <c r="I68" s="178" t="s">
        <v>387</v>
      </c>
      <c r="J68" s="179" t="s">
        <v>398</v>
      </c>
      <c r="K68" s="185">
        <v>9</v>
      </c>
      <c r="L68" s="185">
        <v>4</v>
      </c>
      <c r="M68" s="185">
        <v>4</v>
      </c>
      <c r="N68" s="185">
        <v>4</v>
      </c>
      <c r="O68" s="85">
        <f t="shared" ref="O68" si="2">K68+L68+M68+N68</f>
        <v>21</v>
      </c>
    </row>
    <row r="69" spans="2:15" ht="76.5" customHeight="1">
      <c r="B69" s="1505"/>
      <c r="C69" s="1492" t="s">
        <v>145</v>
      </c>
      <c r="D69" s="31" t="s">
        <v>466</v>
      </c>
      <c r="E69" s="147">
        <v>0.1</v>
      </c>
      <c r="F69" s="160">
        <v>1</v>
      </c>
      <c r="G69" s="186">
        <v>0.99199999999999999</v>
      </c>
      <c r="H69" s="301" t="s">
        <v>436</v>
      </c>
      <c r="I69" s="142" t="s">
        <v>438</v>
      </c>
      <c r="J69" s="143" t="s">
        <v>439</v>
      </c>
      <c r="K69" s="170">
        <v>1</v>
      </c>
      <c r="L69" s="170">
        <v>1</v>
      </c>
      <c r="M69" s="170">
        <v>1</v>
      </c>
      <c r="N69" s="170">
        <v>1</v>
      </c>
      <c r="O69" s="36">
        <f>AVERAGE(K69:N69)</f>
        <v>1</v>
      </c>
    </row>
    <row r="70" spans="2:15" ht="62.25" customHeight="1">
      <c r="B70" s="1505"/>
      <c r="C70" s="1233"/>
      <c r="D70" s="31" t="s">
        <v>635</v>
      </c>
      <c r="E70" s="147">
        <v>0.1</v>
      </c>
      <c r="F70" s="160">
        <v>0.97</v>
      </c>
      <c r="G70" s="186">
        <v>0.96599999999999997</v>
      </c>
      <c r="H70" s="301" t="s">
        <v>437</v>
      </c>
      <c r="I70" s="142" t="s">
        <v>438</v>
      </c>
      <c r="J70" s="143" t="s">
        <v>439</v>
      </c>
      <c r="K70" s="170">
        <v>0.97</v>
      </c>
      <c r="L70" s="170">
        <v>0.97</v>
      </c>
      <c r="M70" s="170">
        <v>0.97</v>
      </c>
      <c r="N70" s="170">
        <v>0.97</v>
      </c>
      <c r="O70" s="36">
        <f>AVERAGE(K70:N70)</f>
        <v>0.97</v>
      </c>
    </row>
    <row r="71" spans="2:15" ht="64.5" customHeight="1">
      <c r="B71" s="1505"/>
      <c r="C71" s="1233"/>
      <c r="D71" s="31" t="s">
        <v>467</v>
      </c>
      <c r="E71" s="160">
        <v>7.0000000000000007E-2</v>
      </c>
      <c r="F71" s="160">
        <v>0.95</v>
      </c>
      <c r="G71" s="302" t="s">
        <v>156</v>
      </c>
      <c r="H71" s="301" t="s">
        <v>461</v>
      </c>
      <c r="I71" s="142" t="s">
        <v>465</v>
      </c>
      <c r="J71" s="143" t="s">
        <v>464</v>
      </c>
      <c r="K71" s="170">
        <v>0.95</v>
      </c>
      <c r="L71" s="170">
        <v>0.95</v>
      </c>
      <c r="M71" s="170">
        <v>0.95</v>
      </c>
      <c r="N71" s="170">
        <v>0.95</v>
      </c>
      <c r="O71" s="36">
        <f>AVERAGE(K71:N71)</f>
        <v>0.95</v>
      </c>
    </row>
    <row r="72" spans="2:15" ht="64.5" customHeight="1">
      <c r="B72" s="1505"/>
      <c r="C72" s="1233"/>
      <c r="D72" s="31" t="s">
        <v>468</v>
      </c>
      <c r="E72" s="160">
        <v>7.0000000000000007E-2</v>
      </c>
      <c r="F72" s="160">
        <v>0.95</v>
      </c>
      <c r="G72" s="302" t="s">
        <v>156</v>
      </c>
      <c r="H72" s="301" t="s">
        <v>462</v>
      </c>
      <c r="I72" s="142" t="s">
        <v>465</v>
      </c>
      <c r="J72" s="143" t="s">
        <v>464</v>
      </c>
      <c r="K72" s="170">
        <v>0.95</v>
      </c>
      <c r="L72" s="170">
        <v>0.95</v>
      </c>
      <c r="M72" s="170">
        <v>0.95</v>
      </c>
      <c r="N72" s="170">
        <v>0.95</v>
      </c>
      <c r="O72" s="36">
        <f t="shared" ref="O72:O73" si="3">AVERAGE(K72:N72)</f>
        <v>0.95</v>
      </c>
    </row>
    <row r="73" spans="2:15" ht="64.5" customHeight="1">
      <c r="B73" s="1505"/>
      <c r="C73" s="1233"/>
      <c r="D73" s="31" t="s">
        <v>469</v>
      </c>
      <c r="E73" s="160">
        <v>0.06</v>
      </c>
      <c r="F73" s="160">
        <v>1</v>
      </c>
      <c r="G73" s="302" t="s">
        <v>156</v>
      </c>
      <c r="H73" s="301" t="s">
        <v>463</v>
      </c>
      <c r="I73" s="142" t="s">
        <v>465</v>
      </c>
      <c r="J73" s="143" t="s">
        <v>464</v>
      </c>
      <c r="K73" s="170">
        <v>1</v>
      </c>
      <c r="L73" s="170">
        <v>1</v>
      </c>
      <c r="M73" s="170">
        <v>1</v>
      </c>
      <c r="N73" s="170">
        <v>1</v>
      </c>
      <c r="O73" s="36">
        <f t="shared" si="3"/>
        <v>1</v>
      </c>
    </row>
    <row r="74" spans="2:15" ht="78" customHeight="1">
      <c r="B74" s="1505"/>
      <c r="C74" s="1233"/>
      <c r="D74" s="31" t="s">
        <v>470</v>
      </c>
      <c r="E74" s="52">
        <v>0.1</v>
      </c>
      <c r="F74" s="160">
        <v>0.95</v>
      </c>
      <c r="G74" s="302" t="s">
        <v>156</v>
      </c>
      <c r="H74" s="301" t="s">
        <v>452</v>
      </c>
      <c r="I74" s="142" t="s">
        <v>453</v>
      </c>
      <c r="J74" s="143" t="s">
        <v>454</v>
      </c>
      <c r="K74" s="170">
        <v>0.95</v>
      </c>
      <c r="L74" s="170">
        <v>0.95</v>
      </c>
      <c r="M74" s="170">
        <v>0.95</v>
      </c>
      <c r="N74" s="170">
        <v>0.95</v>
      </c>
      <c r="O74" s="36">
        <f>AVERAGE(K74:N74)</f>
        <v>0.95</v>
      </c>
    </row>
    <row r="75" spans="2:15" ht="96.75" customHeight="1">
      <c r="B75" s="1505"/>
      <c r="C75" s="1233"/>
      <c r="D75" s="31" t="s">
        <v>495</v>
      </c>
      <c r="E75" s="52">
        <v>0.05</v>
      </c>
      <c r="F75" s="160">
        <v>0.95</v>
      </c>
      <c r="G75" s="302" t="s">
        <v>156</v>
      </c>
      <c r="H75" s="301" t="s">
        <v>488</v>
      </c>
      <c r="I75" s="142" t="s">
        <v>489</v>
      </c>
      <c r="J75" s="143" t="s">
        <v>490</v>
      </c>
      <c r="K75" s="170">
        <v>0.95</v>
      </c>
      <c r="L75" s="170">
        <v>0.95</v>
      </c>
      <c r="M75" s="170">
        <v>0.95</v>
      </c>
      <c r="N75" s="170">
        <v>0.95</v>
      </c>
      <c r="O75" s="36">
        <f t="shared" ref="O75:O76" si="4">AVERAGE(K75:N75)</f>
        <v>0.95</v>
      </c>
    </row>
    <row r="76" spans="2:15" ht="76.5" customHeight="1">
      <c r="B76" s="1505"/>
      <c r="C76" s="1233"/>
      <c r="D76" s="31" t="s">
        <v>496</v>
      </c>
      <c r="E76" s="52">
        <v>0.05</v>
      </c>
      <c r="F76" s="160">
        <v>0.8</v>
      </c>
      <c r="G76" s="302">
        <v>264</v>
      </c>
      <c r="H76" s="301" t="s">
        <v>515</v>
      </c>
      <c r="I76" s="142" t="s">
        <v>489</v>
      </c>
      <c r="J76" s="143" t="s">
        <v>491</v>
      </c>
      <c r="K76" s="170">
        <v>0.8</v>
      </c>
      <c r="L76" s="170">
        <v>0.8</v>
      </c>
      <c r="M76" s="170">
        <v>0.8</v>
      </c>
      <c r="N76" s="170">
        <v>0.8</v>
      </c>
      <c r="O76" s="36">
        <f t="shared" si="4"/>
        <v>0.8</v>
      </c>
    </row>
    <row r="77" spans="2:15" ht="120" customHeight="1">
      <c r="B77" s="1505"/>
      <c r="C77" s="1233"/>
      <c r="D77" s="31" t="s">
        <v>497</v>
      </c>
      <c r="E77" s="52">
        <v>0.05</v>
      </c>
      <c r="F77" s="172">
        <v>100</v>
      </c>
      <c r="G77" s="302">
        <v>32</v>
      </c>
      <c r="H77" s="188" t="s">
        <v>640</v>
      </c>
      <c r="I77" s="142" t="s">
        <v>489</v>
      </c>
      <c r="J77" s="143" t="s">
        <v>492</v>
      </c>
      <c r="K77" s="189">
        <v>25</v>
      </c>
      <c r="L77" s="189">
        <v>25</v>
      </c>
      <c r="M77" s="189">
        <v>25</v>
      </c>
      <c r="N77" s="189">
        <v>25</v>
      </c>
      <c r="O77" s="64">
        <f t="shared" ref="O77:O78" si="5">K77+L77+M77+N77</f>
        <v>100</v>
      </c>
    </row>
    <row r="78" spans="2:15" ht="87" customHeight="1">
      <c r="B78" s="1505"/>
      <c r="C78" s="1233"/>
      <c r="D78" s="31" t="s">
        <v>498</v>
      </c>
      <c r="E78" s="52">
        <v>0.05</v>
      </c>
      <c r="F78" s="172">
        <v>100</v>
      </c>
      <c r="G78" s="302">
        <v>26</v>
      </c>
      <c r="H78" s="188" t="s">
        <v>641</v>
      </c>
      <c r="I78" s="142" t="s">
        <v>493</v>
      </c>
      <c r="J78" s="143" t="s">
        <v>494</v>
      </c>
      <c r="K78" s="189">
        <v>25</v>
      </c>
      <c r="L78" s="189">
        <v>25</v>
      </c>
      <c r="M78" s="189">
        <v>25</v>
      </c>
      <c r="N78" s="189">
        <v>25</v>
      </c>
      <c r="O78" s="64">
        <f t="shared" si="5"/>
        <v>100</v>
      </c>
    </row>
    <row r="79" spans="2:15" ht="63" customHeight="1">
      <c r="B79" s="1505"/>
      <c r="C79" s="1233"/>
      <c r="D79" s="31" t="s">
        <v>521</v>
      </c>
      <c r="E79" s="52">
        <v>0.05</v>
      </c>
      <c r="F79" s="160">
        <v>1</v>
      </c>
      <c r="G79" s="33">
        <v>1</v>
      </c>
      <c r="H79" s="301" t="s">
        <v>517</v>
      </c>
      <c r="I79" s="142" t="s">
        <v>518</v>
      </c>
      <c r="J79" s="190" t="s">
        <v>3</v>
      </c>
      <c r="K79" s="191">
        <v>1</v>
      </c>
      <c r="L79" s="191">
        <v>1</v>
      </c>
      <c r="M79" s="191">
        <v>1</v>
      </c>
      <c r="N79" s="191">
        <v>1</v>
      </c>
      <c r="O79" s="36">
        <f t="shared" ref="O79:O83" si="6">AVERAGE(K79:N79)</f>
        <v>1</v>
      </c>
    </row>
    <row r="80" spans="2:15" ht="54.75" customHeight="1">
      <c r="B80" s="1505"/>
      <c r="C80" s="1233"/>
      <c r="D80" s="31" t="s">
        <v>522</v>
      </c>
      <c r="E80" s="52">
        <v>0.05</v>
      </c>
      <c r="F80" s="33">
        <v>1</v>
      </c>
      <c r="G80" s="33">
        <v>1</v>
      </c>
      <c r="H80" s="301" t="s">
        <v>519</v>
      </c>
      <c r="I80" s="142" t="s">
        <v>518</v>
      </c>
      <c r="J80" s="190" t="s">
        <v>3</v>
      </c>
      <c r="K80" s="191">
        <v>1</v>
      </c>
      <c r="L80" s="191">
        <v>1</v>
      </c>
      <c r="M80" s="191">
        <v>1</v>
      </c>
      <c r="N80" s="191">
        <v>1</v>
      </c>
      <c r="O80" s="36">
        <f t="shared" si="6"/>
        <v>1</v>
      </c>
    </row>
    <row r="81" spans="2:15" ht="78.75" customHeight="1">
      <c r="B81" s="1505"/>
      <c r="C81" s="1233"/>
      <c r="D81" s="31" t="s">
        <v>523</v>
      </c>
      <c r="E81" s="52">
        <v>0.05</v>
      </c>
      <c r="F81" s="33">
        <v>1</v>
      </c>
      <c r="G81" s="33">
        <v>1</v>
      </c>
      <c r="H81" s="301" t="s">
        <v>520</v>
      </c>
      <c r="I81" s="142" t="s">
        <v>518</v>
      </c>
      <c r="J81" s="190" t="s">
        <v>3</v>
      </c>
      <c r="K81" s="191">
        <v>1</v>
      </c>
      <c r="L81" s="191">
        <v>1</v>
      </c>
      <c r="M81" s="191">
        <v>1</v>
      </c>
      <c r="N81" s="191">
        <v>1</v>
      </c>
      <c r="O81" s="36">
        <f t="shared" si="6"/>
        <v>1</v>
      </c>
    </row>
    <row r="82" spans="2:15" ht="76.5" customHeight="1">
      <c r="B82" s="1505"/>
      <c r="C82" s="1233"/>
      <c r="D82" s="1493" t="s">
        <v>524</v>
      </c>
      <c r="E82" s="1496">
        <v>0.05</v>
      </c>
      <c r="F82" s="33">
        <v>1</v>
      </c>
      <c r="G82" s="33">
        <v>1</v>
      </c>
      <c r="H82" s="301" t="s">
        <v>526</v>
      </c>
      <c r="I82" s="142" t="s">
        <v>518</v>
      </c>
      <c r="J82" s="190" t="s">
        <v>3</v>
      </c>
      <c r="K82" s="191">
        <v>1</v>
      </c>
      <c r="L82" s="191">
        <v>1</v>
      </c>
      <c r="M82" s="191">
        <v>1</v>
      </c>
      <c r="N82" s="191">
        <v>1</v>
      </c>
      <c r="O82" s="36">
        <f t="shared" si="6"/>
        <v>1</v>
      </c>
    </row>
    <row r="83" spans="2:15" ht="76.5" customHeight="1">
      <c r="B83" s="1505"/>
      <c r="C83" s="1233"/>
      <c r="D83" s="1495"/>
      <c r="E83" s="1270"/>
      <c r="F83" s="33">
        <v>1</v>
      </c>
      <c r="G83" s="33">
        <v>1</v>
      </c>
      <c r="H83" s="301" t="s">
        <v>525</v>
      </c>
      <c r="I83" s="142" t="s">
        <v>518</v>
      </c>
      <c r="J83" s="190" t="s">
        <v>3</v>
      </c>
      <c r="K83" s="191">
        <v>1</v>
      </c>
      <c r="L83" s="191">
        <v>1</v>
      </c>
      <c r="M83" s="191">
        <v>1</v>
      </c>
      <c r="N83" s="191">
        <v>1</v>
      </c>
      <c r="O83" s="36">
        <f t="shared" si="6"/>
        <v>1</v>
      </c>
    </row>
    <row r="84" spans="2:15" ht="76.5" customHeight="1">
      <c r="B84" s="1505"/>
      <c r="C84" s="1233"/>
      <c r="D84" s="1559" t="s">
        <v>910</v>
      </c>
      <c r="E84" s="1496">
        <v>0.1</v>
      </c>
      <c r="F84" s="595">
        <v>0.95</v>
      </c>
      <c r="G84" s="595" t="s">
        <v>156</v>
      </c>
      <c r="H84" s="586" t="s">
        <v>911</v>
      </c>
      <c r="I84" s="596" t="s">
        <v>453</v>
      </c>
      <c r="J84" s="597" t="s">
        <v>454</v>
      </c>
      <c r="K84" s="191">
        <v>0.6</v>
      </c>
      <c r="L84" s="191">
        <v>0.8</v>
      </c>
      <c r="M84" s="191">
        <v>0.9</v>
      </c>
      <c r="N84" s="191">
        <v>0.95</v>
      </c>
      <c r="O84" s="598">
        <f>+N84</f>
        <v>0.95</v>
      </c>
    </row>
    <row r="85" spans="2:15" ht="76.5" customHeight="1">
      <c r="B85" s="1505"/>
      <c r="C85" s="1233"/>
      <c r="D85" s="1277"/>
      <c r="E85" s="1279"/>
      <c r="F85" s="595">
        <v>0.95</v>
      </c>
      <c r="G85" s="595" t="s">
        <v>156</v>
      </c>
      <c r="H85" s="586" t="s">
        <v>912</v>
      </c>
      <c r="I85" s="596" t="s">
        <v>453</v>
      </c>
      <c r="J85" s="597" t="s">
        <v>454</v>
      </c>
      <c r="K85" s="191">
        <v>0.6</v>
      </c>
      <c r="L85" s="191">
        <v>0.8</v>
      </c>
      <c r="M85" s="191">
        <v>0.9</v>
      </c>
      <c r="N85" s="191">
        <v>0.95</v>
      </c>
      <c r="O85" s="598">
        <f>+N85</f>
        <v>0.95</v>
      </c>
    </row>
    <row r="86" spans="2:15" ht="76.5" customHeight="1">
      <c r="B86" s="1505"/>
      <c r="C86" s="1234"/>
      <c r="D86" s="1278"/>
      <c r="E86" s="1270"/>
      <c r="F86" s="595">
        <v>0.95</v>
      </c>
      <c r="G86" s="595" t="s">
        <v>156</v>
      </c>
      <c r="H86" s="586" t="s">
        <v>913</v>
      </c>
      <c r="I86" s="596" t="s">
        <v>453</v>
      </c>
      <c r="J86" s="597" t="s">
        <v>454</v>
      </c>
      <c r="K86" s="191">
        <v>0.6</v>
      </c>
      <c r="L86" s="191">
        <v>0.8</v>
      </c>
      <c r="M86" s="191">
        <v>0.9</v>
      </c>
      <c r="N86" s="191">
        <v>0.95</v>
      </c>
      <c r="O86" s="598">
        <f>+N86</f>
        <v>0.95</v>
      </c>
    </row>
    <row r="87" spans="2:15" ht="73.5" customHeight="1">
      <c r="B87" s="1505"/>
      <c r="C87" s="1479" t="s">
        <v>146</v>
      </c>
      <c r="D87" s="151" t="s">
        <v>549</v>
      </c>
      <c r="E87" s="152">
        <v>0.05</v>
      </c>
      <c r="F87" s="192">
        <v>96</v>
      </c>
      <c r="G87" s="154" t="s">
        <v>156</v>
      </c>
      <c r="H87" s="155" t="s">
        <v>545</v>
      </c>
      <c r="I87" s="156" t="s">
        <v>564</v>
      </c>
      <c r="J87" s="156" t="s">
        <v>546</v>
      </c>
      <c r="K87" s="193">
        <v>24</v>
      </c>
      <c r="L87" s="193">
        <v>24</v>
      </c>
      <c r="M87" s="193">
        <v>24</v>
      </c>
      <c r="N87" s="193">
        <v>24</v>
      </c>
      <c r="O87" s="85">
        <f t="shared" ref="O87:O92" si="7">K87+L87+M87+N87</f>
        <v>96</v>
      </c>
    </row>
    <row r="88" spans="2:15" ht="86.25" customHeight="1">
      <c r="B88" s="1505"/>
      <c r="C88" s="1480"/>
      <c r="D88" s="151" t="s">
        <v>1102</v>
      </c>
      <c r="E88" s="152">
        <v>0.05</v>
      </c>
      <c r="F88" s="194">
        <v>20</v>
      </c>
      <c r="G88" s="154" t="s">
        <v>156</v>
      </c>
      <c r="H88" s="155" t="s">
        <v>547</v>
      </c>
      <c r="I88" s="156" t="s">
        <v>564</v>
      </c>
      <c r="J88" s="156" t="s">
        <v>546</v>
      </c>
      <c r="K88" s="195">
        <v>2</v>
      </c>
      <c r="L88" s="195">
        <v>6</v>
      </c>
      <c r="M88" s="195">
        <v>6</v>
      </c>
      <c r="N88" s="195">
        <v>6</v>
      </c>
      <c r="O88" s="85">
        <f t="shared" si="7"/>
        <v>20</v>
      </c>
    </row>
    <row r="89" spans="2:15" ht="96.75" customHeight="1">
      <c r="B89" s="1505"/>
      <c r="C89" s="1480"/>
      <c r="D89" s="151" t="s">
        <v>550</v>
      </c>
      <c r="E89" s="152">
        <v>0.2</v>
      </c>
      <c r="F89" s="194">
        <v>400</v>
      </c>
      <c r="G89" s="154" t="s">
        <v>558</v>
      </c>
      <c r="H89" s="155" t="s">
        <v>548</v>
      </c>
      <c r="I89" s="156" t="s">
        <v>564</v>
      </c>
      <c r="J89" s="156" t="s">
        <v>546</v>
      </c>
      <c r="K89" s="195">
        <v>100</v>
      </c>
      <c r="L89" s="195">
        <v>100</v>
      </c>
      <c r="M89" s="195">
        <v>100</v>
      </c>
      <c r="N89" s="195">
        <v>100</v>
      </c>
      <c r="O89" s="85">
        <f t="shared" si="7"/>
        <v>400</v>
      </c>
    </row>
    <row r="90" spans="2:15" ht="69.75" customHeight="1">
      <c r="B90" s="1505"/>
      <c r="C90" s="1480"/>
      <c r="D90" s="151" t="s">
        <v>567</v>
      </c>
      <c r="E90" s="165">
        <v>0.5</v>
      </c>
      <c r="F90" s="154">
        <v>4</v>
      </c>
      <c r="G90" s="154">
        <v>4</v>
      </c>
      <c r="H90" s="155" t="s">
        <v>565</v>
      </c>
      <c r="I90" s="196" t="s">
        <v>566</v>
      </c>
      <c r="J90" s="196" t="s">
        <v>2</v>
      </c>
      <c r="K90" s="154">
        <v>1</v>
      </c>
      <c r="L90" s="154">
        <v>1</v>
      </c>
      <c r="M90" s="154">
        <v>1</v>
      </c>
      <c r="N90" s="154">
        <v>1</v>
      </c>
      <c r="O90" s="85">
        <f t="shared" si="7"/>
        <v>4</v>
      </c>
    </row>
    <row r="91" spans="2:15" ht="56.25" customHeight="1">
      <c r="B91" s="1505"/>
      <c r="C91" s="1480"/>
      <c r="D91" s="151" t="s">
        <v>636</v>
      </c>
      <c r="E91" s="165">
        <v>0.1</v>
      </c>
      <c r="F91" s="194">
        <v>4</v>
      </c>
      <c r="G91" s="154">
        <v>4</v>
      </c>
      <c r="H91" s="155" t="s">
        <v>637</v>
      </c>
      <c r="I91" s="196" t="s">
        <v>566</v>
      </c>
      <c r="J91" s="196" t="s">
        <v>2</v>
      </c>
      <c r="K91" s="154">
        <v>1</v>
      </c>
      <c r="L91" s="154">
        <v>1</v>
      </c>
      <c r="M91" s="154">
        <v>1</v>
      </c>
      <c r="N91" s="154">
        <v>1</v>
      </c>
      <c r="O91" s="85">
        <f t="shared" si="7"/>
        <v>4</v>
      </c>
    </row>
    <row r="92" spans="2:15" ht="61.5" customHeight="1">
      <c r="B92" s="1505"/>
      <c r="C92" s="1481"/>
      <c r="D92" s="151" t="s">
        <v>638</v>
      </c>
      <c r="E92" s="165">
        <v>0.1</v>
      </c>
      <c r="F92" s="194">
        <v>4</v>
      </c>
      <c r="G92" s="154">
        <v>4</v>
      </c>
      <c r="H92" s="155" t="s">
        <v>639</v>
      </c>
      <c r="I92" s="196" t="s">
        <v>566</v>
      </c>
      <c r="J92" s="196" t="s">
        <v>2</v>
      </c>
      <c r="K92" s="154">
        <v>1</v>
      </c>
      <c r="L92" s="154">
        <v>1</v>
      </c>
      <c r="M92" s="154">
        <v>1</v>
      </c>
      <c r="N92" s="154">
        <v>1</v>
      </c>
      <c r="O92" s="85">
        <f t="shared" si="7"/>
        <v>4</v>
      </c>
    </row>
    <row r="93" spans="2:15" ht="60" customHeight="1">
      <c r="B93" s="1505"/>
      <c r="C93" s="1482" t="s">
        <v>147</v>
      </c>
      <c r="D93" s="301" t="s">
        <v>584</v>
      </c>
      <c r="E93" s="299">
        <v>0.5</v>
      </c>
      <c r="F93" s="33">
        <v>1</v>
      </c>
      <c r="G93" s="33">
        <v>1</v>
      </c>
      <c r="H93" s="301" t="s">
        <v>580</v>
      </c>
      <c r="I93" s="187" t="s">
        <v>581</v>
      </c>
      <c r="J93" s="197" t="s">
        <v>582</v>
      </c>
      <c r="K93" s="191">
        <v>1</v>
      </c>
      <c r="L93" s="191">
        <v>1</v>
      </c>
      <c r="M93" s="191">
        <v>1</v>
      </c>
      <c r="N93" s="191">
        <v>1</v>
      </c>
      <c r="O93" s="36">
        <f t="shared" ref="O93:O94" si="8">AVERAGE(K93:N93)</f>
        <v>1</v>
      </c>
    </row>
    <row r="94" spans="2:15" ht="69.75" customHeight="1">
      <c r="B94" s="1505"/>
      <c r="C94" s="1483"/>
      <c r="D94" s="301" t="s">
        <v>585</v>
      </c>
      <c r="E94" s="299">
        <v>0.5</v>
      </c>
      <c r="F94" s="33">
        <v>1</v>
      </c>
      <c r="G94" s="33">
        <v>1</v>
      </c>
      <c r="H94" s="301" t="s">
        <v>583</v>
      </c>
      <c r="I94" s="187" t="s">
        <v>581</v>
      </c>
      <c r="J94" s="197" t="s">
        <v>582</v>
      </c>
      <c r="K94" s="191">
        <v>1</v>
      </c>
      <c r="L94" s="191">
        <v>1</v>
      </c>
      <c r="M94" s="191">
        <v>1</v>
      </c>
      <c r="N94" s="191">
        <v>1</v>
      </c>
      <c r="O94" s="36">
        <f t="shared" si="8"/>
        <v>1</v>
      </c>
    </row>
    <row r="95" spans="2:15" ht="114" customHeight="1">
      <c r="B95" s="1506"/>
      <c r="C95" s="198" t="s">
        <v>148</v>
      </c>
      <c r="D95" s="151" t="s">
        <v>385</v>
      </c>
      <c r="E95" s="152">
        <v>1</v>
      </c>
      <c r="F95" s="192">
        <v>3</v>
      </c>
      <c r="G95" s="154" t="s">
        <v>156</v>
      </c>
      <c r="H95" s="151" t="s">
        <v>379</v>
      </c>
      <c r="I95" s="156" t="s">
        <v>361</v>
      </c>
      <c r="J95" s="199" t="s">
        <v>1</v>
      </c>
      <c r="K95" s="200">
        <v>1</v>
      </c>
      <c r="L95" s="200">
        <v>1</v>
      </c>
      <c r="M95" s="200">
        <v>1</v>
      </c>
      <c r="N95" s="200">
        <v>0</v>
      </c>
      <c r="O95" s="85">
        <f t="shared" ref="O95" si="9">K95+L95+M95+N95</f>
        <v>3</v>
      </c>
    </row>
    <row r="96" spans="2:15" ht="93.75" customHeight="1">
      <c r="B96" s="1484" t="s">
        <v>149</v>
      </c>
      <c r="C96" s="1507" t="s">
        <v>150</v>
      </c>
      <c r="D96" s="31" t="s">
        <v>598</v>
      </c>
      <c r="E96" s="52">
        <v>0.5</v>
      </c>
      <c r="F96" s="68">
        <v>4</v>
      </c>
      <c r="G96" s="302">
        <v>2</v>
      </c>
      <c r="H96" s="301" t="s">
        <v>594</v>
      </c>
      <c r="I96" s="142" t="s">
        <v>595</v>
      </c>
      <c r="J96" s="190" t="s">
        <v>596</v>
      </c>
      <c r="K96" s="201">
        <v>1</v>
      </c>
      <c r="L96" s="201">
        <v>1</v>
      </c>
      <c r="M96" s="201">
        <v>1</v>
      </c>
      <c r="N96" s="201">
        <v>1</v>
      </c>
      <c r="O96" s="35">
        <f t="shared" ref="O96:O99" si="10">K96+L96+M96+N96</f>
        <v>4</v>
      </c>
    </row>
    <row r="97" spans="2:15" ht="93.75" customHeight="1">
      <c r="B97" s="1485"/>
      <c r="C97" s="1508"/>
      <c r="D97" s="31" t="s">
        <v>1103</v>
      </c>
      <c r="E97" s="52">
        <v>0.5</v>
      </c>
      <c r="F97" s="68">
        <v>2</v>
      </c>
      <c r="G97" s="934" t="s">
        <v>156</v>
      </c>
      <c r="H97" s="984" t="s">
        <v>1104</v>
      </c>
      <c r="I97" s="985" t="s">
        <v>595</v>
      </c>
      <c r="J97" s="190" t="s">
        <v>596</v>
      </c>
      <c r="K97" s="986">
        <v>0</v>
      </c>
      <c r="L97" s="986">
        <v>1</v>
      </c>
      <c r="M97" s="986">
        <v>1</v>
      </c>
      <c r="N97" s="986">
        <v>0</v>
      </c>
      <c r="O97" s="35">
        <f t="shared" si="10"/>
        <v>2</v>
      </c>
    </row>
    <row r="98" spans="2:15" ht="102" customHeight="1">
      <c r="B98" s="1485"/>
      <c r="C98" s="202" t="s">
        <v>151</v>
      </c>
      <c r="D98" s="31" t="s">
        <v>599</v>
      </c>
      <c r="E98" s="52">
        <v>1</v>
      </c>
      <c r="F98" s="68">
        <v>8</v>
      </c>
      <c r="G98" s="302" t="s">
        <v>156</v>
      </c>
      <c r="H98" s="301" t="s">
        <v>597</v>
      </c>
      <c r="I98" s="142" t="s">
        <v>595</v>
      </c>
      <c r="J98" s="190" t="s">
        <v>596</v>
      </c>
      <c r="K98" s="201">
        <v>2</v>
      </c>
      <c r="L98" s="201">
        <v>2</v>
      </c>
      <c r="M98" s="201">
        <v>3</v>
      </c>
      <c r="N98" s="201">
        <v>1</v>
      </c>
      <c r="O98" s="35">
        <f t="shared" si="10"/>
        <v>8</v>
      </c>
    </row>
    <row r="99" spans="2:15" ht="124.5" customHeight="1">
      <c r="B99" s="1503"/>
      <c r="C99" s="203" t="s">
        <v>152</v>
      </c>
      <c r="D99" s="31" t="s">
        <v>1105</v>
      </c>
      <c r="E99" s="52">
        <v>1</v>
      </c>
      <c r="F99" s="68">
        <v>80</v>
      </c>
      <c r="G99" s="302">
        <v>3</v>
      </c>
      <c r="H99" s="301" t="s">
        <v>600</v>
      </c>
      <c r="I99" s="142" t="s">
        <v>595</v>
      </c>
      <c r="J99" s="190" t="s">
        <v>596</v>
      </c>
      <c r="K99" s="201">
        <v>3</v>
      </c>
      <c r="L99" s="201">
        <v>38</v>
      </c>
      <c r="M99" s="201">
        <v>39</v>
      </c>
      <c r="N99" s="201">
        <v>0</v>
      </c>
      <c r="O99" s="35">
        <f t="shared" si="10"/>
        <v>80</v>
      </c>
    </row>
    <row r="100" spans="2:15" ht="17.399999999999999">
      <c r="B100" s="1560"/>
      <c r="C100" s="1561"/>
      <c r="D100" s="1561"/>
      <c r="E100" s="1561"/>
      <c r="F100" s="1561"/>
      <c r="G100" s="1561"/>
      <c r="H100" s="1561"/>
      <c r="I100" s="1561"/>
      <c r="J100" s="1561"/>
      <c r="K100" s="1561"/>
      <c r="L100" s="1561"/>
      <c r="M100" s="1561"/>
      <c r="N100" s="1561"/>
      <c r="O100" s="1561"/>
    </row>
    <row r="101" spans="2:15">
      <c r="B101" s="1553"/>
      <c r="C101" s="1553"/>
      <c r="D101" s="1553"/>
      <c r="E101" s="1553"/>
      <c r="F101" s="1553"/>
      <c r="G101" s="204"/>
      <c r="H101" s="205"/>
      <c r="I101" s="205"/>
      <c r="J101" s="205"/>
    </row>
    <row r="102" spans="2:15" ht="13.5" customHeight="1">
      <c r="B102" s="205"/>
      <c r="C102" s="205"/>
      <c r="D102" s="205"/>
      <c r="E102" s="204"/>
      <c r="F102" s="204"/>
      <c r="G102" s="204"/>
      <c r="H102" s="205"/>
      <c r="I102" s="205"/>
      <c r="J102" s="205"/>
    </row>
    <row r="103" spans="2:15" ht="28.5" customHeight="1">
      <c r="B103" s="77" t="s">
        <v>26</v>
      </c>
      <c r="C103" s="80">
        <v>44224</v>
      </c>
      <c r="D103" s="205"/>
      <c r="E103" s="204"/>
      <c r="F103" s="204"/>
      <c r="G103" s="204"/>
      <c r="H103" s="205"/>
      <c r="I103" s="205"/>
      <c r="J103" s="205"/>
    </row>
    <row r="104" spans="2:15">
      <c r="B104" s="205"/>
      <c r="C104" s="205"/>
      <c r="D104" s="205"/>
      <c r="E104" s="204"/>
      <c r="F104" s="204"/>
      <c r="G104" s="204"/>
      <c r="H104" s="205"/>
      <c r="I104" s="205"/>
      <c r="J104" s="205"/>
    </row>
    <row r="105" spans="2:15" ht="26.25" customHeight="1">
      <c r="B105" s="77" t="s">
        <v>49</v>
      </c>
      <c r="C105" s="80"/>
      <c r="D105" s="205"/>
      <c r="E105" s="204"/>
      <c r="F105" s="204"/>
      <c r="G105" s="204"/>
      <c r="H105" s="206"/>
      <c r="I105" s="206"/>
      <c r="J105" s="206"/>
    </row>
    <row r="106" spans="2:15" ht="15" customHeight="1">
      <c r="B106" s="205"/>
      <c r="C106" s="205"/>
      <c r="D106" s="205"/>
      <c r="E106" s="204"/>
      <c r="F106" s="204"/>
      <c r="G106" s="204"/>
      <c r="H106" s="205"/>
      <c r="I106" s="205"/>
      <c r="J106" s="205"/>
    </row>
    <row r="107" spans="2:15" ht="15" customHeight="1">
      <c r="B107" s="606" t="s">
        <v>924</v>
      </c>
      <c r="C107" s="205"/>
      <c r="D107" s="205"/>
      <c r="E107" s="204"/>
      <c r="F107" s="204"/>
      <c r="G107" s="204"/>
      <c r="H107" s="206"/>
      <c r="I107" s="206"/>
      <c r="J107" s="206"/>
    </row>
    <row r="108" spans="2:15" ht="15" customHeight="1">
      <c r="B108" s="205"/>
      <c r="C108" s="205"/>
      <c r="D108" s="205"/>
      <c r="E108" s="204"/>
      <c r="F108" s="204"/>
      <c r="G108" s="204"/>
      <c r="H108" s="205"/>
      <c r="I108" s="205"/>
      <c r="J108" s="205"/>
    </row>
    <row r="109" spans="2:15" ht="15" customHeight="1">
      <c r="B109" s="205"/>
      <c r="C109" s="205"/>
      <c r="D109" s="205"/>
      <c r="E109" s="204"/>
      <c r="F109" s="204"/>
      <c r="G109" s="204"/>
      <c r="H109" s="206"/>
      <c r="I109" s="206"/>
      <c r="J109" s="206"/>
    </row>
  </sheetData>
  <sheetProtection algorithmName="SHA-512" hashValue="c2GmnkyVL2sjxJSyu61AY09+xXcDzkmZLNsaigj3suJAIXlVZKTcaHeotRoTKCt/FTUXBejdYZCYgHvgOI02yg==" saltValue="7pNRdW68IuiFrTEibzF08g==" spinCount="100000" sheet="1" objects="1" scenarios="1" deleteRows="0"/>
  <mergeCells count="44">
    <mergeCell ref="G10:G12"/>
    <mergeCell ref="B48:B95"/>
    <mergeCell ref="C55:C60"/>
    <mergeCell ref="C13:C23"/>
    <mergeCell ref="C30:C32"/>
    <mergeCell ref="C24:C29"/>
    <mergeCell ref="B13:B32"/>
    <mergeCell ref="N2:O2"/>
    <mergeCell ref="N5:O5"/>
    <mergeCell ref="N6:O6"/>
    <mergeCell ref="B8:O8"/>
    <mergeCell ref="E10:E12"/>
    <mergeCell ref="C2:M6"/>
    <mergeCell ref="I10:I12"/>
    <mergeCell ref="B2:B6"/>
    <mergeCell ref="O10:O12"/>
    <mergeCell ref="J10:J12"/>
    <mergeCell ref="K10:N10"/>
    <mergeCell ref="B10:B12"/>
    <mergeCell ref="C10:C12"/>
    <mergeCell ref="D10:D12"/>
    <mergeCell ref="F10:F12"/>
    <mergeCell ref="H10:H12"/>
    <mergeCell ref="B101:F101"/>
    <mergeCell ref="C40:C41"/>
    <mergeCell ref="C42:C43"/>
    <mergeCell ref="C45:C47"/>
    <mergeCell ref="B40:B47"/>
    <mergeCell ref="C48:C54"/>
    <mergeCell ref="C61:C68"/>
    <mergeCell ref="E82:E83"/>
    <mergeCell ref="D82:D83"/>
    <mergeCell ref="C87:C92"/>
    <mergeCell ref="C93:C94"/>
    <mergeCell ref="D84:D86"/>
    <mergeCell ref="E84:E86"/>
    <mergeCell ref="C69:C86"/>
    <mergeCell ref="B100:O100"/>
    <mergeCell ref="B96:B99"/>
    <mergeCell ref="C96:C97"/>
    <mergeCell ref="C33:C34"/>
    <mergeCell ref="C35:C36"/>
    <mergeCell ref="C37:C39"/>
    <mergeCell ref="B33:B39"/>
  </mergeCells>
  <pageMargins left="0.7" right="0.7" top="0.75" bottom="0.75" header="0.3" footer="0.3"/>
  <pageSetup paperSize="9" orientation="portrait" horizontalDpi="1200" verticalDpi="12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1C16A-CE5F-4B30-8F0A-93E55768B805}">
  <sheetPr>
    <tabColor rgb="FF66FF33"/>
  </sheetPr>
  <dimension ref="B1:BH31"/>
  <sheetViews>
    <sheetView showGridLines="0" zoomScale="55" zoomScaleNormal="55" workbookViewId="0">
      <selection activeCell="G16" sqref="G16"/>
    </sheetView>
  </sheetViews>
  <sheetFormatPr baseColWidth="10" defaultColWidth="17.33203125" defaultRowHeight="15" customHeight="1"/>
  <cols>
    <col min="1" max="1" width="4.33203125" style="135" customWidth="1"/>
    <col min="2" max="2" width="58.6640625" style="133" customWidth="1"/>
    <col min="3" max="3" width="56.109375" style="133" customWidth="1"/>
    <col min="4" max="4" width="49.6640625" style="133" customWidth="1"/>
    <col min="5" max="5" width="27.5546875" style="133" customWidth="1"/>
    <col min="6" max="7" width="29.33203125" style="134" customWidth="1"/>
    <col min="8" max="8" width="36.33203125" style="133" customWidth="1"/>
    <col min="9" max="9" width="39.6640625" style="133" customWidth="1"/>
    <col min="10" max="10" width="58.44140625" style="133" customWidth="1"/>
    <col min="11" max="11" width="48.44140625" style="133" customWidth="1"/>
    <col min="12" max="13" width="28.5546875" style="133" customWidth="1"/>
    <col min="14" max="14" width="37.44140625" style="133" customWidth="1"/>
    <col min="15" max="15" width="39.33203125" style="135" customWidth="1"/>
    <col min="16" max="46" width="15.88671875" style="135" customWidth="1"/>
    <col min="47" max="48" width="24.5546875" style="135" customWidth="1"/>
    <col min="49" max="49" width="22.88671875" style="135" customWidth="1"/>
    <col min="50" max="50" width="19.33203125" style="135" customWidth="1"/>
    <col min="51" max="51" width="18.44140625" style="135" customWidth="1"/>
    <col min="52" max="52" width="19.44140625" style="135" customWidth="1"/>
    <col min="53" max="53" width="23.33203125" style="135" customWidth="1"/>
    <col min="54" max="55" width="25.109375" style="135" customWidth="1"/>
    <col min="56" max="56" width="26.6640625" style="135" customWidth="1"/>
    <col min="57" max="57" width="26.33203125" style="135" customWidth="1"/>
    <col min="58" max="58" width="26.5546875" style="135" customWidth="1"/>
    <col min="59" max="59" width="26.33203125" style="135" customWidth="1"/>
    <col min="60" max="60" width="27.33203125" style="135" customWidth="1"/>
    <col min="61" max="16384" width="17.33203125" style="135"/>
  </cols>
  <sheetData>
    <row r="1" spans="2:60" ht="15" customHeight="1" thickBot="1"/>
    <row r="2" spans="2:60" ht="16.5" customHeight="1">
      <c r="B2" s="1575" t="s">
        <v>686</v>
      </c>
      <c r="C2" s="1600" t="s">
        <v>118</v>
      </c>
      <c r="D2" s="1601"/>
      <c r="E2" s="1601"/>
      <c r="F2" s="1601"/>
      <c r="G2" s="1601"/>
      <c r="H2" s="1601"/>
      <c r="I2" s="1601"/>
      <c r="J2" s="1601"/>
      <c r="K2" s="1601"/>
      <c r="L2" s="1601"/>
      <c r="M2" s="1601"/>
      <c r="N2" s="1601"/>
      <c r="O2" s="1601"/>
      <c r="P2" s="1601"/>
      <c r="Q2" s="1601"/>
      <c r="R2" s="1601"/>
      <c r="S2" s="1601"/>
      <c r="T2" s="1601"/>
      <c r="U2" s="1601"/>
      <c r="V2" s="1601"/>
      <c r="W2" s="1601"/>
      <c r="X2" s="1601"/>
      <c r="Y2" s="1601"/>
      <c r="Z2" s="1601"/>
      <c r="AA2" s="1601"/>
      <c r="AB2" s="1601"/>
      <c r="AC2" s="1601"/>
      <c r="AD2" s="1601"/>
      <c r="AE2" s="1601"/>
      <c r="AF2" s="1601"/>
      <c r="AG2" s="1601"/>
      <c r="AH2" s="1601"/>
      <c r="AI2" s="1601"/>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2"/>
      <c r="BG2" s="207" t="s">
        <v>31</v>
      </c>
      <c r="BH2" s="208"/>
    </row>
    <row r="3" spans="2:60" ht="16.5" customHeight="1">
      <c r="B3" s="1576"/>
      <c r="C3" s="1603"/>
      <c r="D3" s="1604"/>
      <c r="E3" s="1604"/>
      <c r="F3" s="1604"/>
      <c r="G3" s="1604"/>
      <c r="H3" s="1604"/>
      <c r="I3" s="1604"/>
      <c r="J3" s="1604"/>
      <c r="K3" s="1604"/>
      <c r="L3" s="1604"/>
      <c r="M3" s="1604"/>
      <c r="N3" s="1604"/>
      <c r="O3" s="1604"/>
      <c r="P3" s="1604"/>
      <c r="Q3" s="1604"/>
      <c r="R3" s="1604"/>
      <c r="S3" s="1604"/>
      <c r="T3" s="1604"/>
      <c r="U3" s="1604"/>
      <c r="V3" s="1604"/>
      <c r="W3" s="1604"/>
      <c r="X3" s="1604"/>
      <c r="Y3" s="1604"/>
      <c r="Z3" s="1604"/>
      <c r="AA3" s="1604"/>
      <c r="AB3" s="1604"/>
      <c r="AC3" s="1604"/>
      <c r="AD3" s="1604"/>
      <c r="AE3" s="1604"/>
      <c r="AF3" s="1604"/>
      <c r="AG3" s="1604"/>
      <c r="AH3" s="1604"/>
      <c r="AI3" s="1604"/>
      <c r="AJ3" s="1604"/>
      <c r="AK3" s="1604"/>
      <c r="AL3" s="1604"/>
      <c r="AM3" s="1604"/>
      <c r="AN3" s="1604"/>
      <c r="AO3" s="1604"/>
      <c r="AP3" s="1604"/>
      <c r="AQ3" s="1604"/>
      <c r="AR3" s="1604"/>
      <c r="AS3" s="1604"/>
      <c r="AT3" s="1604"/>
      <c r="AU3" s="1604"/>
      <c r="AV3" s="1604"/>
      <c r="AW3" s="1604"/>
      <c r="AX3" s="1604"/>
      <c r="AY3" s="1604"/>
      <c r="AZ3" s="1604"/>
      <c r="BA3" s="1604"/>
      <c r="BB3" s="1604"/>
      <c r="BC3" s="1604"/>
      <c r="BD3" s="1604"/>
      <c r="BE3" s="1604"/>
      <c r="BF3" s="1605"/>
      <c r="BG3" s="209" t="s">
        <v>28</v>
      </c>
      <c r="BH3" s="28" t="s">
        <v>29</v>
      </c>
    </row>
    <row r="4" spans="2:60" ht="16.5" customHeight="1">
      <c r="B4" s="1576"/>
      <c r="C4" s="1603"/>
      <c r="D4" s="1604"/>
      <c r="E4" s="1604"/>
      <c r="F4" s="1604"/>
      <c r="G4" s="1604"/>
      <c r="H4" s="1604"/>
      <c r="I4" s="1604"/>
      <c r="J4" s="1604"/>
      <c r="K4" s="1604"/>
      <c r="L4" s="1604"/>
      <c r="M4" s="1604"/>
      <c r="N4" s="1604"/>
      <c r="O4" s="1604"/>
      <c r="P4" s="1604"/>
      <c r="Q4" s="1604"/>
      <c r="R4" s="1604"/>
      <c r="S4" s="1604"/>
      <c r="T4" s="1604"/>
      <c r="U4" s="1604"/>
      <c r="V4" s="1604"/>
      <c r="W4" s="1604"/>
      <c r="X4" s="1604"/>
      <c r="Y4" s="1604"/>
      <c r="Z4" s="1604"/>
      <c r="AA4" s="1604"/>
      <c r="AB4" s="1604"/>
      <c r="AC4" s="1604"/>
      <c r="AD4" s="1604"/>
      <c r="AE4" s="1604"/>
      <c r="AF4" s="1604"/>
      <c r="AG4" s="1604"/>
      <c r="AH4" s="1604"/>
      <c r="AI4" s="1604"/>
      <c r="AJ4" s="1604"/>
      <c r="AK4" s="1604"/>
      <c r="AL4" s="1604"/>
      <c r="AM4" s="1604"/>
      <c r="AN4" s="1604"/>
      <c r="AO4" s="1604"/>
      <c r="AP4" s="1604"/>
      <c r="AQ4" s="1604"/>
      <c r="AR4" s="1604"/>
      <c r="AS4" s="1604"/>
      <c r="AT4" s="1604"/>
      <c r="AU4" s="1604"/>
      <c r="AV4" s="1604"/>
      <c r="AW4" s="1604"/>
      <c r="AX4" s="1604"/>
      <c r="AY4" s="1604"/>
      <c r="AZ4" s="1604"/>
      <c r="BA4" s="1604"/>
      <c r="BB4" s="1604"/>
      <c r="BC4" s="1604"/>
      <c r="BD4" s="1604"/>
      <c r="BE4" s="1604"/>
      <c r="BF4" s="1605"/>
      <c r="BG4" s="210">
        <v>5</v>
      </c>
      <c r="BH4" s="30" t="s">
        <v>657</v>
      </c>
    </row>
    <row r="5" spans="2:60" ht="16.5" customHeight="1">
      <c r="B5" s="1576"/>
      <c r="C5" s="1603"/>
      <c r="D5" s="1604"/>
      <c r="E5" s="1604"/>
      <c r="F5" s="1604"/>
      <c r="G5" s="1604"/>
      <c r="H5" s="1604"/>
      <c r="I5" s="1604"/>
      <c r="J5" s="1604"/>
      <c r="K5" s="1604"/>
      <c r="L5" s="1604"/>
      <c r="M5" s="1604"/>
      <c r="N5" s="1604"/>
      <c r="O5" s="1604"/>
      <c r="P5" s="1604"/>
      <c r="Q5" s="1604"/>
      <c r="R5" s="1604"/>
      <c r="S5" s="1604"/>
      <c r="T5" s="1604"/>
      <c r="U5" s="1604"/>
      <c r="V5" s="1604"/>
      <c r="W5" s="1604"/>
      <c r="X5" s="1604"/>
      <c r="Y5" s="1604"/>
      <c r="Z5" s="1604"/>
      <c r="AA5" s="1604"/>
      <c r="AB5" s="1604"/>
      <c r="AC5" s="1604"/>
      <c r="AD5" s="1604"/>
      <c r="AE5" s="1604"/>
      <c r="AF5" s="1604"/>
      <c r="AG5" s="1604"/>
      <c r="AH5" s="1604"/>
      <c r="AI5" s="1604"/>
      <c r="AJ5" s="1604"/>
      <c r="AK5" s="1604"/>
      <c r="AL5" s="1604"/>
      <c r="AM5" s="1604"/>
      <c r="AN5" s="1604"/>
      <c r="AO5" s="1604"/>
      <c r="AP5" s="1604"/>
      <c r="AQ5" s="1604"/>
      <c r="AR5" s="1604"/>
      <c r="AS5" s="1604"/>
      <c r="AT5" s="1604"/>
      <c r="AU5" s="1604"/>
      <c r="AV5" s="1604"/>
      <c r="AW5" s="1604"/>
      <c r="AX5" s="1604"/>
      <c r="AY5" s="1604"/>
      <c r="AZ5" s="1604"/>
      <c r="BA5" s="1604"/>
      <c r="BB5" s="1604"/>
      <c r="BC5" s="1604"/>
      <c r="BD5" s="1604"/>
      <c r="BE5" s="1604"/>
      <c r="BF5" s="1605"/>
      <c r="BG5" s="211" t="s">
        <v>30</v>
      </c>
      <c r="BH5" s="212"/>
    </row>
    <row r="6" spans="2:60" ht="16.5" customHeight="1" thickBot="1">
      <c r="B6" s="1577"/>
      <c r="C6" s="1606"/>
      <c r="D6" s="1607"/>
      <c r="E6" s="1607"/>
      <c r="F6" s="1607"/>
      <c r="G6" s="1607"/>
      <c r="H6" s="1607"/>
      <c r="I6" s="1607"/>
      <c r="J6" s="1607"/>
      <c r="K6" s="1607"/>
      <c r="L6" s="1607"/>
      <c r="M6" s="1607"/>
      <c r="N6" s="1607"/>
      <c r="O6" s="1607"/>
      <c r="P6" s="1607"/>
      <c r="Q6" s="1607"/>
      <c r="R6" s="1607"/>
      <c r="S6" s="1607"/>
      <c r="T6" s="1607"/>
      <c r="U6" s="1607"/>
      <c r="V6" s="1607"/>
      <c r="W6" s="1607"/>
      <c r="X6" s="1607"/>
      <c r="Y6" s="1607"/>
      <c r="Z6" s="1607"/>
      <c r="AA6" s="1607"/>
      <c r="AB6" s="1607"/>
      <c r="AC6" s="1607"/>
      <c r="AD6" s="1607"/>
      <c r="AE6" s="1607"/>
      <c r="AF6" s="1607"/>
      <c r="AG6" s="1607"/>
      <c r="AH6" s="1607"/>
      <c r="AI6" s="1607"/>
      <c r="AJ6" s="1607"/>
      <c r="AK6" s="1607"/>
      <c r="AL6" s="1607"/>
      <c r="AM6" s="1607"/>
      <c r="AN6" s="1607"/>
      <c r="AO6" s="1607"/>
      <c r="AP6" s="1607"/>
      <c r="AQ6" s="1607"/>
      <c r="AR6" s="1607"/>
      <c r="AS6" s="1607"/>
      <c r="AT6" s="1607"/>
      <c r="AU6" s="1607"/>
      <c r="AV6" s="1607"/>
      <c r="AW6" s="1607"/>
      <c r="AX6" s="1607"/>
      <c r="AY6" s="1607"/>
      <c r="AZ6" s="1607"/>
      <c r="BA6" s="1607"/>
      <c r="BB6" s="1607"/>
      <c r="BC6" s="1607"/>
      <c r="BD6" s="1607"/>
      <c r="BE6" s="1607"/>
      <c r="BF6" s="1608"/>
      <c r="BG6" s="1566">
        <v>44306</v>
      </c>
      <c r="BH6" s="1567"/>
    </row>
    <row r="7" spans="2:60" ht="19.5" customHeight="1">
      <c r="B7" s="136"/>
      <c r="C7" s="136"/>
      <c r="D7" s="136"/>
      <c r="E7" s="136"/>
      <c r="F7" s="137"/>
      <c r="G7" s="137"/>
      <c r="H7" s="136"/>
      <c r="I7" s="136"/>
      <c r="J7" s="136"/>
      <c r="K7" s="136"/>
      <c r="L7" s="136"/>
      <c r="M7" s="136"/>
      <c r="N7" s="136"/>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589"/>
      <c r="AX7" s="1590"/>
      <c r="AY7" s="1590"/>
      <c r="AZ7" s="1590"/>
      <c r="BA7" s="1591"/>
      <c r="BB7" s="577"/>
      <c r="BC7" s="577"/>
      <c r="BD7" s="577"/>
      <c r="BE7" s="138"/>
      <c r="BF7" s="138"/>
    </row>
    <row r="8" spans="2:60" ht="28.5" customHeight="1">
      <c r="B8" s="213" t="s">
        <v>45</v>
      </c>
      <c r="C8" s="1609" t="s">
        <v>79</v>
      </c>
      <c r="D8" s="1609"/>
      <c r="E8" s="214"/>
      <c r="F8" s="214"/>
      <c r="G8" s="214"/>
      <c r="H8" s="214"/>
      <c r="I8" s="214"/>
      <c r="J8" s="214"/>
      <c r="K8" s="214"/>
      <c r="L8" s="214"/>
      <c r="M8" s="214"/>
      <c r="N8" s="214"/>
      <c r="AW8" s="577"/>
      <c r="AX8" s="577"/>
      <c r="AY8" s="577"/>
      <c r="AZ8" s="577"/>
      <c r="BA8" s="577"/>
      <c r="BB8" s="577"/>
      <c r="BC8" s="577"/>
      <c r="BD8" s="577"/>
    </row>
    <row r="9" spans="2:60" ht="98.25" customHeight="1">
      <c r="B9" s="213" t="s">
        <v>34</v>
      </c>
      <c r="C9" s="1610" t="s">
        <v>368</v>
      </c>
      <c r="D9" s="1611"/>
      <c r="E9" s="214"/>
      <c r="F9" s="214"/>
      <c r="G9" s="214"/>
      <c r="H9" s="214"/>
      <c r="I9" s="214"/>
      <c r="J9" s="214"/>
      <c r="K9" s="214"/>
      <c r="L9" s="214"/>
      <c r="M9" s="214"/>
      <c r="N9" s="214"/>
      <c r="AW9" s="577"/>
      <c r="AX9" s="577"/>
      <c r="AY9" s="577"/>
      <c r="AZ9" s="577"/>
      <c r="BA9" s="577"/>
      <c r="BB9" s="577"/>
      <c r="BC9" s="577"/>
      <c r="BD9" s="577"/>
    </row>
    <row r="10" spans="2:60" ht="30" customHeight="1">
      <c r="B10" s="213" t="s">
        <v>101</v>
      </c>
      <c r="C10" s="1612">
        <v>2022</v>
      </c>
      <c r="D10" s="1613"/>
      <c r="E10" s="214"/>
      <c r="F10" s="214"/>
      <c r="G10" s="214"/>
      <c r="H10" s="214"/>
      <c r="I10" s="214"/>
      <c r="J10" s="214"/>
      <c r="K10" s="214"/>
      <c r="L10" s="214"/>
      <c r="M10" s="214"/>
      <c r="N10" s="214"/>
      <c r="AW10" s="577"/>
      <c r="AX10" s="577"/>
      <c r="AY10" s="577"/>
      <c r="AZ10" s="577"/>
      <c r="BA10" s="577"/>
      <c r="BB10" s="577"/>
      <c r="BC10" s="577"/>
      <c r="BD10" s="577"/>
    </row>
    <row r="11" spans="2:60" ht="14.25" customHeight="1">
      <c r="B11" s="136"/>
      <c r="C11" s="136"/>
      <c r="D11" s="136"/>
      <c r="E11" s="136"/>
      <c r="F11" s="137"/>
      <c r="G11" s="137"/>
      <c r="H11" s="136"/>
      <c r="I11" s="136"/>
      <c r="J11" s="136"/>
      <c r="K11" s="136"/>
      <c r="L11" s="136"/>
      <c r="M11" s="136"/>
      <c r="N11" s="136"/>
      <c r="AV11" s="337"/>
      <c r="AW11" s="577"/>
      <c r="AX11" s="577"/>
      <c r="AY11" s="577"/>
      <c r="AZ11" s="577"/>
      <c r="BA11" s="577"/>
      <c r="BB11" s="577"/>
      <c r="BC11" s="577"/>
      <c r="BD11" s="577"/>
    </row>
    <row r="12" spans="2:60" ht="33" customHeight="1">
      <c r="B12" s="1476" t="s">
        <v>0</v>
      </c>
      <c r="C12" s="1476" t="s">
        <v>52</v>
      </c>
      <c r="D12" s="1302" t="s">
        <v>711</v>
      </c>
      <c r="E12" s="1476" t="s">
        <v>61</v>
      </c>
      <c r="F12" s="1302" t="s">
        <v>682</v>
      </c>
      <c r="G12" s="1476" t="s">
        <v>58</v>
      </c>
      <c r="H12" s="1476" t="s">
        <v>25</v>
      </c>
      <c r="I12" s="1476" t="s">
        <v>60</v>
      </c>
      <c r="J12" s="1476" t="s">
        <v>39</v>
      </c>
      <c r="K12" s="1476" t="s">
        <v>36</v>
      </c>
      <c r="L12" s="1476" t="s">
        <v>20</v>
      </c>
      <c r="M12" s="1476" t="s">
        <v>51</v>
      </c>
      <c r="N12" s="1476" t="s">
        <v>40</v>
      </c>
      <c r="O12" s="1476" t="s">
        <v>42</v>
      </c>
      <c r="P12" s="1528" t="s">
        <v>112</v>
      </c>
      <c r="Q12" s="1528"/>
      <c r="R12" s="1528"/>
      <c r="S12" s="1528"/>
      <c r="T12" s="1528"/>
      <c r="U12" s="1528"/>
      <c r="V12" s="1528"/>
      <c r="W12" s="1528"/>
      <c r="X12" s="1528"/>
      <c r="Y12" s="1528"/>
      <c r="Z12" s="1528"/>
      <c r="AA12" s="1528"/>
      <c r="AB12" s="1528"/>
      <c r="AC12" s="1528"/>
      <c r="AD12" s="1528"/>
      <c r="AE12" s="1528"/>
      <c r="AF12" s="1528"/>
      <c r="AG12" s="1528"/>
      <c r="AH12" s="1528"/>
      <c r="AI12" s="1528"/>
      <c r="AJ12" s="1528"/>
      <c r="AK12" s="1528"/>
      <c r="AL12" s="1528"/>
      <c r="AM12" s="1528"/>
      <c r="AN12" s="1528"/>
      <c r="AO12" s="1528"/>
      <c r="AP12" s="1528"/>
      <c r="AQ12" s="1528"/>
      <c r="AR12" s="1528"/>
      <c r="AS12" s="1528"/>
      <c r="AT12" s="1528"/>
      <c r="AU12" s="1528"/>
      <c r="AV12" s="1592" t="s">
        <v>62</v>
      </c>
      <c r="AW12" s="1594" t="s">
        <v>683</v>
      </c>
      <c r="AX12" s="1595"/>
      <c r="AY12" s="1595"/>
      <c r="AZ12" s="1596"/>
      <c r="BA12" s="1583" t="s">
        <v>684</v>
      </c>
      <c r="BB12" s="1584"/>
      <c r="BC12" s="1584"/>
      <c r="BD12" s="1585"/>
      <c r="BE12" s="1618" t="s">
        <v>685</v>
      </c>
      <c r="BF12" s="1619"/>
      <c r="BG12" s="1619"/>
      <c r="BH12" s="1620"/>
    </row>
    <row r="13" spans="2:60" ht="21.75" customHeight="1">
      <c r="B13" s="1476"/>
      <c r="C13" s="1476"/>
      <c r="D13" s="1302"/>
      <c r="E13" s="1476"/>
      <c r="F13" s="1302"/>
      <c r="G13" s="1476"/>
      <c r="H13" s="1476"/>
      <c r="I13" s="1476"/>
      <c r="J13" s="1476"/>
      <c r="K13" s="1476"/>
      <c r="L13" s="1476"/>
      <c r="M13" s="1476"/>
      <c r="N13" s="1476"/>
      <c r="O13" s="1476"/>
      <c r="P13" s="1593" t="s">
        <v>21</v>
      </c>
      <c r="Q13" s="1593"/>
      <c r="R13" s="1593"/>
      <c r="S13" s="1593"/>
      <c r="T13" s="1593"/>
      <c r="U13" s="1593"/>
      <c r="V13" s="1593"/>
      <c r="W13" s="1593"/>
      <c r="X13" s="1593" t="s">
        <v>22</v>
      </c>
      <c r="Y13" s="1593"/>
      <c r="Z13" s="1593"/>
      <c r="AA13" s="1593"/>
      <c r="AB13" s="1593"/>
      <c r="AC13" s="1593"/>
      <c r="AD13" s="1593"/>
      <c r="AE13" s="1593"/>
      <c r="AF13" s="1593" t="s">
        <v>23</v>
      </c>
      <c r="AG13" s="1593"/>
      <c r="AH13" s="1593"/>
      <c r="AI13" s="1593"/>
      <c r="AJ13" s="1593"/>
      <c r="AK13" s="1593"/>
      <c r="AL13" s="1593"/>
      <c r="AM13" s="1593"/>
      <c r="AN13" s="1593" t="s">
        <v>24</v>
      </c>
      <c r="AO13" s="1593"/>
      <c r="AP13" s="1593"/>
      <c r="AQ13" s="1593"/>
      <c r="AR13" s="1593"/>
      <c r="AS13" s="1593"/>
      <c r="AT13" s="1593"/>
      <c r="AU13" s="1593"/>
      <c r="AV13" s="1592"/>
      <c r="AW13" s="1597" t="s">
        <v>119</v>
      </c>
      <c r="AX13" s="1597" t="s">
        <v>22</v>
      </c>
      <c r="AY13" s="1597" t="s">
        <v>120</v>
      </c>
      <c r="AZ13" s="1597" t="s">
        <v>121</v>
      </c>
      <c r="BA13" s="1586" t="s">
        <v>119</v>
      </c>
      <c r="BB13" s="1586" t="s">
        <v>122</v>
      </c>
      <c r="BC13" s="1586" t="s">
        <v>123</v>
      </c>
      <c r="BD13" s="1586" t="s">
        <v>124</v>
      </c>
      <c r="BE13" s="1580" t="s">
        <v>21</v>
      </c>
      <c r="BF13" s="1580" t="s">
        <v>22</v>
      </c>
      <c r="BG13" s="1580" t="s">
        <v>23</v>
      </c>
      <c r="BH13" s="1580" t="s">
        <v>24</v>
      </c>
    </row>
    <row r="14" spans="2:60" ht="21.75" customHeight="1">
      <c r="B14" s="1476"/>
      <c r="C14" s="1476"/>
      <c r="D14" s="1302"/>
      <c r="E14" s="1476"/>
      <c r="F14" s="1302"/>
      <c r="G14" s="1476"/>
      <c r="H14" s="1476"/>
      <c r="I14" s="1476"/>
      <c r="J14" s="1476"/>
      <c r="K14" s="1476"/>
      <c r="L14" s="1476"/>
      <c r="M14" s="1476"/>
      <c r="N14" s="1476"/>
      <c r="O14" s="1476"/>
      <c r="P14" s="1579" t="s">
        <v>5</v>
      </c>
      <c r="Q14" s="1579"/>
      <c r="R14" s="1579" t="s">
        <v>6</v>
      </c>
      <c r="S14" s="1579"/>
      <c r="T14" s="1579" t="s">
        <v>7</v>
      </c>
      <c r="U14" s="1579"/>
      <c r="V14" s="1528" t="s">
        <v>8</v>
      </c>
      <c r="W14" s="1528"/>
      <c r="X14" s="1579" t="s">
        <v>27</v>
      </c>
      <c r="Y14" s="1579"/>
      <c r="Z14" s="1579" t="s">
        <v>9</v>
      </c>
      <c r="AA14" s="1579"/>
      <c r="AB14" s="1579" t="s">
        <v>10</v>
      </c>
      <c r="AC14" s="1579"/>
      <c r="AD14" s="1528" t="s">
        <v>8</v>
      </c>
      <c r="AE14" s="1528"/>
      <c r="AF14" s="1579" t="s">
        <v>11</v>
      </c>
      <c r="AG14" s="1579"/>
      <c r="AH14" s="1579" t="s">
        <v>12</v>
      </c>
      <c r="AI14" s="1579"/>
      <c r="AJ14" s="1579" t="s">
        <v>13</v>
      </c>
      <c r="AK14" s="1579"/>
      <c r="AL14" s="1528" t="s">
        <v>8</v>
      </c>
      <c r="AM14" s="1528"/>
      <c r="AN14" s="1579" t="s">
        <v>14</v>
      </c>
      <c r="AO14" s="1579"/>
      <c r="AP14" s="1579" t="s">
        <v>15</v>
      </c>
      <c r="AQ14" s="1579"/>
      <c r="AR14" s="1579" t="s">
        <v>16</v>
      </c>
      <c r="AS14" s="1579"/>
      <c r="AT14" s="1528" t="s">
        <v>8</v>
      </c>
      <c r="AU14" s="1528"/>
      <c r="AV14" s="1592"/>
      <c r="AW14" s="1598"/>
      <c r="AX14" s="1598"/>
      <c r="AY14" s="1598"/>
      <c r="AZ14" s="1598"/>
      <c r="BA14" s="1587"/>
      <c r="BB14" s="1587"/>
      <c r="BC14" s="1587"/>
      <c r="BD14" s="1587"/>
      <c r="BE14" s="1581"/>
      <c r="BF14" s="1581"/>
      <c r="BG14" s="1581"/>
      <c r="BH14" s="1581"/>
    </row>
    <row r="15" spans="2:60" ht="21.75" customHeight="1">
      <c r="B15" s="1476"/>
      <c r="C15" s="1476"/>
      <c r="D15" s="1302"/>
      <c r="E15" s="1476"/>
      <c r="F15" s="1302"/>
      <c r="G15" s="1476"/>
      <c r="H15" s="1476"/>
      <c r="I15" s="1476"/>
      <c r="J15" s="1476"/>
      <c r="K15" s="1476"/>
      <c r="L15" s="1476"/>
      <c r="M15" s="1476"/>
      <c r="N15" s="1476"/>
      <c r="O15" s="1476"/>
      <c r="P15" s="73" t="s">
        <v>17</v>
      </c>
      <c r="Q15" s="74" t="s">
        <v>18</v>
      </c>
      <c r="R15" s="73" t="s">
        <v>17</v>
      </c>
      <c r="S15" s="74" t="s">
        <v>18</v>
      </c>
      <c r="T15" s="73" t="s">
        <v>17</v>
      </c>
      <c r="U15" s="74" t="s">
        <v>18</v>
      </c>
      <c r="V15" s="75" t="s">
        <v>17</v>
      </c>
      <c r="W15" s="76" t="s">
        <v>18</v>
      </c>
      <c r="X15" s="73" t="s">
        <v>17</v>
      </c>
      <c r="Y15" s="74" t="s">
        <v>18</v>
      </c>
      <c r="Z15" s="73" t="s">
        <v>17</v>
      </c>
      <c r="AA15" s="74" t="s">
        <v>18</v>
      </c>
      <c r="AB15" s="73" t="s">
        <v>17</v>
      </c>
      <c r="AC15" s="74" t="s">
        <v>18</v>
      </c>
      <c r="AD15" s="75" t="s">
        <v>17</v>
      </c>
      <c r="AE15" s="76" t="s">
        <v>18</v>
      </c>
      <c r="AF15" s="73" t="s">
        <v>17</v>
      </c>
      <c r="AG15" s="74" t="s">
        <v>18</v>
      </c>
      <c r="AH15" s="73" t="s">
        <v>17</v>
      </c>
      <c r="AI15" s="74" t="s">
        <v>18</v>
      </c>
      <c r="AJ15" s="73" t="s">
        <v>17</v>
      </c>
      <c r="AK15" s="74" t="s">
        <v>18</v>
      </c>
      <c r="AL15" s="75" t="s">
        <v>17</v>
      </c>
      <c r="AM15" s="76" t="s">
        <v>18</v>
      </c>
      <c r="AN15" s="73" t="s">
        <v>17</v>
      </c>
      <c r="AO15" s="74" t="s">
        <v>18</v>
      </c>
      <c r="AP15" s="73" t="s">
        <v>17</v>
      </c>
      <c r="AQ15" s="74" t="s">
        <v>18</v>
      </c>
      <c r="AR15" s="73" t="s">
        <v>17</v>
      </c>
      <c r="AS15" s="74" t="s">
        <v>18</v>
      </c>
      <c r="AT15" s="75" t="s">
        <v>17</v>
      </c>
      <c r="AU15" s="76" t="s">
        <v>18</v>
      </c>
      <c r="AV15" s="1592"/>
      <c r="AW15" s="1599"/>
      <c r="AX15" s="1599"/>
      <c r="AY15" s="1599"/>
      <c r="AZ15" s="1599"/>
      <c r="BA15" s="1588"/>
      <c r="BB15" s="1588"/>
      <c r="BC15" s="1588"/>
      <c r="BD15" s="1588"/>
      <c r="BE15" s="1582"/>
      <c r="BF15" s="1582"/>
      <c r="BG15" s="1582"/>
      <c r="BH15" s="1582"/>
    </row>
    <row r="16" spans="2:60" ht="187.95" customHeight="1">
      <c r="B16" s="1616"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616" t="str">
        <f>+'01-FR-03 POA INSTITUCIONAL'!C55</f>
        <v>4.2. Consolidar el 90% del Modelo Integrado de Planeación y Gestión –MIPG- y sus sistemas de gestión articulados, como compromiso con la Calidad, la Excelencia, la Responsabilidad Ambiental y la Mejora en la prestación del Servicio.</v>
      </c>
      <c r="D16" s="31" t="str">
        <f>+'01-FR-03 POA INSTITUCIONAL'!D55</f>
        <v>4.2.1 Formular e implementar el 100% de las acciones para la Sostenibilidad y mejora del Sistema de Gestión de la Calidad 
-SGC- (Meta Transversal)</v>
      </c>
      <c r="E16" s="32">
        <f>+'01-FR-03 POA INSTITUCIONAL'!E55</f>
        <v>0.2</v>
      </c>
      <c r="F16" s="314">
        <f>+'01-FR-03 POA INSTITUCIONAL'!F55</f>
        <v>1</v>
      </c>
      <c r="G16" s="160">
        <f>+'01-FR-03 POA INSTITUCIONAL'!L55</f>
        <v>1</v>
      </c>
      <c r="H16" s="33">
        <f>+'01-FR-03 POA INSTITUCIONAL'!G55</f>
        <v>1</v>
      </c>
      <c r="I16" s="33" t="str">
        <f>+'01-FR-03 POA INSTITUCIONAL'!H55</f>
        <v xml:space="preserve">Porcentaje de acciones implementadas para la sostenibilidad y mejora del SGC </v>
      </c>
      <c r="J16" s="215" t="s">
        <v>674</v>
      </c>
      <c r="K16" s="220" t="s">
        <v>1109</v>
      </c>
      <c r="L16" s="216" t="s">
        <v>167</v>
      </c>
      <c r="M16" s="217" t="s">
        <v>363</v>
      </c>
      <c r="N16" s="216" t="s">
        <v>365</v>
      </c>
      <c r="O16" s="34" t="str">
        <f>+'01-FR-03 POA INSTITUCIONAL'!J55</f>
        <v>Dirección de Planeación
Aportan: Dependencias lideradas por  Responsables de procesos y operativos de todos los procesos institucionales</v>
      </c>
      <c r="P16" s="988">
        <v>0</v>
      </c>
      <c r="Q16" s="218">
        <v>0</v>
      </c>
      <c r="R16" s="988">
        <v>0.2</v>
      </c>
      <c r="S16" s="218">
        <v>0.2</v>
      </c>
      <c r="T16" s="988">
        <v>0.04</v>
      </c>
      <c r="U16" s="218">
        <v>0.04</v>
      </c>
      <c r="V16" s="65">
        <f>P16+R16+T16</f>
        <v>0.24000000000000002</v>
      </c>
      <c r="W16" s="65">
        <f>Q16+S16+U16</f>
        <v>0.24000000000000002</v>
      </c>
      <c r="X16" s="988">
        <v>0.11</v>
      </c>
      <c r="Y16" s="619"/>
      <c r="Z16" s="988">
        <v>0.08</v>
      </c>
      <c r="AA16" s="619"/>
      <c r="AB16" s="988">
        <v>0.08</v>
      </c>
      <c r="AC16" s="619"/>
      <c r="AD16" s="65">
        <f>X16+Z16+AB16</f>
        <v>0.27</v>
      </c>
      <c r="AE16" s="326">
        <f>Y16+AA16+AC16</f>
        <v>0</v>
      </c>
      <c r="AF16" s="988">
        <v>0.11</v>
      </c>
      <c r="AG16" s="904"/>
      <c r="AH16" s="988">
        <v>0.08</v>
      </c>
      <c r="AI16" s="904"/>
      <c r="AJ16" s="992">
        <v>0.08</v>
      </c>
      <c r="AK16" s="905"/>
      <c r="AL16" s="65">
        <f>AF16+AH16+AJ16</f>
        <v>0.27</v>
      </c>
      <c r="AM16" s="65">
        <f>AG16+AI16+AK16</f>
        <v>0</v>
      </c>
      <c r="AN16" s="988">
        <v>0.11</v>
      </c>
      <c r="AO16" s="988"/>
      <c r="AP16" s="988">
        <v>0.08</v>
      </c>
      <c r="AQ16" s="988"/>
      <c r="AR16" s="988">
        <v>0.03</v>
      </c>
      <c r="AS16" s="988"/>
      <c r="AT16" s="944">
        <f>AN16+AP16+AR16</f>
        <v>0.22</v>
      </c>
      <c r="AU16" s="307">
        <f>AO16+AQ16+AS16</f>
        <v>0</v>
      </c>
      <c r="AV16" s="326">
        <f>V16+AD16+AL16+AT16</f>
        <v>1</v>
      </c>
      <c r="AW16" s="307">
        <f>+W16</f>
        <v>0.24000000000000002</v>
      </c>
      <c r="AX16" s="1065">
        <f>+W16+AE16</f>
        <v>0.24000000000000002</v>
      </c>
      <c r="AY16" s="1057">
        <f>+W16+AE16+AM16</f>
        <v>0.24000000000000002</v>
      </c>
      <c r="AZ16" s="1057">
        <f>+W16+AE16+AM16+AU16</f>
        <v>0.24000000000000002</v>
      </c>
      <c r="BA16" s="343">
        <f>IF(AND(AW16&gt;0,$AV16&gt;0),AW16/$AV16,0)</f>
        <v>0.24000000000000002</v>
      </c>
      <c r="BB16" s="620">
        <f t="shared" ref="BB16:BD16" si="0">IF(AND(AX16&gt;0,$AV16&gt;0),AX16/$AV16,0)</f>
        <v>0.24000000000000002</v>
      </c>
      <c r="BC16" s="343">
        <f t="shared" si="0"/>
        <v>0.24000000000000002</v>
      </c>
      <c r="BD16" s="343">
        <f t="shared" si="0"/>
        <v>0.24000000000000002</v>
      </c>
      <c r="BE16" s="312">
        <f>(((IF(AND(AW16&gt;0,$F16&gt;0),AW16/$F16,0)))/4)</f>
        <v>6.0000000000000005E-2</v>
      </c>
      <c r="BF16" s="1073">
        <f t="shared" ref="BF16:BH16" si="1">(((IF(AND(AX16&gt;0,$F16&gt;0),AX16/$F16,0)))/4)</f>
        <v>6.0000000000000005E-2</v>
      </c>
      <c r="BG16" s="1073">
        <f t="shared" si="1"/>
        <v>6.0000000000000005E-2</v>
      </c>
      <c r="BH16" s="1073">
        <f t="shared" si="1"/>
        <v>6.0000000000000005E-2</v>
      </c>
    </row>
    <row r="17" spans="2:60" ht="275.25" customHeight="1">
      <c r="B17" s="1617"/>
      <c r="C17" s="1617"/>
      <c r="D17" s="31" t="str">
        <f>+'01-FR-03 POA INSTITUCIONAL'!D56</f>
        <v>4.2.2 Implementar el 40% de las actividades requeridas para la sostenibilidad y mejora del MIPG, de acuerdo con la metodología establecida por la Función Pública. (Meta Transversal)</v>
      </c>
      <c r="E17" s="32">
        <f>+'01-FR-03 POA INSTITUCIONAL'!E56</f>
        <v>0.2</v>
      </c>
      <c r="F17" s="314">
        <f>+'01-FR-03 POA INSTITUCIONAL'!F56</f>
        <v>0.4</v>
      </c>
      <c r="G17" s="160">
        <f>+'01-FR-03 POA INSTITUCIONAL'!L56</f>
        <v>0.14000000000000001</v>
      </c>
      <c r="H17" s="33">
        <f>+'01-FR-03 POA INSTITUCIONAL'!G56</f>
        <v>0.6</v>
      </c>
      <c r="I17" s="33" t="str">
        <f>+'01-FR-03 POA INSTITUCIONAL'!H56</f>
        <v>Porcentaje de actividades implementadas para la sostenibilidad  y mejora del MIPG</v>
      </c>
      <c r="J17" s="215" t="s">
        <v>675</v>
      </c>
      <c r="K17" s="220" t="s">
        <v>662</v>
      </c>
      <c r="L17" s="216" t="s">
        <v>362</v>
      </c>
      <c r="M17" s="217" t="s">
        <v>363</v>
      </c>
      <c r="N17" s="216" t="s">
        <v>364</v>
      </c>
      <c r="O17" s="34" t="str">
        <f>+'01-FR-03 POA INSTITUCIONAL'!J56</f>
        <v>Dirección de Planeación
Aportan: Dependencias lideradas por  Responsables de procesos y operativos de todos los procesos institucionales</v>
      </c>
      <c r="P17" s="989">
        <v>0</v>
      </c>
      <c r="Q17" s="221">
        <v>0</v>
      </c>
      <c r="R17" s="989">
        <v>0.04</v>
      </c>
      <c r="S17" s="221">
        <v>0.04</v>
      </c>
      <c r="T17" s="989">
        <v>1.0999999999999999E-2</v>
      </c>
      <c r="U17" s="1048">
        <v>1.0999999999999999E-2</v>
      </c>
      <c r="V17" s="83">
        <f>P17+R17+T17</f>
        <v>5.1000000000000004E-2</v>
      </c>
      <c r="W17" s="83">
        <f>Q17+S17+U17</f>
        <v>5.1000000000000004E-2</v>
      </c>
      <c r="X17" s="989">
        <v>1.32E-2</v>
      </c>
      <c r="Y17" s="221"/>
      <c r="Z17" s="989">
        <v>1.32E-2</v>
      </c>
      <c r="AA17" s="221"/>
      <c r="AB17" s="989">
        <v>9.5999999999999992E-3</v>
      </c>
      <c r="AC17" s="221"/>
      <c r="AD17" s="83">
        <f>X17+Z17+AB17</f>
        <v>3.5999999999999997E-2</v>
      </c>
      <c r="AE17" s="83">
        <f>Y17+AA17+AC17</f>
        <v>0</v>
      </c>
      <c r="AF17" s="989">
        <v>8.0000000000000002E-3</v>
      </c>
      <c r="AG17" s="221"/>
      <c r="AH17" s="989">
        <v>8.0000000000000002E-3</v>
      </c>
      <c r="AI17" s="221"/>
      <c r="AJ17" s="993">
        <v>1.0999999999999999E-2</v>
      </c>
      <c r="AK17" s="222"/>
      <c r="AL17" s="83">
        <f>AF17+AH17+AJ17</f>
        <v>2.7E-2</v>
      </c>
      <c r="AM17" s="83">
        <f>AG17+AI17+AK17</f>
        <v>0</v>
      </c>
      <c r="AN17" s="989">
        <v>8.0000000000000002E-3</v>
      </c>
      <c r="AO17" s="989"/>
      <c r="AP17" s="989">
        <v>8.0000000000000002E-3</v>
      </c>
      <c r="AQ17" s="989"/>
      <c r="AR17" s="989">
        <v>0.01</v>
      </c>
      <c r="AS17" s="989"/>
      <c r="AT17" s="83">
        <f>AN17+AP17+AR17</f>
        <v>2.6000000000000002E-2</v>
      </c>
      <c r="AU17" s="83">
        <f>AO17+AQ17+AS17</f>
        <v>0</v>
      </c>
      <c r="AV17" s="65">
        <f t="shared" ref="AV17:AV19" si="2">V17+AD17+AL17+AT17</f>
        <v>0.13999999999999999</v>
      </c>
      <c r="AW17" s="307">
        <f>+W17</f>
        <v>5.1000000000000004E-2</v>
      </c>
      <c r="AX17" s="1057">
        <f>+W17+AE17</f>
        <v>5.1000000000000004E-2</v>
      </c>
      <c r="AY17" s="1057">
        <f>+W17+AE17+AM17</f>
        <v>5.1000000000000004E-2</v>
      </c>
      <c r="AZ17" s="1057">
        <f>+W17+AE17+AM17+AU17</f>
        <v>5.1000000000000004E-2</v>
      </c>
      <c r="BA17" s="343">
        <f t="shared" ref="BA17:BA19" si="3">IF(AND(AW17&gt;0,$AV17&gt;0),AW17/$AV17,0)</f>
        <v>0.36428571428571432</v>
      </c>
      <c r="BB17" s="610">
        <f t="shared" ref="BB17:BB19" si="4">IF(AND(AX17&gt;0,$AV17&gt;0),AX17/$AV17,0)</f>
        <v>0.36428571428571432</v>
      </c>
      <c r="BC17" s="343">
        <f t="shared" ref="BC17:BC19" si="5">IF(AND(AY17&gt;0,$AV17&gt;0),AY17/$AV17,0)</f>
        <v>0.36428571428571432</v>
      </c>
      <c r="BD17" s="343">
        <f t="shared" ref="BD17:BD19" si="6">IF(AND(AZ17&gt;0,$AV17&gt;0),AZ17/$AV17,0)</f>
        <v>0.36428571428571432</v>
      </c>
      <c r="BE17" s="312">
        <f>((IF(AND(AW17&gt;0,$F17&gt;0),AW17/$F17,0)))</f>
        <v>0.1275</v>
      </c>
      <c r="BF17" s="1073">
        <f t="shared" ref="BF17:BH19" si="7">((IF(AND(AX17&gt;0,$F17&gt;0),AX17/$F17,0)))</f>
        <v>0.1275</v>
      </c>
      <c r="BG17" s="1073">
        <f t="shared" si="7"/>
        <v>0.1275</v>
      </c>
      <c r="BH17" s="1073">
        <f t="shared" si="7"/>
        <v>0.1275</v>
      </c>
    </row>
    <row r="18" spans="2:60" ht="75.75" customHeight="1">
      <c r="B18" s="1617"/>
      <c r="C18" s="1617"/>
      <c r="D18" s="31" t="str">
        <f>+'01-FR-03 POA INSTITUCIONAL'!D57</f>
        <v>4.2.3 Implementar el 100% de los requisitos del Sistema de Gestión Ambiental –SGA-, bajo los estándares de la norma ISO 14001</v>
      </c>
      <c r="E18" s="32">
        <f>+'01-FR-03 POA INSTITUCIONAL'!E57</f>
        <v>0.15</v>
      </c>
      <c r="F18" s="314">
        <f>+'01-FR-03 POA INSTITUCIONAL'!F57</f>
        <v>1</v>
      </c>
      <c r="G18" s="160">
        <f>+'01-FR-03 POA INSTITUCIONAL'!L57</f>
        <v>0.33</v>
      </c>
      <c r="H18" s="33" t="str">
        <f>+'01-FR-03 POA INSTITUCIONAL'!G57</f>
        <v>S.I.</v>
      </c>
      <c r="I18" s="33" t="str">
        <f>+'01-FR-03 POA INSTITUCIONAL'!H57</f>
        <v xml:space="preserve">Porcentaje de requisitos del  SGA implementados bajo los estándares de la norma ISO 14001 </v>
      </c>
      <c r="J18" s="215" t="s">
        <v>165</v>
      </c>
      <c r="K18" s="220" t="s">
        <v>1110</v>
      </c>
      <c r="L18" s="216" t="s">
        <v>1111</v>
      </c>
      <c r="M18" s="216" t="s">
        <v>363</v>
      </c>
      <c r="N18" s="216" t="s">
        <v>364</v>
      </c>
      <c r="O18" s="34" t="str">
        <f>+'01-FR-03 POA INSTITUCIONAL'!J57</f>
        <v>Dirección de Planeación</v>
      </c>
      <c r="P18" s="990">
        <v>2.9000000000000001E-2</v>
      </c>
      <c r="Q18" s="218">
        <v>2.9000000000000001E-2</v>
      </c>
      <c r="R18" s="990">
        <v>2.9000000000000001E-2</v>
      </c>
      <c r="S18" s="218">
        <v>2.9000000000000001E-2</v>
      </c>
      <c r="T18" s="990">
        <v>0.03</v>
      </c>
      <c r="U18" s="218">
        <v>0.03</v>
      </c>
      <c r="V18" s="65">
        <f t="shared" ref="V18" si="8">P18+R18+T18</f>
        <v>8.7999999999999995E-2</v>
      </c>
      <c r="W18" s="65">
        <f t="shared" ref="W18" si="9">Q18+S18+U18</f>
        <v>8.7999999999999995E-2</v>
      </c>
      <c r="X18" s="990">
        <v>2.9000000000000001E-2</v>
      </c>
      <c r="Y18" s="218"/>
      <c r="Z18" s="990">
        <v>2.9000000000000001E-2</v>
      </c>
      <c r="AA18" s="218"/>
      <c r="AB18" s="990">
        <v>0.03</v>
      </c>
      <c r="AC18" s="218"/>
      <c r="AD18" s="65">
        <f t="shared" ref="AD18" si="10">X18+Z18+AB18</f>
        <v>8.7999999999999995E-2</v>
      </c>
      <c r="AE18" s="65">
        <f t="shared" ref="AE18" si="11">Y18+AA18+AC18</f>
        <v>0</v>
      </c>
      <c r="AF18" s="990">
        <v>2.9000000000000001E-2</v>
      </c>
      <c r="AG18" s="218"/>
      <c r="AH18" s="990">
        <v>2.9000000000000001E-2</v>
      </c>
      <c r="AI18" s="218"/>
      <c r="AJ18" s="990">
        <v>0.03</v>
      </c>
      <c r="AK18" s="219"/>
      <c r="AL18" s="65">
        <f t="shared" ref="AL18" si="12">AF18+AH18+AJ18</f>
        <v>8.7999999999999995E-2</v>
      </c>
      <c r="AM18" s="65">
        <f t="shared" ref="AM18" si="13">AG18+AI18+AK18</f>
        <v>0</v>
      </c>
      <c r="AN18" s="990">
        <v>2.1999999999999999E-2</v>
      </c>
      <c r="AO18" s="990"/>
      <c r="AP18" s="990">
        <v>2.1999999999999999E-2</v>
      </c>
      <c r="AQ18" s="990"/>
      <c r="AR18" s="990">
        <v>2.1999999999999999E-2</v>
      </c>
      <c r="AS18" s="990"/>
      <c r="AT18" s="65">
        <f t="shared" ref="AT18" si="14">AN18+AP18+AR18</f>
        <v>6.6000000000000003E-2</v>
      </c>
      <c r="AU18" s="65">
        <f t="shared" ref="AU18" si="15">AO18+AQ18+AS18</f>
        <v>0</v>
      </c>
      <c r="AV18" s="65">
        <f t="shared" si="2"/>
        <v>0.33</v>
      </c>
      <c r="AW18" s="307">
        <f>+W18</f>
        <v>8.7999999999999995E-2</v>
      </c>
      <c r="AX18" s="1057">
        <f>+W18+AE18</f>
        <v>8.7999999999999995E-2</v>
      </c>
      <c r="AY18" s="1057">
        <f>+W18+AE18+AM18</f>
        <v>8.7999999999999995E-2</v>
      </c>
      <c r="AZ18" s="1057">
        <f>+W18+AE18+AM18+AU18</f>
        <v>8.7999999999999995E-2</v>
      </c>
      <c r="BA18" s="343">
        <f t="shared" si="3"/>
        <v>0.26666666666666666</v>
      </c>
      <c r="BB18" s="344">
        <f t="shared" si="4"/>
        <v>0.26666666666666666</v>
      </c>
      <c r="BC18" s="345">
        <f t="shared" si="5"/>
        <v>0.26666666666666666</v>
      </c>
      <c r="BD18" s="345">
        <f t="shared" si="6"/>
        <v>0.26666666666666666</v>
      </c>
      <c r="BE18" s="312">
        <f>((IF(AND(AW18&gt;0,$F18&gt;0),AW18/$F18,0)))</f>
        <v>8.7999999999999995E-2</v>
      </c>
      <c r="BF18" s="1073">
        <f t="shared" si="7"/>
        <v>8.7999999999999995E-2</v>
      </c>
      <c r="BG18" s="1073">
        <f t="shared" si="7"/>
        <v>8.7999999999999995E-2</v>
      </c>
      <c r="BH18" s="1073">
        <f t="shared" si="7"/>
        <v>8.7999999999999995E-2</v>
      </c>
    </row>
    <row r="19" spans="2:60" ht="75.75" customHeight="1">
      <c r="B19" s="1617"/>
      <c r="C19" s="1617"/>
      <c r="D19" s="31" t="str">
        <f>+'01-FR-03 POA INSTITUCIONAL'!D58</f>
        <v>4.2.4 Realizar 12 acciones de monitoreo y revisión  al Plan Anticorrupción y de Atención al Ciudadano -PAAC- de la vigencia.</v>
      </c>
      <c r="E19" s="32">
        <f>+'01-FR-03 POA INSTITUCIONAL'!E58</f>
        <v>0.1</v>
      </c>
      <c r="F19" s="20">
        <f>+'01-FR-03 POA INSTITUCIONAL'!F58</f>
        <v>12</v>
      </c>
      <c r="G19" s="172">
        <f>+'01-FR-03 POA INSTITUCIONAL'!L58</f>
        <v>3</v>
      </c>
      <c r="H19" s="33" t="str">
        <f>+'01-FR-03 POA INSTITUCIONAL'!G58</f>
        <v>3 
(En el último año)</v>
      </c>
      <c r="I19" s="33" t="str">
        <f>+'01-FR-03 POA INSTITUCIONAL'!H58</f>
        <v>Acciones de monitoreo y revisión realizadas al PAAC</v>
      </c>
      <c r="J19" s="215" t="s">
        <v>676</v>
      </c>
      <c r="K19" s="220" t="s">
        <v>366</v>
      </c>
      <c r="L19" s="216" t="s">
        <v>367</v>
      </c>
      <c r="M19" s="216" t="s">
        <v>363</v>
      </c>
      <c r="N19" s="216" t="s">
        <v>364</v>
      </c>
      <c r="O19" s="34" t="str">
        <f>+'01-FR-03 POA INSTITUCIONAL'!J58</f>
        <v>Dirección de Planeación</v>
      </c>
      <c r="P19" s="991">
        <v>1</v>
      </c>
      <c r="Q19" s="223">
        <v>1</v>
      </c>
      <c r="R19" s="991">
        <v>0</v>
      </c>
      <c r="S19" s="223">
        <v>0</v>
      </c>
      <c r="T19" s="991">
        <v>0</v>
      </c>
      <c r="U19" s="223">
        <v>0</v>
      </c>
      <c r="V19" s="20">
        <f>+P19+R19+T19</f>
        <v>1</v>
      </c>
      <c r="W19" s="20">
        <f>+Q19+S19+U19</f>
        <v>1</v>
      </c>
      <c r="X19" s="991">
        <v>0</v>
      </c>
      <c r="Y19" s="223"/>
      <c r="Z19" s="991">
        <v>1</v>
      </c>
      <c r="AA19" s="223"/>
      <c r="AB19" s="991">
        <v>0</v>
      </c>
      <c r="AC19" s="223"/>
      <c r="AD19" s="20">
        <f>+X19+Z19+AB19</f>
        <v>1</v>
      </c>
      <c r="AE19" s="20">
        <f>+Y19+AA19+AC19</f>
        <v>0</v>
      </c>
      <c r="AF19" s="991">
        <v>0</v>
      </c>
      <c r="AG19" s="223"/>
      <c r="AH19" s="991">
        <v>0</v>
      </c>
      <c r="AI19" s="223"/>
      <c r="AJ19" s="994">
        <v>1</v>
      </c>
      <c r="AK19" s="224"/>
      <c r="AL19" s="20">
        <f>+AF19+AH19+AJ19</f>
        <v>1</v>
      </c>
      <c r="AM19" s="20">
        <f>+AG19+AI19+AK19</f>
        <v>0</v>
      </c>
      <c r="AN19" s="991">
        <v>0</v>
      </c>
      <c r="AO19" s="991"/>
      <c r="AP19" s="991">
        <v>0</v>
      </c>
      <c r="AQ19" s="991"/>
      <c r="AR19" s="991">
        <v>0</v>
      </c>
      <c r="AS19" s="991"/>
      <c r="AT19" s="20">
        <f>+AN19+AP19+AR19</f>
        <v>0</v>
      </c>
      <c r="AU19" s="20">
        <f>+AO19+AQ19+AS19</f>
        <v>0</v>
      </c>
      <c r="AV19" s="20">
        <f t="shared" si="2"/>
        <v>3</v>
      </c>
      <c r="AW19" s="26">
        <f>+W19</f>
        <v>1</v>
      </c>
      <c r="AX19" s="1074">
        <f>+W19+AE19</f>
        <v>1</v>
      </c>
      <c r="AY19" s="1074">
        <f>+W19+AE19+AM19</f>
        <v>1</v>
      </c>
      <c r="AZ19" s="1074">
        <f>+W19+AE19+AM19+AU19</f>
        <v>1</v>
      </c>
      <c r="BA19" s="345">
        <f t="shared" si="3"/>
        <v>0.33333333333333331</v>
      </c>
      <c r="BB19" s="344">
        <f t="shared" si="4"/>
        <v>0.33333333333333331</v>
      </c>
      <c r="BC19" s="344">
        <f t="shared" si="5"/>
        <v>0.33333333333333331</v>
      </c>
      <c r="BD19" s="344">
        <f t="shared" si="6"/>
        <v>0.33333333333333331</v>
      </c>
      <c r="BE19" s="312">
        <f>((IF(AND(AW19&gt;0,$F19&gt;0),AW19/$F19,0)))</f>
        <v>8.3333333333333329E-2</v>
      </c>
      <c r="BF19" s="1073">
        <f t="shared" si="7"/>
        <v>8.3333333333333329E-2</v>
      </c>
      <c r="BG19" s="1073">
        <f t="shared" si="7"/>
        <v>8.3333333333333329E-2</v>
      </c>
      <c r="BH19" s="1073">
        <f t="shared" si="7"/>
        <v>8.3333333333333329E-2</v>
      </c>
    </row>
    <row r="20" spans="2:60" ht="22.8">
      <c r="B20" s="334"/>
      <c r="C20" s="335"/>
      <c r="D20" s="335"/>
      <c r="E20" s="335"/>
      <c r="F20" s="335"/>
      <c r="G20" s="335"/>
      <c r="H20" s="335"/>
      <c r="I20" s="335"/>
      <c r="J20" s="335"/>
      <c r="K20" s="335"/>
      <c r="L20" s="335"/>
      <c r="M20" s="335"/>
      <c r="N20" s="335"/>
      <c r="O20" s="335"/>
      <c r="P20" s="335"/>
      <c r="Q20" s="335"/>
      <c r="R20" s="335"/>
      <c r="S20" s="335"/>
      <c r="T20" s="335"/>
      <c r="U20" s="335"/>
      <c r="V20" s="335"/>
      <c r="W20" s="335"/>
      <c r="X20" s="335"/>
      <c r="Y20" s="335"/>
      <c r="Z20" s="335"/>
      <c r="AA20" s="335"/>
      <c r="AB20" s="335"/>
      <c r="AC20" s="335"/>
      <c r="AD20" s="335"/>
      <c r="AE20" s="335"/>
      <c r="AF20" s="335"/>
      <c r="AG20" s="335"/>
      <c r="AH20" s="335"/>
      <c r="AI20" s="335"/>
      <c r="AJ20" s="335"/>
      <c r="AK20" s="335"/>
      <c r="AL20" s="335"/>
      <c r="AM20" s="335"/>
      <c r="AN20" s="335"/>
      <c r="AO20" s="335"/>
      <c r="AP20" s="335"/>
      <c r="AQ20" s="335"/>
      <c r="AR20" s="335"/>
      <c r="AS20" s="335"/>
      <c r="AT20" s="335"/>
      <c r="AU20" s="335"/>
      <c r="AV20" s="335"/>
      <c r="AW20" s="336"/>
      <c r="AX20" s="1614" t="s">
        <v>19</v>
      </c>
      <c r="AY20" s="1615"/>
      <c r="AZ20" s="1615"/>
      <c r="BA20" s="578">
        <f t="shared" ref="BA20:BD20" si="16">AVERAGE(BA16:BA19)</f>
        <v>0.30107142857142855</v>
      </c>
      <c r="BB20" s="578">
        <f t="shared" si="16"/>
        <v>0.30107142857142855</v>
      </c>
      <c r="BC20" s="578">
        <f t="shared" si="16"/>
        <v>0.30107142857142855</v>
      </c>
      <c r="BD20" s="578">
        <f t="shared" si="16"/>
        <v>0.30107142857142855</v>
      </c>
      <c r="BE20" s="1627"/>
      <c r="BF20" s="1628"/>
      <c r="BG20" s="1628"/>
      <c r="BH20" s="1629"/>
    </row>
    <row r="21" spans="2:60">
      <c r="B21" s="1553"/>
      <c r="C21" s="1553"/>
      <c r="D21" s="1553"/>
      <c r="E21" s="1553"/>
      <c r="F21" s="1553"/>
      <c r="G21" s="204"/>
      <c r="H21" s="205"/>
      <c r="I21" s="205"/>
      <c r="J21" s="205"/>
      <c r="K21" s="205"/>
      <c r="L21" s="205"/>
      <c r="M21" s="205"/>
      <c r="N21" s="205"/>
    </row>
    <row r="22" spans="2:60">
      <c r="B22" s="205"/>
      <c r="C22" s="205"/>
      <c r="D22" s="1624"/>
      <c r="E22" s="1624"/>
      <c r="F22" s="1624"/>
      <c r="G22" s="1624"/>
      <c r="H22" s="1624"/>
      <c r="I22" s="1624"/>
      <c r="J22" s="1624"/>
      <c r="K22" s="1624"/>
      <c r="L22" s="1624"/>
      <c r="M22" s="1624"/>
      <c r="N22" s="1624"/>
    </row>
    <row r="23" spans="2:60" ht="30" customHeight="1">
      <c r="B23" s="77" t="s">
        <v>26</v>
      </c>
      <c r="C23" s="80">
        <v>44224</v>
      </c>
      <c r="D23" s="226"/>
      <c r="E23" s="1625" t="s">
        <v>50</v>
      </c>
      <c r="F23" s="1626" t="s">
        <v>703</v>
      </c>
      <c r="G23" s="1626"/>
      <c r="H23" s="1626"/>
      <c r="I23" s="1626"/>
      <c r="J23" s="227"/>
      <c r="K23" s="1622"/>
      <c r="L23" s="1622"/>
      <c r="M23" s="1622"/>
      <c r="N23" s="1623"/>
    </row>
    <row r="24" spans="2:60" ht="13.5" customHeight="1">
      <c r="B24" s="205"/>
      <c r="C24" s="205"/>
      <c r="D24" s="227"/>
      <c r="E24" s="1625"/>
      <c r="F24" s="1626"/>
      <c r="G24" s="1626"/>
      <c r="H24" s="1626"/>
      <c r="I24" s="1626"/>
      <c r="J24" s="228"/>
      <c r="K24" s="228"/>
      <c r="L24" s="228"/>
      <c r="M24" s="228"/>
      <c r="N24" s="228"/>
    </row>
    <row r="25" spans="2:60" ht="31.5" customHeight="1">
      <c r="B25" s="77" t="s">
        <v>49</v>
      </c>
      <c r="C25" s="80">
        <v>44581</v>
      </c>
      <c r="D25" s="205"/>
      <c r="E25" s="205"/>
      <c r="J25" s="228"/>
      <c r="K25" s="228"/>
      <c r="L25" s="228"/>
      <c r="M25" s="228"/>
      <c r="N25" s="228"/>
    </row>
    <row r="26" spans="2:60">
      <c r="B26" s="205"/>
      <c r="C26" s="205"/>
      <c r="D26" s="205"/>
      <c r="E26" s="205"/>
      <c r="J26" s="228"/>
      <c r="K26" s="228"/>
      <c r="L26" s="228"/>
      <c r="M26" s="228"/>
      <c r="N26" s="228"/>
    </row>
    <row r="27" spans="2:60" ht="15" customHeight="1">
      <c r="B27" s="606" t="s">
        <v>924</v>
      </c>
      <c r="C27" s="205"/>
      <c r="D27" s="205"/>
      <c r="E27" s="205"/>
      <c r="F27" s="204"/>
      <c r="G27" s="204"/>
      <c r="H27" s="1621"/>
      <c r="I27" s="1621"/>
      <c r="J27" s="1621"/>
      <c r="K27" s="1621"/>
      <c r="L27" s="576"/>
      <c r="M27" s="576"/>
      <c r="N27" s="576"/>
    </row>
    <row r="28" spans="2:60" ht="15" customHeight="1">
      <c r="B28" s="205"/>
      <c r="C28" s="205"/>
      <c r="D28" s="205"/>
      <c r="E28" s="205"/>
      <c r="F28" s="204"/>
      <c r="G28" s="204"/>
      <c r="H28" s="205"/>
      <c r="I28" s="205"/>
      <c r="J28" s="229"/>
      <c r="K28" s="205"/>
      <c r="L28" s="205"/>
      <c r="M28" s="205"/>
      <c r="N28" s="205"/>
    </row>
    <row r="29" spans="2:60" ht="15" customHeight="1">
      <c r="B29" s="205"/>
      <c r="C29" s="205"/>
      <c r="D29" s="205"/>
      <c r="E29" s="205"/>
      <c r="F29" s="204"/>
      <c r="G29" s="204"/>
      <c r="H29" s="1621"/>
      <c r="I29" s="1621"/>
      <c r="J29" s="1621"/>
      <c r="K29" s="1621"/>
      <c r="L29" s="576"/>
      <c r="M29" s="576"/>
      <c r="N29" s="576"/>
    </row>
    <row r="30" spans="2:60" ht="15" customHeight="1">
      <c r="B30" s="205"/>
      <c r="C30" s="205"/>
      <c r="D30" s="205"/>
      <c r="E30" s="205"/>
      <c r="F30" s="204"/>
      <c r="G30" s="204"/>
      <c r="H30" s="205"/>
      <c r="I30" s="205"/>
      <c r="J30" s="229"/>
      <c r="K30" s="205"/>
      <c r="L30" s="205"/>
      <c r="M30" s="205"/>
      <c r="N30" s="205"/>
    </row>
    <row r="31" spans="2:60" ht="15" customHeight="1">
      <c r="B31" s="205"/>
      <c r="C31" s="205"/>
      <c r="D31" s="205"/>
      <c r="E31" s="205"/>
      <c r="F31" s="204"/>
      <c r="G31" s="204"/>
      <c r="H31" s="1621"/>
      <c r="I31" s="1621"/>
      <c r="J31" s="1621"/>
      <c r="K31" s="1621"/>
      <c r="L31" s="576"/>
      <c r="M31" s="576"/>
      <c r="N31" s="576"/>
    </row>
  </sheetData>
  <sheetProtection algorithmName="SHA-512" hashValue="0BeOrpjhP2NSG8pnqaS67WZc3ptH11SYXgBip4PNAxgDBOAYWxYGXI9ANfZhakGCfsLd/+KO504wDzCEjT2azQ==" saltValue="YUZ3GiZraq58BKsy4qYEGg==" spinCount="100000" sheet="1" objects="1" scenarios="1"/>
  <mergeCells count="70">
    <mergeCell ref="BG6:BH6"/>
    <mergeCell ref="E23:E24"/>
    <mergeCell ref="F23:I24"/>
    <mergeCell ref="E12:E15"/>
    <mergeCell ref="V14:W14"/>
    <mergeCell ref="X14:Y14"/>
    <mergeCell ref="X13:AE13"/>
    <mergeCell ref="P14:Q14"/>
    <mergeCell ref="R14:S14"/>
    <mergeCell ref="AD14:AE14"/>
    <mergeCell ref="P12:AU12"/>
    <mergeCell ref="G12:G15"/>
    <mergeCell ref="I12:I15"/>
    <mergeCell ref="J12:J15"/>
    <mergeCell ref="H12:H15"/>
    <mergeCell ref="BE20:BH20"/>
    <mergeCell ref="H27:K27"/>
    <mergeCell ref="H29:K29"/>
    <mergeCell ref="H31:K31"/>
    <mergeCell ref="K23:N23"/>
    <mergeCell ref="M12:M15"/>
    <mergeCell ref="D22:N22"/>
    <mergeCell ref="F12:F15"/>
    <mergeCell ref="T14:U14"/>
    <mergeCell ref="B12:B15"/>
    <mergeCell ref="B21:F21"/>
    <mergeCell ref="B2:B6"/>
    <mergeCell ref="C2:BF6"/>
    <mergeCell ref="C12:C15"/>
    <mergeCell ref="C8:D8"/>
    <mergeCell ref="C9:D9"/>
    <mergeCell ref="C10:D10"/>
    <mergeCell ref="AX20:AZ20"/>
    <mergeCell ref="D12:D15"/>
    <mergeCell ref="N12:N15"/>
    <mergeCell ref="B16:B19"/>
    <mergeCell ref="C16:C19"/>
    <mergeCell ref="BE12:BH12"/>
    <mergeCell ref="AF14:AG14"/>
    <mergeCell ref="AW7:BA7"/>
    <mergeCell ref="AV12:AV15"/>
    <mergeCell ref="P13:W13"/>
    <mergeCell ref="AT14:AU14"/>
    <mergeCell ref="K12:K15"/>
    <mergeCell ref="L12:L15"/>
    <mergeCell ref="O12:O15"/>
    <mergeCell ref="AB14:AC14"/>
    <mergeCell ref="AF13:AM13"/>
    <mergeCell ref="AN13:AU13"/>
    <mergeCell ref="AR14:AS14"/>
    <mergeCell ref="AW12:AZ12"/>
    <mergeCell ref="AW13:AW15"/>
    <mergeCell ref="AX13:AX15"/>
    <mergeCell ref="AY13:AY15"/>
    <mergeCell ref="AZ13:AZ15"/>
    <mergeCell ref="BA12:BD12"/>
    <mergeCell ref="BA13:BA15"/>
    <mergeCell ref="BB13:BB15"/>
    <mergeCell ref="BC13:BC15"/>
    <mergeCell ref="BD13:BD15"/>
    <mergeCell ref="Z14:AA14"/>
    <mergeCell ref="BE13:BE15"/>
    <mergeCell ref="BF13:BF15"/>
    <mergeCell ref="BG13:BG15"/>
    <mergeCell ref="BH13:BH15"/>
    <mergeCell ref="AP14:AQ14"/>
    <mergeCell ref="AH14:AI14"/>
    <mergeCell ref="AJ14:AK14"/>
    <mergeCell ref="AL14:AM14"/>
    <mergeCell ref="AN14:AO14"/>
  </mergeCells>
  <conditionalFormatting sqref="BA16:BD19">
    <cfRule type="cellIs" dxfId="70" priority="1" operator="greaterThan">
      <formula>1</formula>
    </cfRule>
    <cfRule type="cellIs" dxfId="69" priority="14" operator="between">
      <formula>0.8</formula>
      <formula>1</formula>
    </cfRule>
    <cfRule type="cellIs" dxfId="68" priority="15" operator="between">
      <formula>0.61</formula>
      <formula>0.79</formula>
    </cfRule>
    <cfRule type="cellIs" dxfId="67" priority="16" operator="lessThanOrEqual">
      <formula>0.6</formula>
    </cfRule>
  </conditionalFormatting>
  <dataValidations count="1">
    <dataValidation allowBlank="1" showInputMessage="1" showErrorMessage="1" prompt="Transcriba de manera exacta el objetivo definido en la caracterización del proceso." sqref="C9:D9" xr:uid="{BAC3B21B-8CCF-4835-B6D9-4CF7B45FCC24}"/>
  </dataValidations>
  <pageMargins left="0.7" right="0.7" top="0.75" bottom="0.75" header="0.3" footer="0.3"/>
  <pageSetup paperSize="9" orientation="portrait" horizontalDpi="1200" verticalDpi="1200" r:id="rId1"/>
  <ignoredErrors>
    <ignoredError sqref="AW16:AZ16" unlocked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2637AD2-AC9A-4F50-B15D-18343B2DEE50}">
          <x14:formula1>
            <xm:f>LISTAS!$C$5:$C$21</xm:f>
          </x14:formula1>
          <xm:sqref>C8</xm:sqref>
        </x14:dataValidation>
        <x14:dataValidation type="list" allowBlank="1" showInputMessage="1" showErrorMessage="1" xr:uid="{95D6761B-36BF-46CA-8E71-E4A4E81D70C0}">
          <x14:formula1>
            <xm:f>LISTAS!$E$5:$E$9</xm:f>
          </x14:formula1>
          <xm:sqref>C10:D10</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89279-FF01-4D53-B771-48455F7523B7}">
  <sheetPr>
    <tabColor rgb="FF66FF33"/>
  </sheetPr>
  <dimension ref="B1:BH31"/>
  <sheetViews>
    <sheetView showGridLines="0" zoomScale="50" zoomScaleNormal="50" workbookViewId="0">
      <selection activeCell="C10" sqref="C10:D10"/>
    </sheetView>
  </sheetViews>
  <sheetFormatPr baseColWidth="10" defaultColWidth="17.33203125" defaultRowHeight="15" customHeight="1"/>
  <cols>
    <col min="1" max="1" width="4.33203125" style="135" customWidth="1"/>
    <col min="2" max="2" width="50.44140625" style="133" customWidth="1"/>
    <col min="3" max="3" width="47.44140625" style="133" customWidth="1"/>
    <col min="4" max="4" width="49.6640625" style="133" customWidth="1"/>
    <col min="5" max="6" width="27.5546875" style="133" customWidth="1"/>
    <col min="7" max="8" width="29.33203125" style="134" customWidth="1"/>
    <col min="9" max="9" width="30.6640625" style="133" customWidth="1"/>
    <col min="10" max="10" width="31.88671875" style="133" customWidth="1"/>
    <col min="11" max="11" width="55.88671875" style="133" customWidth="1"/>
    <col min="12" max="12" width="48.44140625" style="133" customWidth="1"/>
    <col min="13" max="14" width="28.5546875" style="133" customWidth="1"/>
    <col min="15" max="15" width="50" style="133" customWidth="1"/>
    <col min="16" max="47" width="15.88671875" style="135" customWidth="1"/>
    <col min="48" max="48" width="24.5546875" style="135" customWidth="1"/>
    <col min="49" max="49" width="22.88671875" style="135" customWidth="1"/>
    <col min="50" max="50" width="19.33203125" style="135" customWidth="1"/>
    <col min="51" max="51" width="18.44140625" style="135" customWidth="1"/>
    <col min="52" max="52" width="19.44140625" style="135" customWidth="1"/>
    <col min="53" max="53" width="23.33203125" style="135" customWidth="1"/>
    <col min="54" max="55" width="25.109375" style="135" customWidth="1"/>
    <col min="56" max="56" width="26.6640625" style="135" customWidth="1"/>
    <col min="57" max="57" width="26.33203125" style="135" customWidth="1"/>
    <col min="58" max="58" width="26.5546875" style="135" customWidth="1"/>
    <col min="59" max="59" width="26.33203125" style="135" customWidth="1"/>
    <col min="60" max="60" width="27.33203125" style="135" customWidth="1"/>
    <col min="61" max="16384" width="17.33203125" style="135"/>
  </cols>
  <sheetData>
    <row r="1" spans="2:60" ht="15.6" thickBot="1"/>
    <row r="2" spans="2:60" ht="15.6" customHeight="1">
      <c r="B2" s="1575" t="s">
        <v>686</v>
      </c>
      <c r="C2" s="1600" t="s">
        <v>118</v>
      </c>
      <c r="D2" s="1601"/>
      <c r="E2" s="1601"/>
      <c r="F2" s="1601"/>
      <c r="G2" s="1601"/>
      <c r="H2" s="1601"/>
      <c r="I2" s="1601"/>
      <c r="J2" s="1601"/>
      <c r="K2" s="1601"/>
      <c r="L2" s="1601"/>
      <c r="M2" s="1601"/>
      <c r="N2" s="1601"/>
      <c r="O2" s="1601"/>
      <c r="P2" s="1601"/>
      <c r="Q2" s="1601"/>
      <c r="R2" s="1601"/>
      <c r="S2" s="1601"/>
      <c r="T2" s="1601"/>
      <c r="U2" s="1601"/>
      <c r="V2" s="1601"/>
      <c r="W2" s="1601"/>
      <c r="X2" s="1601"/>
      <c r="Y2" s="1601"/>
      <c r="Z2" s="1601"/>
      <c r="AA2" s="1601"/>
      <c r="AB2" s="1601"/>
      <c r="AC2" s="1601"/>
      <c r="AD2" s="1601"/>
      <c r="AE2" s="1601"/>
      <c r="AF2" s="1601"/>
      <c r="AG2" s="1601"/>
      <c r="AH2" s="1601"/>
      <c r="AI2" s="1601"/>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2"/>
      <c r="BG2" s="230" t="s">
        <v>31</v>
      </c>
      <c r="BH2" s="231"/>
    </row>
    <row r="3" spans="2:60" ht="15.6" customHeight="1">
      <c r="B3" s="1576"/>
      <c r="C3" s="1603"/>
      <c r="D3" s="1604"/>
      <c r="E3" s="1604"/>
      <c r="F3" s="1604"/>
      <c r="G3" s="1604"/>
      <c r="H3" s="1604"/>
      <c r="I3" s="1604"/>
      <c r="J3" s="1604"/>
      <c r="K3" s="1604"/>
      <c r="L3" s="1604"/>
      <c r="M3" s="1604"/>
      <c r="N3" s="1604"/>
      <c r="O3" s="1604"/>
      <c r="P3" s="1604"/>
      <c r="Q3" s="1604"/>
      <c r="R3" s="1604"/>
      <c r="S3" s="1604"/>
      <c r="T3" s="1604"/>
      <c r="U3" s="1604"/>
      <c r="V3" s="1604"/>
      <c r="W3" s="1604"/>
      <c r="X3" s="1604"/>
      <c r="Y3" s="1604"/>
      <c r="Z3" s="1604"/>
      <c r="AA3" s="1604"/>
      <c r="AB3" s="1604"/>
      <c r="AC3" s="1604"/>
      <c r="AD3" s="1604"/>
      <c r="AE3" s="1604"/>
      <c r="AF3" s="1604"/>
      <c r="AG3" s="1604"/>
      <c r="AH3" s="1604"/>
      <c r="AI3" s="1604"/>
      <c r="AJ3" s="1604"/>
      <c r="AK3" s="1604"/>
      <c r="AL3" s="1604"/>
      <c r="AM3" s="1604"/>
      <c r="AN3" s="1604"/>
      <c r="AO3" s="1604"/>
      <c r="AP3" s="1604"/>
      <c r="AQ3" s="1604"/>
      <c r="AR3" s="1604"/>
      <c r="AS3" s="1604"/>
      <c r="AT3" s="1604"/>
      <c r="AU3" s="1604"/>
      <c r="AV3" s="1604"/>
      <c r="AW3" s="1604"/>
      <c r="AX3" s="1604"/>
      <c r="AY3" s="1604"/>
      <c r="AZ3" s="1604"/>
      <c r="BA3" s="1604"/>
      <c r="BB3" s="1604"/>
      <c r="BC3" s="1604"/>
      <c r="BD3" s="1604"/>
      <c r="BE3" s="1604"/>
      <c r="BF3" s="1605"/>
      <c r="BG3" s="209" t="s">
        <v>28</v>
      </c>
      <c r="BH3" s="28" t="s">
        <v>29</v>
      </c>
    </row>
    <row r="4" spans="2:60" ht="15" customHeight="1">
      <c r="B4" s="1576"/>
      <c r="C4" s="1603"/>
      <c r="D4" s="1604"/>
      <c r="E4" s="1604"/>
      <c r="F4" s="1604"/>
      <c r="G4" s="1604"/>
      <c r="H4" s="1604"/>
      <c r="I4" s="1604"/>
      <c r="J4" s="1604"/>
      <c r="K4" s="1604"/>
      <c r="L4" s="1604"/>
      <c r="M4" s="1604"/>
      <c r="N4" s="1604"/>
      <c r="O4" s="1604"/>
      <c r="P4" s="1604"/>
      <c r="Q4" s="1604"/>
      <c r="R4" s="1604"/>
      <c r="S4" s="1604"/>
      <c r="T4" s="1604"/>
      <c r="U4" s="1604"/>
      <c r="V4" s="1604"/>
      <c r="W4" s="1604"/>
      <c r="X4" s="1604"/>
      <c r="Y4" s="1604"/>
      <c r="Z4" s="1604"/>
      <c r="AA4" s="1604"/>
      <c r="AB4" s="1604"/>
      <c r="AC4" s="1604"/>
      <c r="AD4" s="1604"/>
      <c r="AE4" s="1604"/>
      <c r="AF4" s="1604"/>
      <c r="AG4" s="1604"/>
      <c r="AH4" s="1604"/>
      <c r="AI4" s="1604"/>
      <c r="AJ4" s="1604"/>
      <c r="AK4" s="1604"/>
      <c r="AL4" s="1604"/>
      <c r="AM4" s="1604"/>
      <c r="AN4" s="1604"/>
      <c r="AO4" s="1604"/>
      <c r="AP4" s="1604"/>
      <c r="AQ4" s="1604"/>
      <c r="AR4" s="1604"/>
      <c r="AS4" s="1604"/>
      <c r="AT4" s="1604"/>
      <c r="AU4" s="1604"/>
      <c r="AV4" s="1604"/>
      <c r="AW4" s="1604"/>
      <c r="AX4" s="1604"/>
      <c r="AY4" s="1604"/>
      <c r="AZ4" s="1604"/>
      <c r="BA4" s="1604"/>
      <c r="BB4" s="1604"/>
      <c r="BC4" s="1604"/>
      <c r="BD4" s="1604"/>
      <c r="BE4" s="1604"/>
      <c r="BF4" s="1605"/>
      <c r="BG4" s="210">
        <v>5</v>
      </c>
      <c r="BH4" s="30" t="s">
        <v>657</v>
      </c>
    </row>
    <row r="5" spans="2:60" ht="15.6" customHeight="1">
      <c r="B5" s="1576"/>
      <c r="C5" s="1603"/>
      <c r="D5" s="1604"/>
      <c r="E5" s="1604"/>
      <c r="F5" s="1604"/>
      <c r="G5" s="1604"/>
      <c r="H5" s="1604"/>
      <c r="I5" s="1604"/>
      <c r="J5" s="1604"/>
      <c r="K5" s="1604"/>
      <c r="L5" s="1604"/>
      <c r="M5" s="1604"/>
      <c r="N5" s="1604"/>
      <c r="O5" s="1604"/>
      <c r="P5" s="1604"/>
      <c r="Q5" s="1604"/>
      <c r="R5" s="1604"/>
      <c r="S5" s="1604"/>
      <c r="T5" s="1604"/>
      <c r="U5" s="1604"/>
      <c r="V5" s="1604"/>
      <c r="W5" s="1604"/>
      <c r="X5" s="1604"/>
      <c r="Y5" s="1604"/>
      <c r="Z5" s="1604"/>
      <c r="AA5" s="1604"/>
      <c r="AB5" s="1604"/>
      <c r="AC5" s="1604"/>
      <c r="AD5" s="1604"/>
      <c r="AE5" s="1604"/>
      <c r="AF5" s="1604"/>
      <c r="AG5" s="1604"/>
      <c r="AH5" s="1604"/>
      <c r="AI5" s="1604"/>
      <c r="AJ5" s="1604"/>
      <c r="AK5" s="1604"/>
      <c r="AL5" s="1604"/>
      <c r="AM5" s="1604"/>
      <c r="AN5" s="1604"/>
      <c r="AO5" s="1604"/>
      <c r="AP5" s="1604"/>
      <c r="AQ5" s="1604"/>
      <c r="AR5" s="1604"/>
      <c r="AS5" s="1604"/>
      <c r="AT5" s="1604"/>
      <c r="AU5" s="1604"/>
      <c r="AV5" s="1604"/>
      <c r="AW5" s="1604"/>
      <c r="AX5" s="1604"/>
      <c r="AY5" s="1604"/>
      <c r="AZ5" s="1604"/>
      <c r="BA5" s="1604"/>
      <c r="BB5" s="1604"/>
      <c r="BC5" s="1604"/>
      <c r="BD5" s="1604"/>
      <c r="BE5" s="1604"/>
      <c r="BF5" s="1605"/>
      <c r="BG5" s="211" t="s">
        <v>30</v>
      </c>
      <c r="BH5" s="212"/>
    </row>
    <row r="6" spans="2:60" ht="15.6" customHeight="1" thickBot="1">
      <c r="B6" s="1577"/>
      <c r="C6" s="1606"/>
      <c r="D6" s="1607"/>
      <c r="E6" s="1607"/>
      <c r="F6" s="1607"/>
      <c r="G6" s="1607"/>
      <c r="H6" s="1607"/>
      <c r="I6" s="1607"/>
      <c r="J6" s="1607"/>
      <c r="K6" s="1607"/>
      <c r="L6" s="1607"/>
      <c r="M6" s="1607"/>
      <c r="N6" s="1607"/>
      <c r="O6" s="1607"/>
      <c r="P6" s="1607"/>
      <c r="Q6" s="1607"/>
      <c r="R6" s="1607"/>
      <c r="S6" s="1607"/>
      <c r="T6" s="1607"/>
      <c r="U6" s="1607"/>
      <c r="V6" s="1607"/>
      <c r="W6" s="1607"/>
      <c r="X6" s="1607"/>
      <c r="Y6" s="1607"/>
      <c r="Z6" s="1607"/>
      <c r="AA6" s="1607"/>
      <c r="AB6" s="1607"/>
      <c r="AC6" s="1607"/>
      <c r="AD6" s="1607"/>
      <c r="AE6" s="1607"/>
      <c r="AF6" s="1607"/>
      <c r="AG6" s="1607"/>
      <c r="AH6" s="1607"/>
      <c r="AI6" s="1607"/>
      <c r="AJ6" s="1607"/>
      <c r="AK6" s="1607"/>
      <c r="AL6" s="1607"/>
      <c r="AM6" s="1607"/>
      <c r="AN6" s="1607"/>
      <c r="AO6" s="1607"/>
      <c r="AP6" s="1607"/>
      <c r="AQ6" s="1607"/>
      <c r="AR6" s="1607"/>
      <c r="AS6" s="1607"/>
      <c r="AT6" s="1607"/>
      <c r="AU6" s="1607"/>
      <c r="AV6" s="1607"/>
      <c r="AW6" s="1607"/>
      <c r="AX6" s="1607"/>
      <c r="AY6" s="1607"/>
      <c r="AZ6" s="1607"/>
      <c r="BA6" s="1607"/>
      <c r="BB6" s="1607"/>
      <c r="BC6" s="1607"/>
      <c r="BD6" s="1607"/>
      <c r="BE6" s="1607"/>
      <c r="BF6" s="1608"/>
      <c r="BG6" s="1566">
        <v>44306</v>
      </c>
      <c r="BH6" s="1567"/>
    </row>
    <row r="7" spans="2:60">
      <c r="B7" s="136"/>
      <c r="C7" s="136"/>
      <c r="D7" s="136"/>
      <c r="E7" s="136"/>
      <c r="F7" s="136"/>
      <c r="G7" s="137"/>
      <c r="H7" s="137"/>
      <c r="I7" s="136"/>
      <c r="J7" s="136"/>
      <c r="K7" s="136"/>
      <c r="L7" s="136"/>
      <c r="M7" s="136"/>
      <c r="N7" s="136"/>
      <c r="O7" s="136"/>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589"/>
      <c r="AX7" s="1633"/>
      <c r="AY7" s="1633"/>
      <c r="AZ7" s="1633"/>
      <c r="BA7" s="1591"/>
      <c r="BB7" s="232"/>
      <c r="BC7" s="232"/>
      <c r="BD7" s="232"/>
      <c r="BE7" s="138"/>
      <c r="BF7" s="138"/>
    </row>
    <row r="8" spans="2:60" ht="21">
      <c r="B8" s="213" t="s">
        <v>45</v>
      </c>
      <c r="C8" s="1650" t="s">
        <v>80</v>
      </c>
      <c r="D8" s="1650"/>
      <c r="E8" s="214"/>
      <c r="F8" s="214"/>
      <c r="G8" s="214"/>
      <c r="H8" s="214"/>
      <c r="I8" s="214"/>
      <c r="J8" s="214"/>
      <c r="K8" s="214"/>
      <c r="L8" s="214"/>
      <c r="M8" s="214"/>
      <c r="N8" s="214"/>
      <c r="O8" s="214"/>
      <c r="AW8" s="232"/>
      <c r="AX8" s="232"/>
      <c r="AY8" s="232"/>
      <c r="AZ8" s="232"/>
      <c r="BA8" s="232"/>
      <c r="BB8" s="232"/>
      <c r="BC8" s="232"/>
      <c r="BD8" s="232"/>
    </row>
    <row r="9" spans="2:60" ht="56.25" customHeight="1">
      <c r="B9" s="213" t="s">
        <v>34</v>
      </c>
      <c r="C9" s="1645" t="s">
        <v>601</v>
      </c>
      <c r="D9" s="1646"/>
      <c r="E9" s="214"/>
      <c r="F9" s="214"/>
      <c r="G9" s="214"/>
      <c r="H9" s="214"/>
      <c r="I9" s="214"/>
      <c r="J9" s="214"/>
      <c r="K9" s="214"/>
      <c r="L9" s="214"/>
      <c r="M9" s="214"/>
      <c r="N9" s="214"/>
      <c r="O9" s="214"/>
      <c r="AW9" s="232"/>
      <c r="AX9" s="232"/>
      <c r="AY9" s="232"/>
      <c r="AZ9" s="232"/>
      <c r="BA9" s="232"/>
      <c r="BB9" s="232"/>
      <c r="BC9" s="232"/>
      <c r="BD9" s="232"/>
    </row>
    <row r="10" spans="2:60" ht="24.6">
      <c r="B10" s="213" t="s">
        <v>101</v>
      </c>
      <c r="C10" s="1612">
        <v>2022</v>
      </c>
      <c r="D10" s="1613"/>
      <c r="E10" s="214"/>
      <c r="F10" s="214"/>
      <c r="G10" s="214"/>
      <c r="H10" s="214"/>
      <c r="I10" s="214"/>
      <c r="J10" s="214"/>
      <c r="K10" s="214"/>
      <c r="L10" s="214"/>
      <c r="M10" s="214"/>
      <c r="N10" s="214"/>
      <c r="O10" s="214"/>
      <c r="AW10" s="232"/>
      <c r="AX10" s="232"/>
      <c r="AY10" s="232"/>
      <c r="AZ10" s="232"/>
      <c r="BA10" s="232"/>
      <c r="BB10" s="232"/>
      <c r="BC10" s="232"/>
      <c r="BD10" s="232"/>
    </row>
    <row r="11" spans="2:60">
      <c r="B11" s="136"/>
      <c r="C11" s="136"/>
      <c r="D11" s="136"/>
      <c r="E11" s="136"/>
      <c r="F11" s="136"/>
      <c r="G11" s="137"/>
      <c r="H11" s="137"/>
      <c r="I11" s="136"/>
      <c r="J11" s="136"/>
      <c r="K11" s="136"/>
      <c r="L11" s="136"/>
      <c r="M11" s="136"/>
      <c r="N11" s="136"/>
      <c r="O11" s="136"/>
      <c r="AW11" s="232"/>
      <c r="AX11" s="232"/>
      <c r="AY11" s="232"/>
      <c r="AZ11" s="232"/>
      <c r="BA11" s="232"/>
      <c r="BB11" s="232"/>
      <c r="BC11" s="232"/>
      <c r="BD11" s="232"/>
    </row>
    <row r="12" spans="2:60" ht="22.2" customHeight="1">
      <c r="B12" s="1476" t="s">
        <v>0</v>
      </c>
      <c r="C12" s="1476" t="s">
        <v>52</v>
      </c>
      <c r="D12" s="1302" t="s">
        <v>711</v>
      </c>
      <c r="E12" s="1476" t="s">
        <v>61</v>
      </c>
      <c r="F12" s="1302" t="s">
        <v>682</v>
      </c>
      <c r="G12" s="1476" t="s">
        <v>58</v>
      </c>
      <c r="H12" s="1476" t="s">
        <v>25</v>
      </c>
      <c r="I12" s="1476" t="s">
        <v>60</v>
      </c>
      <c r="J12" s="1476" t="s">
        <v>39</v>
      </c>
      <c r="K12" s="1476" t="s">
        <v>36</v>
      </c>
      <c r="L12" s="1476" t="s">
        <v>20</v>
      </c>
      <c r="M12" s="1476" t="s">
        <v>51</v>
      </c>
      <c r="N12" s="1476" t="s">
        <v>40</v>
      </c>
      <c r="O12" s="1476" t="s">
        <v>42</v>
      </c>
      <c r="P12" s="1528" t="s">
        <v>112</v>
      </c>
      <c r="Q12" s="1528"/>
      <c r="R12" s="1528"/>
      <c r="S12" s="1528"/>
      <c r="T12" s="1528"/>
      <c r="U12" s="1528"/>
      <c r="V12" s="1528"/>
      <c r="W12" s="1528"/>
      <c r="X12" s="1528"/>
      <c r="Y12" s="1528"/>
      <c r="Z12" s="1528"/>
      <c r="AA12" s="1528"/>
      <c r="AB12" s="1528"/>
      <c r="AC12" s="1528"/>
      <c r="AD12" s="1528"/>
      <c r="AE12" s="1528"/>
      <c r="AF12" s="1528"/>
      <c r="AG12" s="1528"/>
      <c r="AH12" s="1528"/>
      <c r="AI12" s="1528"/>
      <c r="AJ12" s="1528"/>
      <c r="AK12" s="1528"/>
      <c r="AL12" s="1528"/>
      <c r="AM12" s="1528"/>
      <c r="AN12" s="1528"/>
      <c r="AO12" s="1528"/>
      <c r="AP12" s="1528"/>
      <c r="AQ12" s="1528"/>
      <c r="AR12" s="1528"/>
      <c r="AS12" s="1528"/>
      <c r="AT12" s="1528"/>
      <c r="AU12" s="1528"/>
      <c r="AV12" s="1592" t="s">
        <v>62</v>
      </c>
      <c r="AW12" s="1594" t="s">
        <v>683</v>
      </c>
      <c r="AX12" s="1595"/>
      <c r="AY12" s="1595"/>
      <c r="AZ12" s="1596"/>
      <c r="BA12" s="1583" t="s">
        <v>684</v>
      </c>
      <c r="BB12" s="1584"/>
      <c r="BC12" s="1584"/>
      <c r="BD12" s="1585"/>
      <c r="BE12" s="1618" t="s">
        <v>685</v>
      </c>
      <c r="BF12" s="1619"/>
      <c r="BG12" s="1619"/>
      <c r="BH12" s="1620"/>
    </row>
    <row r="13" spans="2:60" ht="15.6">
      <c r="B13" s="1476"/>
      <c r="C13" s="1476"/>
      <c r="D13" s="1302"/>
      <c r="E13" s="1476"/>
      <c r="F13" s="1302"/>
      <c r="G13" s="1476"/>
      <c r="H13" s="1476"/>
      <c r="I13" s="1476"/>
      <c r="J13" s="1476"/>
      <c r="K13" s="1476"/>
      <c r="L13" s="1476"/>
      <c r="M13" s="1476"/>
      <c r="N13" s="1476"/>
      <c r="O13" s="1476"/>
      <c r="P13" s="1593" t="s">
        <v>21</v>
      </c>
      <c r="Q13" s="1593"/>
      <c r="R13" s="1593"/>
      <c r="S13" s="1593"/>
      <c r="T13" s="1593"/>
      <c r="U13" s="1593"/>
      <c r="V13" s="1593"/>
      <c r="W13" s="1593"/>
      <c r="X13" s="1593" t="s">
        <v>22</v>
      </c>
      <c r="Y13" s="1593"/>
      <c r="Z13" s="1593"/>
      <c r="AA13" s="1593"/>
      <c r="AB13" s="1593"/>
      <c r="AC13" s="1593"/>
      <c r="AD13" s="1593"/>
      <c r="AE13" s="1593"/>
      <c r="AF13" s="1593" t="s">
        <v>23</v>
      </c>
      <c r="AG13" s="1593"/>
      <c r="AH13" s="1593"/>
      <c r="AI13" s="1593"/>
      <c r="AJ13" s="1593"/>
      <c r="AK13" s="1593"/>
      <c r="AL13" s="1593"/>
      <c r="AM13" s="1593"/>
      <c r="AN13" s="1593" t="s">
        <v>24</v>
      </c>
      <c r="AO13" s="1593"/>
      <c r="AP13" s="1593"/>
      <c r="AQ13" s="1593"/>
      <c r="AR13" s="1593"/>
      <c r="AS13" s="1593"/>
      <c r="AT13" s="1593"/>
      <c r="AU13" s="1593"/>
      <c r="AV13" s="1592"/>
      <c r="AW13" s="1597" t="s">
        <v>119</v>
      </c>
      <c r="AX13" s="1597" t="s">
        <v>22</v>
      </c>
      <c r="AY13" s="1597" t="s">
        <v>120</v>
      </c>
      <c r="AZ13" s="1597" t="s">
        <v>121</v>
      </c>
      <c r="BA13" s="1586" t="s">
        <v>119</v>
      </c>
      <c r="BB13" s="1586" t="s">
        <v>122</v>
      </c>
      <c r="BC13" s="1586" t="s">
        <v>123</v>
      </c>
      <c r="BD13" s="1586" t="s">
        <v>124</v>
      </c>
      <c r="BE13" s="1580" t="s">
        <v>21</v>
      </c>
      <c r="BF13" s="1580" t="s">
        <v>22</v>
      </c>
      <c r="BG13" s="1580" t="s">
        <v>23</v>
      </c>
      <c r="BH13" s="1580" t="s">
        <v>24</v>
      </c>
    </row>
    <row r="14" spans="2:60" ht="15.6">
      <c r="B14" s="1476"/>
      <c r="C14" s="1476"/>
      <c r="D14" s="1302"/>
      <c r="E14" s="1476"/>
      <c r="F14" s="1302"/>
      <c r="G14" s="1476"/>
      <c r="H14" s="1476"/>
      <c r="I14" s="1476"/>
      <c r="J14" s="1476"/>
      <c r="K14" s="1476"/>
      <c r="L14" s="1476"/>
      <c r="M14" s="1476"/>
      <c r="N14" s="1476"/>
      <c r="O14" s="1476"/>
      <c r="P14" s="1641" t="s">
        <v>5</v>
      </c>
      <c r="Q14" s="1641"/>
      <c r="R14" s="1641" t="s">
        <v>6</v>
      </c>
      <c r="S14" s="1641"/>
      <c r="T14" s="1641" t="s">
        <v>7</v>
      </c>
      <c r="U14" s="1641"/>
      <c r="V14" s="1528" t="s">
        <v>8</v>
      </c>
      <c r="W14" s="1528"/>
      <c r="X14" s="1641" t="s">
        <v>27</v>
      </c>
      <c r="Y14" s="1641"/>
      <c r="Z14" s="1641" t="s">
        <v>9</v>
      </c>
      <c r="AA14" s="1641"/>
      <c r="AB14" s="1641" t="s">
        <v>10</v>
      </c>
      <c r="AC14" s="1641"/>
      <c r="AD14" s="1528" t="s">
        <v>8</v>
      </c>
      <c r="AE14" s="1528"/>
      <c r="AF14" s="1641" t="s">
        <v>11</v>
      </c>
      <c r="AG14" s="1641"/>
      <c r="AH14" s="1641" t="s">
        <v>12</v>
      </c>
      <c r="AI14" s="1641"/>
      <c r="AJ14" s="1641" t="s">
        <v>13</v>
      </c>
      <c r="AK14" s="1641"/>
      <c r="AL14" s="1528" t="s">
        <v>8</v>
      </c>
      <c r="AM14" s="1528"/>
      <c r="AN14" s="1641" t="s">
        <v>14</v>
      </c>
      <c r="AO14" s="1641"/>
      <c r="AP14" s="1641" t="s">
        <v>15</v>
      </c>
      <c r="AQ14" s="1641"/>
      <c r="AR14" s="1641" t="s">
        <v>16</v>
      </c>
      <c r="AS14" s="1641"/>
      <c r="AT14" s="1528" t="s">
        <v>8</v>
      </c>
      <c r="AU14" s="1528"/>
      <c r="AV14" s="1592"/>
      <c r="AW14" s="1598"/>
      <c r="AX14" s="1598"/>
      <c r="AY14" s="1598"/>
      <c r="AZ14" s="1598"/>
      <c r="BA14" s="1587"/>
      <c r="BB14" s="1587"/>
      <c r="BC14" s="1587"/>
      <c r="BD14" s="1587"/>
      <c r="BE14" s="1581"/>
      <c r="BF14" s="1581"/>
      <c r="BG14" s="1581"/>
      <c r="BH14" s="1581"/>
    </row>
    <row r="15" spans="2:60" ht="13.2" customHeight="1">
      <c r="B15" s="1476"/>
      <c r="C15" s="1476"/>
      <c r="D15" s="1302"/>
      <c r="E15" s="1476"/>
      <c r="F15" s="1302"/>
      <c r="G15" s="1476"/>
      <c r="H15" s="1476"/>
      <c r="I15" s="1476"/>
      <c r="J15" s="1476"/>
      <c r="K15" s="1476"/>
      <c r="L15" s="1476"/>
      <c r="M15" s="1476"/>
      <c r="N15" s="1476"/>
      <c r="O15" s="1476"/>
      <c r="P15" s="233" t="s">
        <v>17</v>
      </c>
      <c r="Q15" s="234" t="s">
        <v>18</v>
      </c>
      <c r="R15" s="233" t="s">
        <v>17</v>
      </c>
      <c r="S15" s="234" t="s">
        <v>18</v>
      </c>
      <c r="T15" s="233" t="s">
        <v>17</v>
      </c>
      <c r="U15" s="234" t="s">
        <v>18</v>
      </c>
      <c r="V15" s="75" t="s">
        <v>17</v>
      </c>
      <c r="W15" s="76" t="s">
        <v>18</v>
      </c>
      <c r="X15" s="233" t="s">
        <v>17</v>
      </c>
      <c r="Y15" s="234" t="s">
        <v>18</v>
      </c>
      <c r="Z15" s="233" t="s">
        <v>17</v>
      </c>
      <c r="AA15" s="234" t="s">
        <v>18</v>
      </c>
      <c r="AB15" s="233" t="s">
        <v>17</v>
      </c>
      <c r="AC15" s="234" t="s">
        <v>18</v>
      </c>
      <c r="AD15" s="75" t="s">
        <v>17</v>
      </c>
      <c r="AE15" s="76" t="s">
        <v>18</v>
      </c>
      <c r="AF15" s="233" t="s">
        <v>17</v>
      </c>
      <c r="AG15" s="234" t="s">
        <v>18</v>
      </c>
      <c r="AH15" s="233" t="s">
        <v>17</v>
      </c>
      <c r="AI15" s="234" t="s">
        <v>18</v>
      </c>
      <c r="AJ15" s="233" t="s">
        <v>17</v>
      </c>
      <c r="AK15" s="234" t="s">
        <v>18</v>
      </c>
      <c r="AL15" s="75" t="s">
        <v>17</v>
      </c>
      <c r="AM15" s="76" t="s">
        <v>18</v>
      </c>
      <c r="AN15" s="233" t="s">
        <v>17</v>
      </c>
      <c r="AO15" s="234" t="s">
        <v>18</v>
      </c>
      <c r="AP15" s="233" t="s">
        <v>17</v>
      </c>
      <c r="AQ15" s="234" t="s">
        <v>18</v>
      </c>
      <c r="AR15" s="233" t="s">
        <v>17</v>
      </c>
      <c r="AS15" s="234" t="s">
        <v>18</v>
      </c>
      <c r="AT15" s="75" t="s">
        <v>17</v>
      </c>
      <c r="AU15" s="76" t="s">
        <v>18</v>
      </c>
      <c r="AV15" s="1592"/>
      <c r="AW15" s="1599"/>
      <c r="AX15" s="1599"/>
      <c r="AY15" s="1599"/>
      <c r="AZ15" s="1599"/>
      <c r="BA15" s="1588"/>
      <c r="BB15" s="1588"/>
      <c r="BC15" s="1588"/>
      <c r="BD15" s="1588"/>
      <c r="BE15" s="1582"/>
      <c r="BF15" s="1582"/>
      <c r="BG15" s="1582"/>
      <c r="BH15" s="1582"/>
    </row>
    <row r="16" spans="2:60" ht="106.5" customHeight="1">
      <c r="B16" s="1616" t="str">
        <f>+'01-FR-03 POA INSTITUCIONAL'!B96</f>
        <v xml:space="preserve">5. Incorporar una cultura del conocimiento y la innovación a través de actividades que permitan el desarrollo de ideas, lecciones aprendidas e investigaciones para mejorar los resultados de la gestión institucional. </v>
      </c>
      <c r="C16" s="1630" t="str">
        <f>+'01-FR-03 POA INSTITUCIONAL'!C96</f>
        <v>5.1 Generar el 100% de productos de nuevo conocimiento o transformar los existentes, alineados con proyectos resultados de la investigación, desarrollo e innovación (I+D+I) en la Entidad.</v>
      </c>
      <c r="D16" s="31" t="str">
        <f>+'01-FR-03 POA INSTITUCIONAL'!D96</f>
        <v xml:space="preserve">5.1.1 Elaborar cuatro (4) proyectos de investigación, desarrollo e innovación I+D+I para la Entidad </v>
      </c>
      <c r="E16" s="52">
        <f>+'01-FR-03 POA INSTITUCIONAL'!E96</f>
        <v>0.5</v>
      </c>
      <c r="F16" s="237">
        <f>+'01-FR-03 POA INSTITUCIONAL'!F96</f>
        <v>4</v>
      </c>
      <c r="G16" s="68">
        <f>+'01-FR-03 POA INSTITUCIONAL'!L96</f>
        <v>1</v>
      </c>
      <c r="H16" s="140">
        <f>+'01-FR-03 POA INSTITUCIONAL'!G96</f>
        <v>2</v>
      </c>
      <c r="I16" s="140" t="str">
        <f>+'01-FR-03 POA INSTITUCIONAL'!H96</f>
        <v>Proyectos de Investigación, Desarrollo e Innovación (I+D+I) elaborados</v>
      </c>
      <c r="J16" s="215" t="s">
        <v>671</v>
      </c>
      <c r="K16" s="235" t="s">
        <v>602</v>
      </c>
      <c r="L16" s="217" t="s">
        <v>603</v>
      </c>
      <c r="M16" s="236" t="s">
        <v>604</v>
      </c>
      <c r="N16" s="236" t="s">
        <v>605</v>
      </c>
      <c r="O16" s="79" t="str">
        <f>+'01-FR-03 POA INSTITUCIONAL'!J96</f>
        <v xml:space="preserve">Dirección de Gestión del Conocimiento e Innovación </v>
      </c>
      <c r="P16" s="995">
        <v>0</v>
      </c>
      <c r="Q16" s="995">
        <v>0</v>
      </c>
      <c r="R16" s="995">
        <v>0</v>
      </c>
      <c r="S16" s="995">
        <v>0</v>
      </c>
      <c r="T16" s="995">
        <v>0</v>
      </c>
      <c r="U16" s="995">
        <v>0</v>
      </c>
      <c r="V16" s="91">
        <f>P16+R16+T16</f>
        <v>0</v>
      </c>
      <c r="W16" s="91">
        <f>Q16+S16+U16</f>
        <v>0</v>
      </c>
      <c r="X16" s="996">
        <v>0</v>
      </c>
      <c r="Y16" s="996"/>
      <c r="Z16" s="996">
        <v>0</v>
      </c>
      <c r="AA16" s="996"/>
      <c r="AB16" s="996">
        <v>0</v>
      </c>
      <c r="AC16" s="995"/>
      <c r="AD16" s="91">
        <f>X16+Z16+AB16</f>
        <v>0</v>
      </c>
      <c r="AE16" s="91">
        <f>Y16+AA16+AC16</f>
        <v>0</v>
      </c>
      <c r="AF16" s="996">
        <v>0</v>
      </c>
      <c r="AG16" s="996"/>
      <c r="AH16" s="996">
        <v>0</v>
      </c>
      <c r="AI16" s="996"/>
      <c r="AJ16" s="997">
        <v>0</v>
      </c>
      <c r="AK16" s="998"/>
      <c r="AL16" s="91">
        <f>AF16+AH16+AJ16</f>
        <v>0</v>
      </c>
      <c r="AM16" s="91">
        <f>AG16+AI16+AK16</f>
        <v>0</v>
      </c>
      <c r="AN16" s="996">
        <v>0</v>
      </c>
      <c r="AO16" s="996"/>
      <c r="AP16" s="996">
        <v>1</v>
      </c>
      <c r="AQ16" s="996"/>
      <c r="AR16" s="996">
        <v>0</v>
      </c>
      <c r="AS16" s="995"/>
      <c r="AT16" s="91">
        <f>AN16+AP16+AR16</f>
        <v>1</v>
      </c>
      <c r="AU16" s="91">
        <f>AO16+AQ16+AS16</f>
        <v>0</v>
      </c>
      <c r="AV16" s="237">
        <f>V16+AD16+AL16+AT16</f>
        <v>1</v>
      </c>
      <c r="AW16" s="81">
        <f>+W16</f>
        <v>0</v>
      </c>
      <c r="AX16" s="1053">
        <f>+W16+AE16</f>
        <v>0</v>
      </c>
      <c r="AY16" s="1053">
        <f>+W16+AE16+AM16</f>
        <v>0</v>
      </c>
      <c r="AZ16" s="1053">
        <f>+W16+AE16+AM16+AU16</f>
        <v>0</v>
      </c>
      <c r="BA16" s="42">
        <f>IF(AND(AW16&gt;0,$AV16&gt;0),AW16/$AV16,0)</f>
        <v>0</v>
      </c>
      <c r="BB16" s="42">
        <f t="shared" ref="BB16:BD19" si="0">IF(AND(AX16&gt;0,$AV16&gt;0),AX16/$AV16,0)</f>
        <v>0</v>
      </c>
      <c r="BC16" s="42">
        <f t="shared" si="0"/>
        <v>0</v>
      </c>
      <c r="BD16" s="42">
        <f t="shared" si="0"/>
        <v>0</v>
      </c>
      <c r="BE16" s="312">
        <f>(IF(AND(AW16&gt;0,$F16&gt;0),AW16/$F16,0))</f>
        <v>0</v>
      </c>
      <c r="BF16" s="1073">
        <f t="shared" ref="BF16:BH19" si="1">(IF(AND(AX16&gt;0,$F16&gt;0),AX16/$F16,0))</f>
        <v>0</v>
      </c>
      <c r="BG16" s="1073">
        <f t="shared" si="1"/>
        <v>0</v>
      </c>
      <c r="BH16" s="1073">
        <f t="shared" si="1"/>
        <v>0</v>
      </c>
    </row>
    <row r="17" spans="2:60" ht="106.5" customHeight="1">
      <c r="B17" s="1617"/>
      <c r="C17" s="1631"/>
      <c r="D17" s="31" t="str">
        <f>+'01-FR-03 POA INSTITUCIONAL'!D97</f>
        <v>5.1.2. Entregar dos (2) productos resultado de los proyectos de investigación, desarrollo e innovación (I+D+I) realizados en la Entidad para la comunidad</v>
      </c>
      <c r="E17" s="52">
        <f>+'01-FR-03 POA INSTITUCIONAL'!E97</f>
        <v>0.5</v>
      </c>
      <c r="F17" s="237">
        <f>+'01-FR-03 POA INSTITUCIONAL'!F97</f>
        <v>2</v>
      </c>
      <c r="G17" s="68">
        <f>+'01-FR-03 POA INSTITUCIONAL'!L97</f>
        <v>1</v>
      </c>
      <c r="H17" s="973" t="str">
        <f>+'01-FR-03 POA INSTITUCIONAL'!G97</f>
        <v>S.I.</v>
      </c>
      <c r="I17" s="973" t="str">
        <f>+'01-FR-03 POA INSTITUCIONAL'!H97</f>
        <v>Productos resultado de investigaciones, entregadas para la comunidad</v>
      </c>
      <c r="J17" s="215" t="s">
        <v>671</v>
      </c>
      <c r="K17" s="443" t="s">
        <v>607</v>
      </c>
      <c r="L17" s="217" t="s">
        <v>608</v>
      </c>
      <c r="M17" s="236" t="s">
        <v>604</v>
      </c>
      <c r="N17" s="236" t="s">
        <v>605</v>
      </c>
      <c r="O17" s="79" t="str">
        <f>+'[4]01-FR-03 POA INSTITUCIONAL'!J97</f>
        <v xml:space="preserve">Dirección de Gestión del Conocimiento e Innovación </v>
      </c>
      <c r="P17" s="995">
        <v>0</v>
      </c>
      <c r="Q17" s="995">
        <v>0</v>
      </c>
      <c r="R17" s="995">
        <v>0</v>
      </c>
      <c r="S17" s="995">
        <v>0</v>
      </c>
      <c r="T17" s="995">
        <v>0</v>
      </c>
      <c r="U17" s="995">
        <v>0</v>
      </c>
      <c r="V17" s="91">
        <f>P17+R17+T17</f>
        <v>0</v>
      </c>
      <c r="W17" s="91">
        <f>Q17+S17+U17</f>
        <v>0</v>
      </c>
      <c r="X17" s="996">
        <v>0</v>
      </c>
      <c r="Y17" s="996"/>
      <c r="Z17" s="996">
        <v>0</v>
      </c>
      <c r="AA17" s="996"/>
      <c r="AB17" s="996">
        <v>0</v>
      </c>
      <c r="AC17" s="995"/>
      <c r="AD17" s="91">
        <f>X17+Z17+AB17</f>
        <v>0</v>
      </c>
      <c r="AE17" s="91">
        <f>Y17+AA17+AC17</f>
        <v>0</v>
      </c>
      <c r="AF17" s="996">
        <v>0</v>
      </c>
      <c r="AG17" s="996"/>
      <c r="AH17" s="996">
        <v>0</v>
      </c>
      <c r="AI17" s="996"/>
      <c r="AJ17" s="997">
        <v>0</v>
      </c>
      <c r="AK17" s="998"/>
      <c r="AL17" s="91">
        <f>AF17+AH17+AJ17</f>
        <v>0</v>
      </c>
      <c r="AM17" s="91">
        <f>AG17+AI17+AK17</f>
        <v>0</v>
      </c>
      <c r="AN17" s="996">
        <v>0</v>
      </c>
      <c r="AO17" s="996"/>
      <c r="AP17" s="996">
        <v>1</v>
      </c>
      <c r="AQ17" s="996"/>
      <c r="AR17" s="996">
        <v>0</v>
      </c>
      <c r="AS17" s="995"/>
      <c r="AT17" s="91">
        <f>AN17+AP17+AR17</f>
        <v>1</v>
      </c>
      <c r="AU17" s="91">
        <f>AO17+AQ17+AS17</f>
        <v>0</v>
      </c>
      <c r="AV17" s="237">
        <f>V17+AD17+AL17+AT17</f>
        <v>1</v>
      </c>
      <c r="AW17" s="81">
        <f>+W17</f>
        <v>0</v>
      </c>
      <c r="AX17" s="1053">
        <f>+W17+AE17</f>
        <v>0</v>
      </c>
      <c r="AY17" s="1053">
        <f>+W17+AE17+AM17</f>
        <v>0</v>
      </c>
      <c r="AZ17" s="1053">
        <f>+W17+AE17+AM17+AU17</f>
        <v>0</v>
      </c>
      <c r="BA17" s="42">
        <f>IF(AND(AW17&gt;0,$AV17&gt;0),AW17/$AV17,0)</f>
        <v>0</v>
      </c>
      <c r="BB17" s="42">
        <f t="shared" ref="BB17" si="2">IF(AND(AX17&gt;0,$AV17&gt;0),AX17/$AV17,0)</f>
        <v>0</v>
      </c>
      <c r="BC17" s="42">
        <f t="shared" ref="BC17" si="3">IF(AND(AY17&gt;0,$AV17&gt;0),AY17/$AV17,0)</f>
        <v>0</v>
      </c>
      <c r="BD17" s="42">
        <f t="shared" ref="BD17" si="4">IF(AND(AZ17&gt;0,$AV17&gt;0),AZ17/$AV17,0)</f>
        <v>0</v>
      </c>
      <c r="BE17" s="312">
        <f>(IF(AND(AW17&gt;0,$F17&gt;0),AW17/$F17,0))</f>
        <v>0</v>
      </c>
      <c r="BF17" s="1073">
        <f t="shared" ref="BF17" si="5">(IF(AND(AX17&gt;0,$F17&gt;0),AX17/$F17,0))</f>
        <v>0</v>
      </c>
      <c r="BG17" s="1073">
        <f t="shared" ref="BG17" si="6">(IF(AND(AY17&gt;0,$F17&gt;0),AY17/$F17,0))</f>
        <v>0</v>
      </c>
      <c r="BH17" s="1073">
        <f t="shared" ref="BH17" si="7">(IF(AND(AZ17&gt;0,$F17&gt;0),AZ17/$F17,0))</f>
        <v>0</v>
      </c>
    </row>
    <row r="18" spans="2:60" ht="90">
      <c r="B18" s="1617"/>
      <c r="C18" s="31" t="str">
        <f>+'01-FR-03 POA INSTITUCIONAL'!C98</f>
        <v>5.2 Formular el 100% de herramientas y acciones que permitan categorizar, preservar y utilizar el conocimiento para la toma de decisiones y compartir fácilmente los datos y la información de la Entidad.</v>
      </c>
      <c r="D18" s="31" t="str">
        <f>+'01-FR-03 POA INSTITUCIONAL'!D98</f>
        <v xml:space="preserve">5.2.1 Construir ocho (8) informes de investigación e innovación que reflejen la analítica institucional </v>
      </c>
      <c r="E18" s="52">
        <f>+'01-FR-03 POA INSTITUCIONAL'!E98</f>
        <v>1</v>
      </c>
      <c r="F18" s="237">
        <f>+'01-FR-03 POA INSTITUCIONAL'!F98</f>
        <v>8</v>
      </c>
      <c r="G18" s="68">
        <f>+'01-FR-03 POA INSTITUCIONAL'!L98</f>
        <v>2</v>
      </c>
      <c r="H18" s="140" t="str">
        <f>+'01-FR-03 POA INSTITUCIONAL'!G98</f>
        <v>S.I.</v>
      </c>
      <c r="I18" s="140" t="str">
        <f>+'01-FR-03 POA INSTITUCIONAL'!H98</f>
        <v>Informes de investigación e innovación construidos</v>
      </c>
      <c r="J18" s="238" t="s">
        <v>606</v>
      </c>
      <c r="K18" s="235" t="s">
        <v>607</v>
      </c>
      <c r="L18" s="217" t="s">
        <v>608</v>
      </c>
      <c r="M18" s="236" t="s">
        <v>604</v>
      </c>
      <c r="N18" s="236" t="s">
        <v>605</v>
      </c>
      <c r="O18" s="79" t="str">
        <f>+'01-FR-03 POA INSTITUCIONAL'!J98</f>
        <v xml:space="preserve">Dirección de Gestión del Conocimiento e Innovación </v>
      </c>
      <c r="P18" s="995">
        <v>0</v>
      </c>
      <c r="Q18" s="995">
        <v>0</v>
      </c>
      <c r="R18" s="995">
        <v>0</v>
      </c>
      <c r="S18" s="995">
        <v>0</v>
      </c>
      <c r="T18" s="995">
        <v>0</v>
      </c>
      <c r="U18" s="995">
        <v>0</v>
      </c>
      <c r="V18" s="91">
        <f t="shared" ref="V18:W19" si="8">P18+R18+T18</f>
        <v>0</v>
      </c>
      <c r="W18" s="91">
        <f t="shared" si="8"/>
        <v>0</v>
      </c>
      <c r="X18" s="996">
        <v>0</v>
      </c>
      <c r="Y18" s="996"/>
      <c r="Z18" s="996">
        <v>0</v>
      </c>
      <c r="AA18" s="996"/>
      <c r="AB18" s="996">
        <v>1</v>
      </c>
      <c r="AC18" s="995"/>
      <c r="AD18" s="91">
        <f t="shared" ref="AD18:AE19" si="9">X18+Z18+AB18</f>
        <v>1</v>
      </c>
      <c r="AE18" s="91">
        <f t="shared" si="9"/>
        <v>0</v>
      </c>
      <c r="AF18" s="996">
        <v>0</v>
      </c>
      <c r="AG18" s="996"/>
      <c r="AH18" s="996">
        <v>0</v>
      </c>
      <c r="AI18" s="996"/>
      <c r="AJ18" s="997">
        <v>0</v>
      </c>
      <c r="AK18" s="998"/>
      <c r="AL18" s="91">
        <f t="shared" ref="AL18:AM19" si="10">AF18+AH18+AJ18</f>
        <v>0</v>
      </c>
      <c r="AM18" s="91">
        <f t="shared" si="10"/>
        <v>0</v>
      </c>
      <c r="AN18" s="996">
        <v>0</v>
      </c>
      <c r="AO18" s="996"/>
      <c r="AP18" s="996">
        <v>1</v>
      </c>
      <c r="AQ18" s="996"/>
      <c r="AR18" s="996">
        <v>0</v>
      </c>
      <c r="AS18" s="995"/>
      <c r="AT18" s="91">
        <f t="shared" ref="AT18:AU19" si="11">AN18+AP18+AR18</f>
        <v>1</v>
      </c>
      <c r="AU18" s="91">
        <f t="shared" si="11"/>
        <v>0</v>
      </c>
      <c r="AV18" s="237">
        <f t="shared" ref="AV18:AV19" si="12">V18+AD18+AL18+AT18</f>
        <v>2</v>
      </c>
      <c r="AW18" s="81">
        <f>+W18</f>
        <v>0</v>
      </c>
      <c r="AX18" s="1053">
        <f>+W18+AE18</f>
        <v>0</v>
      </c>
      <c r="AY18" s="1053">
        <f>+W18+AE18+AM18</f>
        <v>0</v>
      </c>
      <c r="AZ18" s="1053">
        <f>+W18+AE18+AM18+AU18</f>
        <v>0</v>
      </c>
      <c r="BA18" s="42">
        <f>IF(AND(AW18&gt;0,AV18&gt;0),AW18/AV18,0)</f>
        <v>0</v>
      </c>
      <c r="BB18" s="42">
        <f t="shared" si="0"/>
        <v>0</v>
      </c>
      <c r="BC18" s="42">
        <f t="shared" si="0"/>
        <v>0</v>
      </c>
      <c r="BD18" s="42">
        <f t="shared" si="0"/>
        <v>0</v>
      </c>
      <c r="BE18" s="312">
        <f>(IF(AND(AW18&gt;0,$F18&gt;0),AW18/$F18,0))</f>
        <v>0</v>
      </c>
      <c r="BF18" s="1073">
        <f t="shared" si="1"/>
        <v>0</v>
      </c>
      <c r="BG18" s="1073">
        <f t="shared" si="1"/>
        <v>0</v>
      </c>
      <c r="BH18" s="1073">
        <f t="shared" si="1"/>
        <v>0</v>
      </c>
    </row>
    <row r="19" spans="2:60" ht="105" customHeight="1">
      <c r="B19" s="1643"/>
      <c r="C19" s="31" t="str">
        <f>+'01-FR-03 POA INSTITUCIONAL'!C99</f>
        <v xml:space="preserve">5.3 Desarrollar el 100% de espacios y mecanismos para la difusión del conocimiento, mediante la creación de alianzas efectivas y apropiación de la memoria institucional a través del proceso de enseñanza-aprendizaje organizacional. </v>
      </c>
      <c r="D19" s="31" t="str">
        <f>+'01-FR-03 POA INSTITUCIONAL'!D99</f>
        <v>5.3.1 Desarrollar ochenta (80) actividades de apropiación social del conocimiento para la creación de la cultura de la investigación e innovación.</v>
      </c>
      <c r="E19" s="52">
        <f>+'01-FR-03 POA INSTITUCIONAL'!E99</f>
        <v>1</v>
      </c>
      <c r="F19" s="237">
        <f>+'01-FR-03 POA INSTITUCIONAL'!F99</f>
        <v>80</v>
      </c>
      <c r="G19" s="68">
        <f>+'01-FR-03 POA INSTITUCIONAL'!L99</f>
        <v>38</v>
      </c>
      <c r="H19" s="140">
        <f>+'01-FR-03 POA INSTITUCIONAL'!G99</f>
        <v>3</v>
      </c>
      <c r="I19" s="140" t="str">
        <f>+'01-FR-03 POA INSTITUCIONAL'!H99</f>
        <v>Actividades de apropiación social del conocimiento desarrolladas</v>
      </c>
      <c r="J19" s="215" t="s">
        <v>609</v>
      </c>
      <c r="K19" s="235" t="s">
        <v>610</v>
      </c>
      <c r="L19" s="217" t="s">
        <v>611</v>
      </c>
      <c r="M19" s="236" t="s">
        <v>604</v>
      </c>
      <c r="N19" s="236" t="s">
        <v>605</v>
      </c>
      <c r="O19" s="79" t="str">
        <f>+'01-FR-03 POA INSTITUCIONAL'!J99</f>
        <v xml:space="preserve">Dirección de Gestión del Conocimiento e Innovación </v>
      </c>
      <c r="P19" s="995">
        <v>0</v>
      </c>
      <c r="Q19" s="995">
        <v>0</v>
      </c>
      <c r="R19" s="995">
        <v>3</v>
      </c>
      <c r="S19" s="995">
        <v>3</v>
      </c>
      <c r="T19" s="995">
        <v>3</v>
      </c>
      <c r="U19" s="995">
        <v>6</v>
      </c>
      <c r="V19" s="91">
        <f t="shared" si="8"/>
        <v>6</v>
      </c>
      <c r="W19" s="91">
        <f t="shared" si="8"/>
        <v>9</v>
      </c>
      <c r="X19" s="996">
        <v>4</v>
      </c>
      <c r="Y19" s="996"/>
      <c r="Z19" s="996">
        <v>4</v>
      </c>
      <c r="AA19" s="996"/>
      <c r="AB19" s="996">
        <v>4</v>
      </c>
      <c r="AC19" s="995"/>
      <c r="AD19" s="91">
        <f t="shared" si="9"/>
        <v>12</v>
      </c>
      <c r="AE19" s="91">
        <f t="shared" si="9"/>
        <v>0</v>
      </c>
      <c r="AF19" s="996">
        <v>4</v>
      </c>
      <c r="AG19" s="996"/>
      <c r="AH19" s="996">
        <v>4</v>
      </c>
      <c r="AI19" s="996"/>
      <c r="AJ19" s="997">
        <v>4</v>
      </c>
      <c r="AK19" s="998"/>
      <c r="AL19" s="91">
        <f t="shared" si="10"/>
        <v>12</v>
      </c>
      <c r="AM19" s="91">
        <f t="shared" si="10"/>
        <v>0</v>
      </c>
      <c r="AN19" s="996">
        <v>4</v>
      </c>
      <c r="AO19" s="996"/>
      <c r="AP19" s="996">
        <v>4</v>
      </c>
      <c r="AQ19" s="996"/>
      <c r="AR19" s="996">
        <v>0</v>
      </c>
      <c r="AS19" s="995"/>
      <c r="AT19" s="91">
        <f t="shared" si="11"/>
        <v>8</v>
      </c>
      <c r="AU19" s="91">
        <f t="shared" si="11"/>
        <v>0</v>
      </c>
      <c r="AV19" s="237">
        <f t="shared" si="12"/>
        <v>38</v>
      </c>
      <c r="AW19" s="81">
        <f>+W19</f>
        <v>9</v>
      </c>
      <c r="AX19" s="1053">
        <f>+W19+AE19</f>
        <v>9</v>
      </c>
      <c r="AY19" s="1053">
        <f>+W19+AE19+AM19</f>
        <v>9</v>
      </c>
      <c r="AZ19" s="1053">
        <f>+W19+AE19+AM19+AU19</f>
        <v>9</v>
      </c>
      <c r="BA19" s="42">
        <f>IF(AND(AW19&gt;0,AV19&gt;0),AW19/AV19,0)</f>
        <v>0.23684210526315788</v>
      </c>
      <c r="BB19" s="42">
        <f t="shared" si="0"/>
        <v>0.23684210526315788</v>
      </c>
      <c r="BC19" s="42">
        <f t="shared" si="0"/>
        <v>0.23684210526315788</v>
      </c>
      <c r="BD19" s="42">
        <f t="shared" si="0"/>
        <v>0.23684210526315788</v>
      </c>
      <c r="BE19" s="312">
        <f>(IF(AND(AW19&gt;0,$F19&gt;0),AW19/$F19,0))</f>
        <v>0.1125</v>
      </c>
      <c r="BF19" s="1073">
        <f t="shared" si="1"/>
        <v>0.1125</v>
      </c>
      <c r="BG19" s="1073">
        <f t="shared" si="1"/>
        <v>0.1125</v>
      </c>
      <c r="BH19" s="1073">
        <f t="shared" si="1"/>
        <v>0.1125</v>
      </c>
    </row>
    <row r="20" spans="2:60" ht="22.8">
      <c r="B20" s="1560"/>
      <c r="C20" s="1561"/>
      <c r="D20" s="1561"/>
      <c r="E20" s="1561"/>
      <c r="F20" s="1561"/>
      <c r="G20" s="1561"/>
      <c r="H20" s="1561"/>
      <c r="I20" s="1561"/>
      <c r="J20" s="1561"/>
      <c r="K20" s="1561"/>
      <c r="L20" s="1561"/>
      <c r="M20" s="1561"/>
      <c r="N20" s="1561"/>
      <c r="O20" s="1561"/>
      <c r="P20" s="1561"/>
      <c r="Q20" s="1561"/>
      <c r="R20" s="1561"/>
      <c r="S20" s="1561"/>
      <c r="T20" s="1561"/>
      <c r="U20" s="1561"/>
      <c r="V20" s="1561"/>
      <c r="W20" s="1561"/>
      <c r="X20" s="1561"/>
      <c r="Y20" s="1561"/>
      <c r="Z20" s="1561"/>
      <c r="AA20" s="1561"/>
      <c r="AB20" s="1561"/>
      <c r="AC20" s="1561"/>
      <c r="AD20" s="1561"/>
      <c r="AE20" s="1561"/>
      <c r="AF20" s="1561"/>
      <c r="AG20" s="1561"/>
      <c r="AH20" s="1561"/>
      <c r="AI20" s="1561"/>
      <c r="AJ20" s="1561"/>
      <c r="AK20" s="1561"/>
      <c r="AL20" s="1561"/>
      <c r="AM20" s="1561"/>
      <c r="AN20" s="1561"/>
      <c r="AO20" s="1561"/>
      <c r="AP20" s="1561"/>
      <c r="AQ20" s="1561"/>
      <c r="AR20" s="1561"/>
      <c r="AS20" s="1561"/>
      <c r="AT20" s="1561"/>
      <c r="AU20" s="1561"/>
      <c r="AV20" s="1561"/>
      <c r="AW20" s="1644"/>
      <c r="AX20" s="1614" t="s">
        <v>19</v>
      </c>
      <c r="AY20" s="1642"/>
      <c r="AZ20" s="1642"/>
      <c r="BA20" s="70">
        <f t="shared" ref="BA20:BD20" si="13">AVERAGE(BA16:BA19)</f>
        <v>5.921052631578947E-2</v>
      </c>
      <c r="BB20" s="70">
        <f t="shared" si="13"/>
        <v>5.921052631578947E-2</v>
      </c>
      <c r="BC20" s="70">
        <f t="shared" si="13"/>
        <v>5.921052631578947E-2</v>
      </c>
      <c r="BD20" s="309">
        <f t="shared" si="13"/>
        <v>5.921052631578947E-2</v>
      </c>
      <c r="BE20" s="1647"/>
      <c r="BF20" s="1648"/>
      <c r="BG20" s="1648"/>
      <c r="BH20" s="1649"/>
    </row>
    <row r="21" spans="2:60">
      <c r="B21" s="1553"/>
      <c r="C21" s="1553"/>
      <c r="D21" s="1553"/>
      <c r="E21" s="1553"/>
      <c r="F21" s="1553"/>
      <c r="G21" s="1553"/>
      <c r="H21" s="239"/>
      <c r="I21" s="240"/>
      <c r="J21" s="240"/>
      <c r="K21" s="240"/>
      <c r="L21" s="240"/>
      <c r="M21" s="240"/>
      <c r="N21" s="240"/>
      <c r="O21" s="240"/>
    </row>
    <row r="22" spans="2:60">
      <c r="B22" s="240"/>
      <c r="C22" s="240"/>
      <c r="D22" s="1624"/>
      <c r="E22" s="1624"/>
      <c r="F22" s="1624"/>
      <c r="G22" s="1624"/>
      <c r="H22" s="1624"/>
      <c r="I22" s="1624"/>
      <c r="J22" s="1624"/>
      <c r="K22" s="1624"/>
      <c r="L22" s="1624"/>
      <c r="M22" s="1624"/>
      <c r="N22" s="1624"/>
      <c r="O22" s="1624"/>
    </row>
    <row r="23" spans="2:60" ht="15.6" customHeight="1">
      <c r="B23" s="77" t="s">
        <v>26</v>
      </c>
      <c r="C23" s="241">
        <v>44224</v>
      </c>
      <c r="D23" s="242"/>
      <c r="E23" s="1625" t="s">
        <v>50</v>
      </c>
      <c r="F23" s="1635" t="s">
        <v>612</v>
      </c>
      <c r="G23" s="1636"/>
      <c r="H23" s="1636"/>
      <c r="I23" s="1636"/>
      <c r="J23" s="1637"/>
      <c r="K23" s="243"/>
      <c r="L23" s="1633"/>
      <c r="M23" s="1633"/>
      <c r="N23" s="1633"/>
      <c r="O23" s="1634"/>
    </row>
    <row r="24" spans="2:60" ht="15.6">
      <c r="B24" s="240"/>
      <c r="C24" s="240"/>
      <c r="D24" s="243"/>
      <c r="E24" s="1625"/>
      <c r="F24" s="1638"/>
      <c r="G24" s="1639"/>
      <c r="H24" s="1639"/>
      <c r="I24" s="1639"/>
      <c r="J24" s="1640"/>
      <c r="K24" s="240"/>
      <c r="L24" s="240"/>
      <c r="M24" s="240"/>
      <c r="N24" s="240"/>
      <c r="O24" s="240"/>
    </row>
    <row r="25" spans="2:60" ht="15.6">
      <c r="B25" s="77" t="s">
        <v>49</v>
      </c>
      <c r="C25" s="80">
        <v>44581</v>
      </c>
      <c r="D25" s="240"/>
      <c r="E25" s="240"/>
      <c r="F25" s="240"/>
      <c r="K25" s="240"/>
      <c r="L25" s="240"/>
      <c r="M25" s="240"/>
      <c r="N25" s="240"/>
      <c r="O25" s="240"/>
    </row>
    <row r="26" spans="2:60">
      <c r="B26" s="240"/>
      <c r="C26" s="240"/>
      <c r="D26" s="240"/>
      <c r="E26" s="240"/>
      <c r="F26" s="240"/>
      <c r="K26" s="240"/>
      <c r="L26" s="240"/>
      <c r="M26" s="240"/>
      <c r="N26" s="240"/>
      <c r="O26" s="240"/>
    </row>
    <row r="27" spans="2:60">
      <c r="B27" s="606" t="s">
        <v>924</v>
      </c>
      <c r="C27" s="240"/>
      <c r="D27" s="240"/>
      <c r="E27" s="240"/>
      <c r="F27" s="240"/>
      <c r="G27" s="239"/>
      <c r="H27" s="239"/>
      <c r="I27" s="1632"/>
      <c r="J27" s="1632"/>
      <c r="K27" s="1632"/>
      <c r="L27" s="1632"/>
      <c r="M27" s="244"/>
      <c r="N27" s="244"/>
      <c r="O27" s="244"/>
    </row>
    <row r="28" spans="2:60">
      <c r="B28" s="240"/>
      <c r="C28" s="240"/>
      <c r="D28" s="240"/>
      <c r="E28" s="240"/>
      <c r="F28" s="240"/>
      <c r="G28" s="239"/>
      <c r="H28" s="239"/>
      <c r="I28" s="240"/>
      <c r="J28" s="240"/>
      <c r="K28" s="245"/>
      <c r="L28" s="240"/>
      <c r="M28" s="240"/>
      <c r="N28" s="240"/>
      <c r="O28" s="240"/>
    </row>
    <row r="29" spans="2:60">
      <c r="B29" s="240"/>
      <c r="C29" s="240"/>
      <c r="D29" s="240"/>
      <c r="E29" s="240"/>
      <c r="F29" s="240"/>
      <c r="G29" s="239"/>
      <c r="H29" s="239"/>
      <c r="I29" s="1632"/>
      <c r="J29" s="1632"/>
      <c r="K29" s="1632"/>
      <c r="L29" s="1632"/>
      <c r="M29" s="244"/>
      <c r="N29" s="244"/>
      <c r="O29" s="244"/>
    </row>
    <row r="30" spans="2:60">
      <c r="B30" s="240"/>
      <c r="C30" s="240"/>
      <c r="D30" s="240"/>
      <c r="E30" s="240"/>
      <c r="F30" s="240"/>
      <c r="G30" s="239"/>
      <c r="H30" s="239"/>
      <c r="I30" s="240"/>
      <c r="J30" s="240"/>
      <c r="K30" s="245"/>
      <c r="L30" s="240"/>
      <c r="M30" s="240"/>
      <c r="N30" s="240"/>
      <c r="O30" s="240"/>
    </row>
    <row r="31" spans="2:60">
      <c r="B31" s="240"/>
      <c r="C31" s="240"/>
      <c r="D31" s="240"/>
      <c r="E31" s="240"/>
      <c r="F31" s="240"/>
      <c r="G31" s="239"/>
      <c r="H31" s="239"/>
      <c r="I31" s="1632"/>
      <c r="J31" s="1632"/>
      <c r="K31" s="1632"/>
      <c r="L31" s="1632"/>
      <c r="M31" s="244"/>
      <c r="N31" s="244"/>
      <c r="O31" s="244"/>
    </row>
  </sheetData>
  <sheetProtection algorithmName="SHA-512" hashValue="p78+fwcdMTlIoftT4+s4h0RbwbzQ9sioJSVFaSuSMHmSqGmsIZmGahhcPFcHRfyqQnRjxk3k6Yd0eD6n4OyDeQ==" saltValue="jcJs99ZCH6O0nHgsZ/jalA==" spinCount="100000" sheet="1" objects="1" scenarios="1"/>
  <mergeCells count="71">
    <mergeCell ref="BE20:BH20"/>
    <mergeCell ref="BH13:BH15"/>
    <mergeCell ref="BG6:BH6"/>
    <mergeCell ref="AW7:BA7"/>
    <mergeCell ref="C8:D8"/>
    <mergeCell ref="BE12:BH12"/>
    <mergeCell ref="P13:W13"/>
    <mergeCell ref="X13:AE13"/>
    <mergeCell ref="AF13:AM13"/>
    <mergeCell ref="BB13:BB15"/>
    <mergeCell ref="BC13:BC15"/>
    <mergeCell ref="AN13:AU13"/>
    <mergeCell ref="T14:U14"/>
    <mergeCell ref="V14:W14"/>
    <mergeCell ref="X14:Y14"/>
    <mergeCell ref="D12:D15"/>
    <mergeCell ref="E12:E15"/>
    <mergeCell ref="C9:D9"/>
    <mergeCell ref="C10:D10"/>
    <mergeCell ref="BG13:BG15"/>
    <mergeCell ref="B2:B6"/>
    <mergeCell ref="C2:BF6"/>
    <mergeCell ref="AW13:AW15"/>
    <mergeCell ref="AX13:AX15"/>
    <mergeCell ref="AY13:AY15"/>
    <mergeCell ref="AZ13:AZ15"/>
    <mergeCell ref="BE13:BE15"/>
    <mergeCell ref="BF13:BF15"/>
    <mergeCell ref="BD13:BD15"/>
    <mergeCell ref="AB14:AC14"/>
    <mergeCell ref="BA13:BA15"/>
    <mergeCell ref="AV12:AV15"/>
    <mergeCell ref="AW12:AZ12"/>
    <mergeCell ref="BA12:BD12"/>
    <mergeCell ref="B12:B15"/>
    <mergeCell ref="C12:C15"/>
    <mergeCell ref="AX20:AZ20"/>
    <mergeCell ref="AD14:AE14"/>
    <mergeCell ref="AF14:AG14"/>
    <mergeCell ref="AH14:AI14"/>
    <mergeCell ref="AJ14:AK14"/>
    <mergeCell ref="AL14:AM14"/>
    <mergeCell ref="AN14:AO14"/>
    <mergeCell ref="AP14:AQ14"/>
    <mergeCell ref="AR14:AS14"/>
    <mergeCell ref="AT14:AU14"/>
    <mergeCell ref="B16:B19"/>
    <mergeCell ref="B20:AW20"/>
    <mergeCell ref="G12:G15"/>
    <mergeCell ref="F12:F15"/>
    <mergeCell ref="P12:AU12"/>
    <mergeCell ref="Z14:AA14"/>
    <mergeCell ref="P14:Q14"/>
    <mergeCell ref="R14:S14"/>
    <mergeCell ref="N12:N15"/>
    <mergeCell ref="O12:O15"/>
    <mergeCell ref="H12:H15"/>
    <mergeCell ref="I12:I15"/>
    <mergeCell ref="J12:J15"/>
    <mergeCell ref="K12:K15"/>
    <mergeCell ref="L12:L15"/>
    <mergeCell ref="M12:M15"/>
    <mergeCell ref="C16:C17"/>
    <mergeCell ref="I31:L31"/>
    <mergeCell ref="B21:G21"/>
    <mergeCell ref="D22:O22"/>
    <mergeCell ref="E23:E24"/>
    <mergeCell ref="L23:O23"/>
    <mergeCell ref="I27:L27"/>
    <mergeCell ref="I29:L29"/>
    <mergeCell ref="F23:J24"/>
  </mergeCells>
  <conditionalFormatting sqref="BA16:BD16 BA18:BD19">
    <cfRule type="cellIs" dxfId="66" priority="5" operator="greaterThan">
      <formula>1</formula>
    </cfRule>
    <cfRule type="cellIs" dxfId="65" priority="6" operator="between">
      <formula>0.8</formula>
      <formula>1</formula>
    </cfRule>
    <cfRule type="cellIs" dxfId="64" priority="7" operator="between">
      <formula>0.61</formula>
      <formula>0.79</formula>
    </cfRule>
    <cfRule type="cellIs" dxfId="63" priority="8" operator="between">
      <formula>0</formula>
      <formula>0.6</formula>
    </cfRule>
  </conditionalFormatting>
  <conditionalFormatting sqref="BA17:BD17">
    <cfRule type="cellIs" dxfId="62" priority="1" operator="greaterThan">
      <formula>1</formula>
    </cfRule>
    <cfRule type="cellIs" dxfId="61" priority="2" operator="between">
      <formula>0.8</formula>
      <formula>1</formula>
    </cfRule>
    <cfRule type="cellIs" dxfId="60" priority="3" operator="between">
      <formula>0.61</formula>
      <formula>0.79</formula>
    </cfRule>
    <cfRule type="cellIs" dxfId="59" priority="4" operator="between">
      <formula>0</formula>
      <formula>0.6</formula>
    </cfRule>
  </conditionalFormatting>
  <dataValidations count="1">
    <dataValidation allowBlank="1" showInputMessage="1" showErrorMessage="1" prompt="Transcriba de manera exacta el objetivo definido en la caracterización del proceso." sqref="C9:D9" xr:uid="{D3DE4E66-EC8D-4E75-B562-B10ED3B6018B}"/>
  </dataValidation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39451-CFE3-4BAA-BFE5-01A466BDA43D}">
  <sheetPr>
    <tabColor rgb="FF66FF33"/>
  </sheetPr>
  <dimension ref="B1:BI34"/>
  <sheetViews>
    <sheetView showGridLines="0" zoomScale="55" zoomScaleNormal="55" workbookViewId="0">
      <selection activeCell="C10" sqref="C10:D10"/>
    </sheetView>
  </sheetViews>
  <sheetFormatPr baseColWidth="10" defaultColWidth="17.33203125" defaultRowHeight="15" customHeight="1"/>
  <cols>
    <col min="1" max="1" width="4.33203125" style="135" customWidth="1"/>
    <col min="2" max="2" width="50.44140625" style="133" customWidth="1"/>
    <col min="3" max="3" width="31.44140625" style="133" customWidth="1"/>
    <col min="4" max="4" width="49.6640625" style="133" customWidth="1"/>
    <col min="5" max="6" width="27.5546875" style="133" customWidth="1"/>
    <col min="7" max="8" width="29.33203125" style="134" customWidth="1"/>
    <col min="9" max="9" width="36.44140625" style="133" customWidth="1"/>
    <col min="10" max="10" width="31.88671875" style="133" customWidth="1"/>
    <col min="11" max="11" width="55.88671875" style="133" customWidth="1"/>
    <col min="12" max="12" width="48.44140625" style="133" customWidth="1"/>
    <col min="13" max="14" width="28.5546875" style="133" customWidth="1"/>
    <col min="15" max="15" width="50" style="133" customWidth="1"/>
    <col min="16" max="47" width="15.88671875" style="135" customWidth="1"/>
    <col min="48" max="48" width="24.5546875" style="135" customWidth="1"/>
    <col min="49" max="49" width="22.88671875" style="135" customWidth="1"/>
    <col min="50" max="50" width="19.33203125" style="135" customWidth="1"/>
    <col min="51" max="51" width="18.44140625" style="135" customWidth="1"/>
    <col min="52" max="52" width="19.44140625" style="135" customWidth="1"/>
    <col min="53" max="53" width="23.33203125" style="135" customWidth="1"/>
    <col min="54" max="55" width="25.109375" style="135" customWidth="1"/>
    <col min="56" max="56" width="26.6640625" style="135" customWidth="1"/>
    <col min="57" max="57" width="26.33203125" style="135" customWidth="1"/>
    <col min="58" max="58" width="26.5546875" style="135" customWidth="1"/>
    <col min="59" max="59" width="26.33203125" style="135" customWidth="1"/>
    <col min="60" max="60" width="27.33203125" style="135" customWidth="1"/>
    <col min="61" max="16384" width="17.33203125" style="135"/>
  </cols>
  <sheetData>
    <row r="1" spans="2:61" ht="15.6" thickBot="1"/>
    <row r="2" spans="2:61" ht="15.6" customHeight="1">
      <c r="B2" s="1575" t="s">
        <v>686</v>
      </c>
      <c r="C2" s="1600" t="s">
        <v>118</v>
      </c>
      <c r="D2" s="1601"/>
      <c r="E2" s="1601"/>
      <c r="F2" s="1601"/>
      <c r="G2" s="1601"/>
      <c r="H2" s="1601"/>
      <c r="I2" s="1601"/>
      <c r="J2" s="1601"/>
      <c r="K2" s="1601"/>
      <c r="L2" s="1601"/>
      <c r="M2" s="1601"/>
      <c r="N2" s="1601"/>
      <c r="O2" s="1601"/>
      <c r="P2" s="1601"/>
      <c r="Q2" s="1601"/>
      <c r="R2" s="1601"/>
      <c r="S2" s="1601"/>
      <c r="T2" s="1601"/>
      <c r="U2" s="1601"/>
      <c r="V2" s="1601"/>
      <c r="W2" s="1601"/>
      <c r="X2" s="1601"/>
      <c r="Y2" s="1601"/>
      <c r="Z2" s="1601"/>
      <c r="AA2" s="1601"/>
      <c r="AB2" s="1601"/>
      <c r="AC2" s="1601"/>
      <c r="AD2" s="1601"/>
      <c r="AE2" s="1601"/>
      <c r="AF2" s="1601"/>
      <c r="AG2" s="1601"/>
      <c r="AH2" s="1601"/>
      <c r="AI2" s="1601"/>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2"/>
      <c r="BG2" s="230" t="s">
        <v>31</v>
      </c>
      <c r="BH2" s="231"/>
    </row>
    <row r="3" spans="2:61" ht="15.6" customHeight="1">
      <c r="B3" s="1576"/>
      <c r="C3" s="1603"/>
      <c r="D3" s="1604"/>
      <c r="E3" s="1604"/>
      <c r="F3" s="1604"/>
      <c r="G3" s="1604"/>
      <c r="H3" s="1604"/>
      <c r="I3" s="1604"/>
      <c r="J3" s="1604"/>
      <c r="K3" s="1604"/>
      <c r="L3" s="1604"/>
      <c r="M3" s="1604"/>
      <c r="N3" s="1604"/>
      <c r="O3" s="1604"/>
      <c r="P3" s="1604"/>
      <c r="Q3" s="1604"/>
      <c r="R3" s="1604"/>
      <c r="S3" s="1604"/>
      <c r="T3" s="1604"/>
      <c r="U3" s="1604"/>
      <c r="V3" s="1604"/>
      <c r="W3" s="1604"/>
      <c r="X3" s="1604"/>
      <c r="Y3" s="1604"/>
      <c r="Z3" s="1604"/>
      <c r="AA3" s="1604"/>
      <c r="AB3" s="1604"/>
      <c r="AC3" s="1604"/>
      <c r="AD3" s="1604"/>
      <c r="AE3" s="1604"/>
      <c r="AF3" s="1604"/>
      <c r="AG3" s="1604"/>
      <c r="AH3" s="1604"/>
      <c r="AI3" s="1604"/>
      <c r="AJ3" s="1604"/>
      <c r="AK3" s="1604"/>
      <c r="AL3" s="1604"/>
      <c r="AM3" s="1604"/>
      <c r="AN3" s="1604"/>
      <c r="AO3" s="1604"/>
      <c r="AP3" s="1604"/>
      <c r="AQ3" s="1604"/>
      <c r="AR3" s="1604"/>
      <c r="AS3" s="1604"/>
      <c r="AT3" s="1604"/>
      <c r="AU3" s="1604"/>
      <c r="AV3" s="1604"/>
      <c r="AW3" s="1604"/>
      <c r="AX3" s="1604"/>
      <c r="AY3" s="1604"/>
      <c r="AZ3" s="1604"/>
      <c r="BA3" s="1604"/>
      <c r="BB3" s="1604"/>
      <c r="BC3" s="1604"/>
      <c r="BD3" s="1604"/>
      <c r="BE3" s="1604"/>
      <c r="BF3" s="1605"/>
      <c r="BG3" s="209" t="s">
        <v>28</v>
      </c>
      <c r="BH3" s="28" t="s">
        <v>29</v>
      </c>
    </row>
    <row r="4" spans="2:61" ht="15" customHeight="1">
      <c r="B4" s="1576"/>
      <c r="C4" s="1603"/>
      <c r="D4" s="1604"/>
      <c r="E4" s="1604"/>
      <c r="F4" s="1604"/>
      <c r="G4" s="1604"/>
      <c r="H4" s="1604"/>
      <c r="I4" s="1604"/>
      <c r="J4" s="1604"/>
      <c r="K4" s="1604"/>
      <c r="L4" s="1604"/>
      <c r="M4" s="1604"/>
      <c r="N4" s="1604"/>
      <c r="O4" s="1604"/>
      <c r="P4" s="1604"/>
      <c r="Q4" s="1604"/>
      <c r="R4" s="1604"/>
      <c r="S4" s="1604"/>
      <c r="T4" s="1604"/>
      <c r="U4" s="1604"/>
      <c r="V4" s="1604"/>
      <c r="W4" s="1604"/>
      <c r="X4" s="1604"/>
      <c r="Y4" s="1604"/>
      <c r="Z4" s="1604"/>
      <c r="AA4" s="1604"/>
      <c r="AB4" s="1604"/>
      <c r="AC4" s="1604"/>
      <c r="AD4" s="1604"/>
      <c r="AE4" s="1604"/>
      <c r="AF4" s="1604"/>
      <c r="AG4" s="1604"/>
      <c r="AH4" s="1604"/>
      <c r="AI4" s="1604"/>
      <c r="AJ4" s="1604"/>
      <c r="AK4" s="1604"/>
      <c r="AL4" s="1604"/>
      <c r="AM4" s="1604"/>
      <c r="AN4" s="1604"/>
      <c r="AO4" s="1604"/>
      <c r="AP4" s="1604"/>
      <c r="AQ4" s="1604"/>
      <c r="AR4" s="1604"/>
      <c r="AS4" s="1604"/>
      <c r="AT4" s="1604"/>
      <c r="AU4" s="1604"/>
      <c r="AV4" s="1604"/>
      <c r="AW4" s="1604"/>
      <c r="AX4" s="1604"/>
      <c r="AY4" s="1604"/>
      <c r="AZ4" s="1604"/>
      <c r="BA4" s="1604"/>
      <c r="BB4" s="1604"/>
      <c r="BC4" s="1604"/>
      <c r="BD4" s="1604"/>
      <c r="BE4" s="1604"/>
      <c r="BF4" s="1605"/>
      <c r="BG4" s="210">
        <v>5</v>
      </c>
      <c r="BH4" s="30" t="s">
        <v>657</v>
      </c>
    </row>
    <row r="5" spans="2:61" ht="15.6" customHeight="1">
      <c r="B5" s="1576"/>
      <c r="C5" s="1603"/>
      <c r="D5" s="1604"/>
      <c r="E5" s="1604"/>
      <c r="F5" s="1604"/>
      <c r="G5" s="1604"/>
      <c r="H5" s="1604"/>
      <c r="I5" s="1604"/>
      <c r="J5" s="1604"/>
      <c r="K5" s="1604"/>
      <c r="L5" s="1604"/>
      <c r="M5" s="1604"/>
      <c r="N5" s="1604"/>
      <c r="O5" s="1604"/>
      <c r="P5" s="1604"/>
      <c r="Q5" s="1604"/>
      <c r="R5" s="1604"/>
      <c r="S5" s="1604"/>
      <c r="T5" s="1604"/>
      <c r="U5" s="1604"/>
      <c r="V5" s="1604"/>
      <c r="W5" s="1604"/>
      <c r="X5" s="1604"/>
      <c r="Y5" s="1604"/>
      <c r="Z5" s="1604"/>
      <c r="AA5" s="1604"/>
      <c r="AB5" s="1604"/>
      <c r="AC5" s="1604"/>
      <c r="AD5" s="1604"/>
      <c r="AE5" s="1604"/>
      <c r="AF5" s="1604"/>
      <c r="AG5" s="1604"/>
      <c r="AH5" s="1604"/>
      <c r="AI5" s="1604"/>
      <c r="AJ5" s="1604"/>
      <c r="AK5" s="1604"/>
      <c r="AL5" s="1604"/>
      <c r="AM5" s="1604"/>
      <c r="AN5" s="1604"/>
      <c r="AO5" s="1604"/>
      <c r="AP5" s="1604"/>
      <c r="AQ5" s="1604"/>
      <c r="AR5" s="1604"/>
      <c r="AS5" s="1604"/>
      <c r="AT5" s="1604"/>
      <c r="AU5" s="1604"/>
      <c r="AV5" s="1604"/>
      <c r="AW5" s="1604"/>
      <c r="AX5" s="1604"/>
      <c r="AY5" s="1604"/>
      <c r="AZ5" s="1604"/>
      <c r="BA5" s="1604"/>
      <c r="BB5" s="1604"/>
      <c r="BC5" s="1604"/>
      <c r="BD5" s="1604"/>
      <c r="BE5" s="1604"/>
      <c r="BF5" s="1605"/>
      <c r="BG5" s="211" t="s">
        <v>30</v>
      </c>
      <c r="BH5" s="212"/>
    </row>
    <row r="6" spans="2:61" ht="15.6" customHeight="1" thickBot="1">
      <c r="B6" s="1577"/>
      <c r="C6" s="1606"/>
      <c r="D6" s="1607"/>
      <c r="E6" s="1607"/>
      <c r="F6" s="1607"/>
      <c r="G6" s="1607"/>
      <c r="H6" s="1607"/>
      <c r="I6" s="1607"/>
      <c r="J6" s="1607"/>
      <c r="K6" s="1607"/>
      <c r="L6" s="1607"/>
      <c r="M6" s="1607"/>
      <c r="N6" s="1607"/>
      <c r="O6" s="1607"/>
      <c r="P6" s="1607"/>
      <c r="Q6" s="1607"/>
      <c r="R6" s="1607"/>
      <c r="S6" s="1607"/>
      <c r="T6" s="1607"/>
      <c r="U6" s="1607"/>
      <c r="V6" s="1607"/>
      <c r="W6" s="1607"/>
      <c r="X6" s="1607"/>
      <c r="Y6" s="1607"/>
      <c r="Z6" s="1607"/>
      <c r="AA6" s="1607"/>
      <c r="AB6" s="1607"/>
      <c r="AC6" s="1607"/>
      <c r="AD6" s="1607"/>
      <c r="AE6" s="1607"/>
      <c r="AF6" s="1607"/>
      <c r="AG6" s="1607"/>
      <c r="AH6" s="1607"/>
      <c r="AI6" s="1607"/>
      <c r="AJ6" s="1607"/>
      <c r="AK6" s="1607"/>
      <c r="AL6" s="1607"/>
      <c r="AM6" s="1607"/>
      <c r="AN6" s="1607"/>
      <c r="AO6" s="1607"/>
      <c r="AP6" s="1607"/>
      <c r="AQ6" s="1607"/>
      <c r="AR6" s="1607"/>
      <c r="AS6" s="1607"/>
      <c r="AT6" s="1607"/>
      <c r="AU6" s="1607"/>
      <c r="AV6" s="1607"/>
      <c r="AW6" s="1607"/>
      <c r="AX6" s="1607"/>
      <c r="AY6" s="1607"/>
      <c r="AZ6" s="1607"/>
      <c r="BA6" s="1607"/>
      <c r="BB6" s="1607"/>
      <c r="BC6" s="1607"/>
      <c r="BD6" s="1607"/>
      <c r="BE6" s="1607"/>
      <c r="BF6" s="1608"/>
      <c r="BG6" s="1566">
        <v>44306</v>
      </c>
      <c r="BH6" s="1567"/>
    </row>
    <row r="7" spans="2:61">
      <c r="B7" s="136"/>
      <c r="C7" s="136"/>
      <c r="D7" s="136"/>
      <c r="E7" s="136"/>
      <c r="F7" s="136"/>
      <c r="G7" s="137"/>
      <c r="H7" s="137"/>
      <c r="I7" s="136"/>
      <c r="J7" s="136"/>
      <c r="K7" s="136"/>
      <c r="L7" s="136"/>
      <c r="M7" s="136"/>
      <c r="N7" s="136"/>
      <c r="O7" s="136"/>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589"/>
      <c r="AX7" s="1633"/>
      <c r="AY7" s="1633"/>
      <c r="AZ7" s="1633"/>
      <c r="BA7" s="1591"/>
      <c r="BB7" s="232"/>
      <c r="BC7" s="232"/>
      <c r="BD7" s="232"/>
      <c r="BE7" s="138"/>
      <c r="BF7" s="138"/>
    </row>
    <row r="8" spans="2:61" ht="21">
      <c r="B8" s="213" t="s">
        <v>45</v>
      </c>
      <c r="C8" s="1651" t="s">
        <v>81</v>
      </c>
      <c r="D8" s="1651"/>
      <c r="E8" s="214"/>
      <c r="F8" s="214"/>
      <c r="G8" s="214"/>
      <c r="H8" s="214"/>
      <c r="I8" s="214"/>
      <c r="J8" s="214"/>
      <c r="K8" s="214"/>
      <c r="L8" s="214"/>
      <c r="M8" s="214"/>
      <c r="N8" s="214"/>
      <c r="O8" s="214"/>
      <c r="AW8" s="232"/>
      <c r="AX8" s="232"/>
      <c r="AY8" s="232"/>
      <c r="AZ8" s="232"/>
      <c r="BA8" s="232"/>
      <c r="BB8" s="232"/>
      <c r="BC8" s="232"/>
      <c r="BD8" s="232"/>
    </row>
    <row r="9" spans="2:61" ht="96.75" customHeight="1">
      <c r="B9" s="213" t="s">
        <v>34</v>
      </c>
      <c r="C9" s="1610" t="s">
        <v>357</v>
      </c>
      <c r="D9" s="1611"/>
      <c r="E9" s="214"/>
      <c r="F9" s="214"/>
      <c r="G9" s="214"/>
      <c r="H9" s="214"/>
      <c r="I9" s="214"/>
      <c r="J9" s="214"/>
      <c r="K9" s="214"/>
      <c r="L9" s="214"/>
      <c r="M9" s="214"/>
      <c r="N9" s="214"/>
      <c r="O9" s="214"/>
      <c r="AW9" s="232"/>
      <c r="AX9" s="232"/>
      <c r="AY9" s="232"/>
      <c r="AZ9" s="232"/>
      <c r="BA9" s="232"/>
      <c r="BB9" s="232"/>
      <c r="BC9" s="232"/>
      <c r="BD9" s="232"/>
    </row>
    <row r="10" spans="2:61" ht="24.6">
      <c r="B10" s="213" t="s">
        <v>101</v>
      </c>
      <c r="C10" s="1612">
        <v>2022</v>
      </c>
      <c r="D10" s="1613"/>
      <c r="E10" s="214"/>
      <c r="F10" s="214"/>
      <c r="G10" s="214"/>
      <c r="H10" s="214"/>
      <c r="I10" s="214"/>
      <c r="J10" s="214"/>
      <c r="K10" s="214"/>
      <c r="L10" s="214"/>
      <c r="M10" s="214"/>
      <c r="N10" s="214"/>
      <c r="O10" s="214"/>
      <c r="AW10" s="232"/>
      <c r="AX10" s="232"/>
      <c r="AY10" s="232"/>
      <c r="AZ10" s="232"/>
      <c r="BA10" s="232"/>
      <c r="BB10" s="232"/>
      <c r="BC10" s="232"/>
      <c r="BD10" s="232"/>
    </row>
    <row r="11" spans="2:61">
      <c r="B11" s="136"/>
      <c r="C11" s="136"/>
      <c r="D11" s="136"/>
      <c r="E11" s="136"/>
      <c r="F11" s="136"/>
      <c r="G11" s="137"/>
      <c r="H11" s="137"/>
      <c r="I11" s="136"/>
      <c r="J11" s="136"/>
      <c r="K11" s="136"/>
      <c r="L11" s="136"/>
      <c r="M11" s="136"/>
      <c r="N11" s="136"/>
      <c r="O11" s="136"/>
      <c r="AW11" s="232"/>
      <c r="AX11" s="232"/>
      <c r="AY11" s="232"/>
      <c r="AZ11" s="232"/>
      <c r="BA11" s="232"/>
      <c r="BB11" s="232"/>
      <c r="BC11" s="232"/>
      <c r="BD11" s="232"/>
    </row>
    <row r="12" spans="2:61" ht="28.95" customHeight="1">
      <c r="B12" s="1476" t="s">
        <v>0</v>
      </c>
      <c r="C12" s="1476" t="s">
        <v>52</v>
      </c>
      <c r="D12" s="1302" t="s">
        <v>711</v>
      </c>
      <c r="E12" s="1476" t="s">
        <v>61</v>
      </c>
      <c r="F12" s="1302" t="s">
        <v>682</v>
      </c>
      <c r="G12" s="1476" t="s">
        <v>58</v>
      </c>
      <c r="H12" s="1476" t="s">
        <v>25</v>
      </c>
      <c r="I12" s="1476" t="s">
        <v>60</v>
      </c>
      <c r="J12" s="1476" t="s">
        <v>39</v>
      </c>
      <c r="K12" s="1476" t="s">
        <v>36</v>
      </c>
      <c r="L12" s="1476" t="s">
        <v>20</v>
      </c>
      <c r="M12" s="1476" t="s">
        <v>51</v>
      </c>
      <c r="N12" s="1476" t="s">
        <v>40</v>
      </c>
      <c r="O12" s="1476" t="s">
        <v>42</v>
      </c>
      <c r="P12" s="1528" t="s">
        <v>112</v>
      </c>
      <c r="Q12" s="1528"/>
      <c r="R12" s="1528"/>
      <c r="S12" s="1528"/>
      <c r="T12" s="1528"/>
      <c r="U12" s="1528"/>
      <c r="V12" s="1528"/>
      <c r="W12" s="1528"/>
      <c r="X12" s="1528"/>
      <c r="Y12" s="1528"/>
      <c r="Z12" s="1528"/>
      <c r="AA12" s="1528"/>
      <c r="AB12" s="1528"/>
      <c r="AC12" s="1528"/>
      <c r="AD12" s="1528"/>
      <c r="AE12" s="1528"/>
      <c r="AF12" s="1528"/>
      <c r="AG12" s="1528"/>
      <c r="AH12" s="1528"/>
      <c r="AI12" s="1528"/>
      <c r="AJ12" s="1528"/>
      <c r="AK12" s="1528"/>
      <c r="AL12" s="1528"/>
      <c r="AM12" s="1528"/>
      <c r="AN12" s="1528"/>
      <c r="AO12" s="1528"/>
      <c r="AP12" s="1528"/>
      <c r="AQ12" s="1528"/>
      <c r="AR12" s="1528"/>
      <c r="AS12" s="1528"/>
      <c r="AT12" s="1528"/>
      <c r="AU12" s="1528"/>
      <c r="AV12" s="1592" t="s">
        <v>62</v>
      </c>
      <c r="AW12" s="1594" t="s">
        <v>683</v>
      </c>
      <c r="AX12" s="1595"/>
      <c r="AY12" s="1595"/>
      <c r="AZ12" s="1596"/>
      <c r="BA12" s="1583" t="s">
        <v>684</v>
      </c>
      <c r="BB12" s="1584"/>
      <c r="BC12" s="1584"/>
      <c r="BD12" s="1585"/>
      <c r="BE12" s="1618" t="s">
        <v>685</v>
      </c>
      <c r="BF12" s="1619"/>
      <c r="BG12" s="1619"/>
      <c r="BH12" s="1620"/>
    </row>
    <row r="13" spans="2:61" ht="15.6">
      <c r="B13" s="1476"/>
      <c r="C13" s="1476"/>
      <c r="D13" s="1302"/>
      <c r="E13" s="1476"/>
      <c r="F13" s="1302"/>
      <c r="G13" s="1476"/>
      <c r="H13" s="1476"/>
      <c r="I13" s="1476"/>
      <c r="J13" s="1476"/>
      <c r="K13" s="1476"/>
      <c r="L13" s="1476"/>
      <c r="M13" s="1476"/>
      <c r="N13" s="1476"/>
      <c r="O13" s="1476"/>
      <c r="P13" s="1593" t="s">
        <v>21</v>
      </c>
      <c r="Q13" s="1593"/>
      <c r="R13" s="1593"/>
      <c r="S13" s="1593"/>
      <c r="T13" s="1593"/>
      <c r="U13" s="1593"/>
      <c r="V13" s="1593"/>
      <c r="W13" s="1593"/>
      <c r="X13" s="1593" t="s">
        <v>22</v>
      </c>
      <c r="Y13" s="1593"/>
      <c r="Z13" s="1593"/>
      <c r="AA13" s="1593"/>
      <c r="AB13" s="1593"/>
      <c r="AC13" s="1593"/>
      <c r="AD13" s="1593"/>
      <c r="AE13" s="1593"/>
      <c r="AF13" s="1593" t="s">
        <v>23</v>
      </c>
      <c r="AG13" s="1593"/>
      <c r="AH13" s="1593"/>
      <c r="AI13" s="1593"/>
      <c r="AJ13" s="1593"/>
      <c r="AK13" s="1593"/>
      <c r="AL13" s="1593"/>
      <c r="AM13" s="1593"/>
      <c r="AN13" s="1593" t="s">
        <v>24</v>
      </c>
      <c r="AO13" s="1593"/>
      <c r="AP13" s="1593"/>
      <c r="AQ13" s="1593"/>
      <c r="AR13" s="1593"/>
      <c r="AS13" s="1593"/>
      <c r="AT13" s="1593"/>
      <c r="AU13" s="1593"/>
      <c r="AV13" s="1592"/>
      <c r="AW13" s="1597" t="s">
        <v>119</v>
      </c>
      <c r="AX13" s="1597" t="s">
        <v>22</v>
      </c>
      <c r="AY13" s="1597" t="s">
        <v>120</v>
      </c>
      <c r="AZ13" s="1597" t="s">
        <v>121</v>
      </c>
      <c r="BA13" s="1586" t="s">
        <v>119</v>
      </c>
      <c r="BB13" s="1586" t="s">
        <v>122</v>
      </c>
      <c r="BC13" s="1586" t="s">
        <v>123</v>
      </c>
      <c r="BD13" s="1586" t="s">
        <v>124</v>
      </c>
      <c r="BE13" s="1580" t="s">
        <v>21</v>
      </c>
      <c r="BF13" s="1580" t="s">
        <v>22</v>
      </c>
      <c r="BG13" s="1580" t="s">
        <v>23</v>
      </c>
      <c r="BH13" s="1580" t="s">
        <v>24</v>
      </c>
    </row>
    <row r="14" spans="2:61" ht="15.6">
      <c r="B14" s="1476"/>
      <c r="C14" s="1476"/>
      <c r="D14" s="1302"/>
      <c r="E14" s="1476"/>
      <c r="F14" s="1302"/>
      <c r="G14" s="1476"/>
      <c r="H14" s="1476"/>
      <c r="I14" s="1476"/>
      <c r="J14" s="1476"/>
      <c r="K14" s="1476"/>
      <c r="L14" s="1476"/>
      <c r="M14" s="1476"/>
      <c r="N14" s="1476"/>
      <c r="O14" s="1476"/>
      <c r="P14" s="1641" t="s">
        <v>5</v>
      </c>
      <c r="Q14" s="1641"/>
      <c r="R14" s="1641" t="s">
        <v>6</v>
      </c>
      <c r="S14" s="1641"/>
      <c r="T14" s="1641" t="s">
        <v>7</v>
      </c>
      <c r="U14" s="1641"/>
      <c r="V14" s="1528" t="s">
        <v>8</v>
      </c>
      <c r="W14" s="1528"/>
      <c r="X14" s="1641" t="s">
        <v>27</v>
      </c>
      <c r="Y14" s="1641"/>
      <c r="Z14" s="1641" t="s">
        <v>9</v>
      </c>
      <c r="AA14" s="1641"/>
      <c r="AB14" s="1641" t="s">
        <v>10</v>
      </c>
      <c r="AC14" s="1641"/>
      <c r="AD14" s="1528" t="s">
        <v>8</v>
      </c>
      <c r="AE14" s="1528"/>
      <c r="AF14" s="1641" t="s">
        <v>11</v>
      </c>
      <c r="AG14" s="1641"/>
      <c r="AH14" s="1641" t="s">
        <v>12</v>
      </c>
      <c r="AI14" s="1641"/>
      <c r="AJ14" s="1641" t="s">
        <v>13</v>
      </c>
      <c r="AK14" s="1641"/>
      <c r="AL14" s="1528" t="s">
        <v>8</v>
      </c>
      <c r="AM14" s="1528"/>
      <c r="AN14" s="1641" t="s">
        <v>14</v>
      </c>
      <c r="AO14" s="1641"/>
      <c r="AP14" s="1641" t="s">
        <v>15</v>
      </c>
      <c r="AQ14" s="1641"/>
      <c r="AR14" s="1641" t="s">
        <v>16</v>
      </c>
      <c r="AS14" s="1641"/>
      <c r="AT14" s="1528" t="s">
        <v>8</v>
      </c>
      <c r="AU14" s="1528"/>
      <c r="AV14" s="1592"/>
      <c r="AW14" s="1598"/>
      <c r="AX14" s="1598"/>
      <c r="AY14" s="1598"/>
      <c r="AZ14" s="1598"/>
      <c r="BA14" s="1587"/>
      <c r="BB14" s="1587"/>
      <c r="BC14" s="1587"/>
      <c r="BD14" s="1587"/>
      <c r="BE14" s="1581"/>
      <c r="BF14" s="1581"/>
      <c r="BG14" s="1581"/>
      <c r="BH14" s="1581"/>
    </row>
    <row r="15" spans="2:61" ht="18" customHeight="1">
      <c r="B15" s="1476"/>
      <c r="C15" s="1476"/>
      <c r="D15" s="1302"/>
      <c r="E15" s="1476"/>
      <c r="F15" s="1302"/>
      <c r="G15" s="1476"/>
      <c r="H15" s="1476"/>
      <c r="I15" s="1476"/>
      <c r="J15" s="1476"/>
      <c r="K15" s="1476"/>
      <c r="L15" s="1476"/>
      <c r="M15" s="1476"/>
      <c r="N15" s="1476"/>
      <c r="O15" s="1476"/>
      <c r="P15" s="233" t="s">
        <v>17</v>
      </c>
      <c r="Q15" s="234" t="s">
        <v>18</v>
      </c>
      <c r="R15" s="233" t="s">
        <v>17</v>
      </c>
      <c r="S15" s="234" t="s">
        <v>18</v>
      </c>
      <c r="T15" s="233" t="s">
        <v>17</v>
      </c>
      <c r="U15" s="234" t="s">
        <v>18</v>
      </c>
      <c r="V15" s="75" t="s">
        <v>17</v>
      </c>
      <c r="W15" s="76" t="s">
        <v>18</v>
      </c>
      <c r="X15" s="233" t="s">
        <v>17</v>
      </c>
      <c r="Y15" s="234" t="s">
        <v>18</v>
      </c>
      <c r="Z15" s="233" t="s">
        <v>17</v>
      </c>
      <c r="AA15" s="234" t="s">
        <v>18</v>
      </c>
      <c r="AB15" s="233" t="s">
        <v>17</v>
      </c>
      <c r="AC15" s="234" t="s">
        <v>18</v>
      </c>
      <c r="AD15" s="75" t="s">
        <v>17</v>
      </c>
      <c r="AE15" s="76" t="s">
        <v>18</v>
      </c>
      <c r="AF15" s="233" t="s">
        <v>17</v>
      </c>
      <c r="AG15" s="234" t="s">
        <v>18</v>
      </c>
      <c r="AH15" s="233" t="s">
        <v>17</v>
      </c>
      <c r="AI15" s="234" t="s">
        <v>18</v>
      </c>
      <c r="AJ15" s="233" t="s">
        <v>17</v>
      </c>
      <c r="AK15" s="234" t="s">
        <v>18</v>
      </c>
      <c r="AL15" s="75" t="s">
        <v>17</v>
      </c>
      <c r="AM15" s="76" t="s">
        <v>18</v>
      </c>
      <c r="AN15" s="233" t="s">
        <v>17</v>
      </c>
      <c r="AO15" s="234" t="s">
        <v>18</v>
      </c>
      <c r="AP15" s="233" t="s">
        <v>17</v>
      </c>
      <c r="AQ15" s="234" t="s">
        <v>18</v>
      </c>
      <c r="AR15" s="233" t="s">
        <v>17</v>
      </c>
      <c r="AS15" s="234" t="s">
        <v>18</v>
      </c>
      <c r="AT15" s="75" t="s">
        <v>17</v>
      </c>
      <c r="AU15" s="76" t="s">
        <v>18</v>
      </c>
      <c r="AV15" s="1592"/>
      <c r="AW15" s="1599"/>
      <c r="AX15" s="1599"/>
      <c r="AY15" s="1599"/>
      <c r="AZ15" s="1599"/>
      <c r="BA15" s="1588"/>
      <c r="BB15" s="1588"/>
      <c r="BC15" s="1588"/>
      <c r="BD15" s="1588"/>
      <c r="BE15" s="1582"/>
      <c r="BF15" s="1582"/>
      <c r="BG15" s="1582"/>
      <c r="BH15" s="1582"/>
    </row>
    <row r="16" spans="2:61" ht="76.5" customHeight="1">
      <c r="B16" s="1616"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616" t="str">
        <f>+'01-FR-03 POA INSTITUCIONAL'!C48</f>
        <v>4.1. Implementar el 100% de las acciones que impulsen el crecimiento del Modelo de Madurez de Transformación Digital de la Entidad, aplicando los principios , lineamientos y normas que lo enmarcan.</v>
      </c>
      <c r="D16" s="31" t="str">
        <f>+'01-FR-03 POA INSTITUCIONAL'!D48</f>
        <v>4.1.1 Implementar el 100 % de los proyectos de hoja de ruta del Plan Estratégico de Tecnología de la Información de tal forma que se optimicen los procesos de la Entidad</v>
      </c>
      <c r="E16" s="52">
        <f>+'01-FR-03 POA INSTITUCIONAL'!E48</f>
        <v>0.14000000000000001</v>
      </c>
      <c r="F16" s="311">
        <f>+'01-FR-03 POA INSTITUCIONAL'!F48</f>
        <v>1</v>
      </c>
      <c r="G16" s="160">
        <f>+'01-FR-03 POA INSTITUCIONAL'!L48</f>
        <v>0.4</v>
      </c>
      <c r="H16" s="140" t="str">
        <f>+'01-FR-03 POA INSTITUCIONAL'!G48</f>
        <v>S.I.</v>
      </c>
      <c r="I16" s="246" t="str">
        <f>+'01-FR-03 POA INSTITUCIONAL'!H48</f>
        <v>Porcentaje de proyectos implementados de acuerdo al plan de tecnologías de la Información</v>
      </c>
      <c r="J16" s="235" t="s">
        <v>333</v>
      </c>
      <c r="K16" s="235" t="s">
        <v>334</v>
      </c>
      <c r="L16" s="217" t="s">
        <v>335</v>
      </c>
      <c r="M16" s="247" t="s">
        <v>336</v>
      </c>
      <c r="N16" s="235" t="s">
        <v>337</v>
      </c>
      <c r="O16" s="82" t="str">
        <f>+'01-FR-03 POA INSTITUCIONAL'!J48</f>
        <v>Dirección de Tecnologías de la  Información y las Comunicaciones</v>
      </c>
      <c r="P16" s="999">
        <v>0.02</v>
      </c>
      <c r="Q16" s="999">
        <v>0.02</v>
      </c>
      <c r="R16" s="999">
        <v>0.02</v>
      </c>
      <c r="S16" s="999">
        <v>0.02</v>
      </c>
      <c r="T16" s="999">
        <v>0.03</v>
      </c>
      <c r="U16" s="999">
        <v>0.03</v>
      </c>
      <c r="V16" s="321">
        <f t="shared" ref="V16:W22" si="0">P16+R16+T16</f>
        <v>7.0000000000000007E-2</v>
      </c>
      <c r="W16" s="321">
        <f t="shared" si="0"/>
        <v>7.0000000000000007E-2</v>
      </c>
      <c r="X16" s="999">
        <v>0.04</v>
      </c>
      <c r="Y16" s="999"/>
      <c r="Z16" s="999">
        <v>0.04</v>
      </c>
      <c r="AA16" s="999"/>
      <c r="AB16" s="999">
        <v>0.05</v>
      </c>
      <c r="AC16" s="999"/>
      <c r="AD16" s="321">
        <f t="shared" ref="AD16:AE22" si="1">X16+Z16+AB16</f>
        <v>0.13</v>
      </c>
      <c r="AE16" s="321">
        <f t="shared" si="1"/>
        <v>0</v>
      </c>
      <c r="AF16" s="999">
        <v>0.05</v>
      </c>
      <c r="AG16" s="999"/>
      <c r="AH16" s="999">
        <v>0.04</v>
      </c>
      <c r="AI16" s="999"/>
      <c r="AJ16" s="999">
        <v>0.04</v>
      </c>
      <c r="AK16" s="999"/>
      <c r="AL16" s="321">
        <f t="shared" ref="AL16:AM22" si="2">AF16+AH16+AJ16</f>
        <v>0.13</v>
      </c>
      <c r="AM16" s="321">
        <f t="shared" si="2"/>
        <v>0</v>
      </c>
      <c r="AN16" s="999">
        <v>0.03</v>
      </c>
      <c r="AO16" s="999"/>
      <c r="AP16" s="999">
        <v>0.02</v>
      </c>
      <c r="AQ16" s="999"/>
      <c r="AR16" s="999">
        <v>0.02</v>
      </c>
      <c r="AS16" s="999"/>
      <c r="AT16" s="321">
        <f>AN16+AP16+AR16</f>
        <v>7.0000000000000007E-2</v>
      </c>
      <c r="AU16" s="321">
        <f>AO16+AQ16+AS16</f>
        <v>0</v>
      </c>
      <c r="AV16" s="321">
        <f>V16+AD16+AL16+AT16</f>
        <v>0.4</v>
      </c>
      <c r="AW16" s="65">
        <f t="shared" ref="AW16:AW22" si="3">+W16</f>
        <v>7.0000000000000007E-2</v>
      </c>
      <c r="AX16" s="1062">
        <f t="shared" ref="AX16:AX22" si="4">+W16+AE16</f>
        <v>7.0000000000000007E-2</v>
      </c>
      <c r="AY16" s="1062">
        <f t="shared" ref="AY16:AY22" si="5">+W16+AE16+AM16</f>
        <v>7.0000000000000007E-2</v>
      </c>
      <c r="AZ16" s="1062">
        <f t="shared" ref="AZ16:AZ22" si="6">+W16+AE16+AM16+AU16</f>
        <v>7.0000000000000007E-2</v>
      </c>
      <c r="BA16" s="375">
        <f>IF(AND(AW16&gt;0,$AV16&gt;0),AW16/$AV16,0)</f>
        <v>0.17500000000000002</v>
      </c>
      <c r="BB16" s="376">
        <f t="shared" ref="BB16:BD22" si="7">IF(AND(AX16&gt;0,$AV16&gt;0),AX16/$AV16,0)</f>
        <v>0.17500000000000002</v>
      </c>
      <c r="BC16" s="376">
        <f t="shared" si="7"/>
        <v>0.17500000000000002</v>
      </c>
      <c r="BD16" s="376">
        <f t="shared" si="7"/>
        <v>0.17500000000000002</v>
      </c>
      <c r="BE16" s="312">
        <f>(IF(AND(AW16&gt;0,$F16&gt;0),AW16/$F16,0))</f>
        <v>7.0000000000000007E-2</v>
      </c>
      <c r="BF16" s="1073">
        <f t="shared" ref="BF16:BH22" si="8">(IF(AND(AX16&gt;0,$F16&gt;0),AX16/$F16,0))</f>
        <v>7.0000000000000007E-2</v>
      </c>
      <c r="BG16" s="1073">
        <f t="shared" si="8"/>
        <v>7.0000000000000007E-2</v>
      </c>
      <c r="BH16" s="1073">
        <f t="shared" si="8"/>
        <v>7.0000000000000007E-2</v>
      </c>
      <c r="BI16" s="313"/>
    </row>
    <row r="17" spans="2:60" ht="84.75" customHeight="1">
      <c r="B17" s="1617"/>
      <c r="C17" s="1617"/>
      <c r="D17" s="31" t="str">
        <f>+'01-FR-03 POA INSTITUCIONAL'!D49</f>
        <v>4.1.2 Ejecutar en un 100 % las actividades programadas en el plan de Seguridad de la Información, garantizando la disponibilidad, confiabilidad e integridad de los activos de información</v>
      </c>
      <c r="E17" s="52">
        <f>+'01-FR-03 POA INSTITUCIONAL'!E49</f>
        <v>0.14000000000000001</v>
      </c>
      <c r="F17" s="311">
        <f>+'01-FR-03 POA INSTITUCIONAL'!F49</f>
        <v>1</v>
      </c>
      <c r="G17" s="160">
        <f>+'01-FR-03 POA INSTITUCIONAL'!L49</f>
        <v>0.4</v>
      </c>
      <c r="H17" s="140" t="str">
        <f>+'01-FR-03 POA INSTITUCIONAL'!G49</f>
        <v>S.I.</v>
      </c>
      <c r="I17" s="246" t="str">
        <f>+'01-FR-03 POA INSTITUCIONAL'!H49</f>
        <v>Porcentaje de actividades ejecutadas de acuerdo al plan de Seguridad de información</v>
      </c>
      <c r="J17" s="235" t="s">
        <v>338</v>
      </c>
      <c r="K17" s="235" t="s">
        <v>339</v>
      </c>
      <c r="L17" s="217" t="s">
        <v>340</v>
      </c>
      <c r="M17" s="247" t="s">
        <v>336</v>
      </c>
      <c r="N17" s="235" t="s">
        <v>341</v>
      </c>
      <c r="O17" s="444" t="str">
        <f>+'01-FR-03 POA INSTITUCIONAL'!J49</f>
        <v>Dirección de Tecnologías de la  Información y las Comunicaciones</v>
      </c>
      <c r="P17" s="999">
        <v>0.02</v>
      </c>
      <c r="Q17" s="999">
        <v>0.02</v>
      </c>
      <c r="R17" s="999">
        <v>0.02</v>
      </c>
      <c r="S17" s="999">
        <v>0.02</v>
      </c>
      <c r="T17" s="999">
        <v>0.03</v>
      </c>
      <c r="U17" s="999">
        <v>0.03</v>
      </c>
      <c r="V17" s="321">
        <f t="shared" si="0"/>
        <v>7.0000000000000007E-2</v>
      </c>
      <c r="W17" s="321">
        <f t="shared" si="0"/>
        <v>7.0000000000000007E-2</v>
      </c>
      <c r="X17" s="999">
        <v>0.04</v>
      </c>
      <c r="Y17" s="999"/>
      <c r="Z17" s="999">
        <v>0.04</v>
      </c>
      <c r="AA17" s="999"/>
      <c r="AB17" s="999">
        <v>0.05</v>
      </c>
      <c r="AC17" s="999"/>
      <c r="AD17" s="321">
        <f t="shared" si="1"/>
        <v>0.13</v>
      </c>
      <c r="AE17" s="321">
        <f t="shared" si="1"/>
        <v>0</v>
      </c>
      <c r="AF17" s="999">
        <v>0.05</v>
      </c>
      <c r="AG17" s="999"/>
      <c r="AH17" s="999">
        <v>0.04</v>
      </c>
      <c r="AI17" s="999"/>
      <c r="AJ17" s="999">
        <v>0.04</v>
      </c>
      <c r="AK17" s="999"/>
      <c r="AL17" s="321">
        <f t="shared" si="2"/>
        <v>0.13</v>
      </c>
      <c r="AM17" s="321">
        <f t="shared" si="2"/>
        <v>0</v>
      </c>
      <c r="AN17" s="999">
        <v>0.03</v>
      </c>
      <c r="AO17" s="999"/>
      <c r="AP17" s="999">
        <v>0.02</v>
      </c>
      <c r="AQ17" s="999"/>
      <c r="AR17" s="999">
        <v>0.02</v>
      </c>
      <c r="AS17" s="999"/>
      <c r="AT17" s="321">
        <f t="shared" ref="AT17:AU22" si="9">AN17+AP17+AR17</f>
        <v>7.0000000000000007E-2</v>
      </c>
      <c r="AU17" s="321">
        <f t="shared" si="9"/>
        <v>0</v>
      </c>
      <c r="AV17" s="321">
        <f t="shared" ref="AV17:AV22" si="10">V17+AD17+AL17+AT17</f>
        <v>0.4</v>
      </c>
      <c r="AW17" s="65">
        <f t="shared" si="3"/>
        <v>7.0000000000000007E-2</v>
      </c>
      <c r="AX17" s="1062">
        <f t="shared" si="4"/>
        <v>7.0000000000000007E-2</v>
      </c>
      <c r="AY17" s="1062">
        <f t="shared" si="5"/>
        <v>7.0000000000000007E-2</v>
      </c>
      <c r="AZ17" s="1062">
        <f t="shared" si="6"/>
        <v>7.0000000000000007E-2</v>
      </c>
      <c r="BA17" s="319">
        <f t="shared" ref="BA17:BA22" si="11">IF(AND(AW17&gt;0,AV17&gt;0),AW17/AV17,0)</f>
        <v>0.17500000000000002</v>
      </c>
      <c r="BB17" s="376">
        <f t="shared" si="7"/>
        <v>0.17500000000000002</v>
      </c>
      <c r="BC17" s="376">
        <f t="shared" si="7"/>
        <v>0.17500000000000002</v>
      </c>
      <c r="BD17" s="376">
        <f t="shared" si="7"/>
        <v>0.17500000000000002</v>
      </c>
      <c r="BE17" s="312">
        <f t="shared" ref="BE17:BE22" si="12">(IF(AND(AW17&gt;0,$F17&gt;0),AW17/$F17,0))</f>
        <v>7.0000000000000007E-2</v>
      </c>
      <c r="BF17" s="1073">
        <f t="shared" si="8"/>
        <v>7.0000000000000007E-2</v>
      </c>
      <c r="BG17" s="1073">
        <f t="shared" si="8"/>
        <v>7.0000000000000007E-2</v>
      </c>
      <c r="BH17" s="1073">
        <f t="shared" si="8"/>
        <v>7.0000000000000007E-2</v>
      </c>
    </row>
    <row r="18" spans="2:60" ht="107.25" customHeight="1">
      <c r="B18" s="1617"/>
      <c r="C18" s="1617"/>
      <c r="D18" s="31" t="str">
        <f>+'01-FR-03 POA INSTITUCIONAL'!D50</f>
        <v>4.1.3 Realizar el 100% de las actividades definidas en la estrategia de servicios ciudadanos digitales, que permitan acceder a los tramites y servicios de la Entidad a través de canales digitales rápidos, fiables y seguros</v>
      </c>
      <c r="E18" s="52">
        <f>+'01-FR-03 POA INSTITUCIONAL'!E50</f>
        <v>0.14000000000000001</v>
      </c>
      <c r="F18" s="311">
        <f>+'01-FR-03 POA INSTITUCIONAL'!F50</f>
        <v>1</v>
      </c>
      <c r="G18" s="160">
        <f>+'01-FR-03 POA INSTITUCIONAL'!L50</f>
        <v>0.4</v>
      </c>
      <c r="H18" s="140" t="str">
        <f>+'01-FR-03 POA INSTITUCIONAL'!G50</f>
        <v>S.I.</v>
      </c>
      <c r="I18" s="246" t="str">
        <f>+'01-FR-03 POA INSTITUCIONAL'!H50</f>
        <v xml:space="preserve">Porcentaje de actividades ejecutadas  en la estrategia de servicios ciudadanos digitales </v>
      </c>
      <c r="J18" s="235" t="s">
        <v>338</v>
      </c>
      <c r="K18" s="235" t="s">
        <v>342</v>
      </c>
      <c r="L18" s="217" t="s">
        <v>343</v>
      </c>
      <c r="M18" s="247" t="s">
        <v>336</v>
      </c>
      <c r="N18" s="235" t="s">
        <v>341</v>
      </c>
      <c r="O18" s="444" t="str">
        <f>+'01-FR-03 POA INSTITUCIONAL'!J50</f>
        <v>Dirección de Tecnologías de la  Información y las Comunicaciones</v>
      </c>
      <c r="P18" s="999">
        <v>0.02</v>
      </c>
      <c r="Q18" s="999">
        <v>0.02</v>
      </c>
      <c r="R18" s="999">
        <v>0.02</v>
      </c>
      <c r="S18" s="999">
        <v>0.02</v>
      </c>
      <c r="T18" s="999">
        <v>0.03</v>
      </c>
      <c r="U18" s="999">
        <v>0.03</v>
      </c>
      <c r="V18" s="321">
        <f t="shared" si="0"/>
        <v>7.0000000000000007E-2</v>
      </c>
      <c r="W18" s="321">
        <f t="shared" si="0"/>
        <v>7.0000000000000007E-2</v>
      </c>
      <c r="X18" s="999">
        <v>0.04</v>
      </c>
      <c r="Y18" s="999"/>
      <c r="Z18" s="999">
        <v>0.04</v>
      </c>
      <c r="AA18" s="999"/>
      <c r="AB18" s="999">
        <v>0.05</v>
      </c>
      <c r="AC18" s="999"/>
      <c r="AD18" s="321">
        <f t="shared" si="1"/>
        <v>0.13</v>
      </c>
      <c r="AE18" s="321">
        <f t="shared" si="1"/>
        <v>0</v>
      </c>
      <c r="AF18" s="999">
        <v>0.05</v>
      </c>
      <c r="AG18" s="999"/>
      <c r="AH18" s="999">
        <v>0.04</v>
      </c>
      <c r="AI18" s="999"/>
      <c r="AJ18" s="999">
        <v>0.04</v>
      </c>
      <c r="AK18" s="999"/>
      <c r="AL18" s="321">
        <f t="shared" si="2"/>
        <v>0.13</v>
      </c>
      <c r="AM18" s="321">
        <f t="shared" si="2"/>
        <v>0</v>
      </c>
      <c r="AN18" s="999">
        <v>0.03</v>
      </c>
      <c r="AO18" s="999"/>
      <c r="AP18" s="999">
        <v>0.02</v>
      </c>
      <c r="AQ18" s="999"/>
      <c r="AR18" s="999">
        <v>0.02</v>
      </c>
      <c r="AS18" s="999"/>
      <c r="AT18" s="321">
        <f t="shared" si="9"/>
        <v>7.0000000000000007E-2</v>
      </c>
      <c r="AU18" s="321">
        <f t="shared" si="9"/>
        <v>0</v>
      </c>
      <c r="AV18" s="321">
        <f t="shared" si="10"/>
        <v>0.4</v>
      </c>
      <c r="AW18" s="65">
        <f t="shared" si="3"/>
        <v>7.0000000000000007E-2</v>
      </c>
      <c r="AX18" s="1062">
        <f t="shared" si="4"/>
        <v>7.0000000000000007E-2</v>
      </c>
      <c r="AY18" s="1062">
        <f t="shared" si="5"/>
        <v>7.0000000000000007E-2</v>
      </c>
      <c r="AZ18" s="1062">
        <f t="shared" si="6"/>
        <v>7.0000000000000007E-2</v>
      </c>
      <c r="BA18" s="319">
        <f t="shared" si="11"/>
        <v>0.17500000000000002</v>
      </c>
      <c r="BB18" s="376">
        <f t="shared" si="7"/>
        <v>0.17500000000000002</v>
      </c>
      <c r="BC18" s="376">
        <f t="shared" si="7"/>
        <v>0.17500000000000002</v>
      </c>
      <c r="BD18" s="376">
        <f t="shared" si="7"/>
        <v>0.17500000000000002</v>
      </c>
      <c r="BE18" s="312">
        <f t="shared" si="12"/>
        <v>7.0000000000000007E-2</v>
      </c>
      <c r="BF18" s="1073">
        <f t="shared" si="8"/>
        <v>7.0000000000000007E-2</v>
      </c>
      <c r="BG18" s="1073">
        <f t="shared" si="8"/>
        <v>7.0000000000000007E-2</v>
      </c>
      <c r="BH18" s="1073">
        <f t="shared" si="8"/>
        <v>7.0000000000000007E-2</v>
      </c>
    </row>
    <row r="19" spans="2:60" ht="80.25" customHeight="1">
      <c r="B19" s="1617"/>
      <c r="C19" s="1617"/>
      <c r="D19" s="31" t="str">
        <f>+'01-FR-03 POA INSTITUCIONAL'!D51</f>
        <v>4.1.4 Implementar en un 100% los lineamientos que adopte la Entidad para mejorar la gestión de datos que facilite la toma de decisiones</v>
      </c>
      <c r="E19" s="52">
        <f>+'01-FR-03 POA INSTITUCIONAL'!E51</f>
        <v>0.14000000000000001</v>
      </c>
      <c r="F19" s="311">
        <f>+'01-FR-03 POA INSTITUCIONAL'!F51</f>
        <v>1</v>
      </c>
      <c r="G19" s="160">
        <f>+'01-FR-03 POA INSTITUCIONAL'!L51</f>
        <v>0.4</v>
      </c>
      <c r="H19" s="140" t="str">
        <f>+'01-FR-03 POA INSTITUCIONAL'!G51</f>
        <v>S.I.</v>
      </c>
      <c r="I19" s="246" t="str">
        <f>+'01-FR-03 POA INSTITUCIONAL'!H51</f>
        <v>Porcentaje de lineamientos adoptados  en la estrategia de gestión de datos</v>
      </c>
      <c r="J19" s="235" t="s">
        <v>344</v>
      </c>
      <c r="K19" s="235" t="s">
        <v>342</v>
      </c>
      <c r="L19" s="217" t="s">
        <v>345</v>
      </c>
      <c r="M19" s="247" t="s">
        <v>336</v>
      </c>
      <c r="N19" s="235" t="s">
        <v>341</v>
      </c>
      <c r="O19" s="444" t="str">
        <f>+'01-FR-03 POA INSTITUCIONAL'!J51</f>
        <v>Dirección de Tecnologías de la  Información y las Comunicaciones</v>
      </c>
      <c r="P19" s="999">
        <v>0.02</v>
      </c>
      <c r="Q19" s="999">
        <v>0</v>
      </c>
      <c r="R19" s="999">
        <v>0.02</v>
      </c>
      <c r="S19" s="999">
        <v>0.04</v>
      </c>
      <c r="T19" s="999">
        <v>0.03</v>
      </c>
      <c r="U19" s="999">
        <v>0.03</v>
      </c>
      <c r="V19" s="321">
        <f t="shared" si="0"/>
        <v>7.0000000000000007E-2</v>
      </c>
      <c r="W19" s="321">
        <f t="shared" si="0"/>
        <v>7.0000000000000007E-2</v>
      </c>
      <c r="X19" s="999">
        <v>0.04</v>
      </c>
      <c r="Y19" s="999"/>
      <c r="Z19" s="999">
        <v>0.04</v>
      </c>
      <c r="AA19" s="999"/>
      <c r="AB19" s="999">
        <v>0.05</v>
      </c>
      <c r="AC19" s="999"/>
      <c r="AD19" s="321">
        <f t="shared" si="1"/>
        <v>0.13</v>
      </c>
      <c r="AE19" s="321">
        <f t="shared" si="1"/>
        <v>0</v>
      </c>
      <c r="AF19" s="999">
        <v>0.05</v>
      </c>
      <c r="AG19" s="999"/>
      <c r="AH19" s="999">
        <v>0.04</v>
      </c>
      <c r="AI19" s="999"/>
      <c r="AJ19" s="999">
        <v>0.04</v>
      </c>
      <c r="AK19" s="999"/>
      <c r="AL19" s="321">
        <f t="shared" si="2"/>
        <v>0.13</v>
      </c>
      <c r="AM19" s="321">
        <f t="shared" si="2"/>
        <v>0</v>
      </c>
      <c r="AN19" s="999">
        <v>0.03</v>
      </c>
      <c r="AO19" s="999"/>
      <c r="AP19" s="999">
        <v>0.02</v>
      </c>
      <c r="AQ19" s="999"/>
      <c r="AR19" s="999">
        <v>0.02</v>
      </c>
      <c r="AS19" s="999"/>
      <c r="AT19" s="321">
        <f t="shared" si="9"/>
        <v>7.0000000000000007E-2</v>
      </c>
      <c r="AU19" s="321">
        <f t="shared" si="9"/>
        <v>0</v>
      </c>
      <c r="AV19" s="321">
        <f t="shared" si="10"/>
        <v>0.4</v>
      </c>
      <c r="AW19" s="65">
        <f t="shared" si="3"/>
        <v>7.0000000000000007E-2</v>
      </c>
      <c r="AX19" s="1062">
        <f t="shared" si="4"/>
        <v>7.0000000000000007E-2</v>
      </c>
      <c r="AY19" s="1062">
        <f t="shared" si="5"/>
        <v>7.0000000000000007E-2</v>
      </c>
      <c r="AZ19" s="1062">
        <f t="shared" si="6"/>
        <v>7.0000000000000007E-2</v>
      </c>
      <c r="BA19" s="319">
        <f t="shared" si="11"/>
        <v>0.17500000000000002</v>
      </c>
      <c r="BB19" s="376">
        <f t="shared" si="7"/>
        <v>0.17500000000000002</v>
      </c>
      <c r="BC19" s="376">
        <f t="shared" si="7"/>
        <v>0.17500000000000002</v>
      </c>
      <c r="BD19" s="376">
        <f t="shared" si="7"/>
        <v>0.17500000000000002</v>
      </c>
      <c r="BE19" s="312">
        <f t="shared" si="12"/>
        <v>7.0000000000000007E-2</v>
      </c>
      <c r="BF19" s="1073">
        <f t="shared" si="8"/>
        <v>7.0000000000000007E-2</v>
      </c>
      <c r="BG19" s="1073">
        <f t="shared" si="8"/>
        <v>7.0000000000000007E-2</v>
      </c>
      <c r="BH19" s="1073">
        <f t="shared" si="8"/>
        <v>7.0000000000000007E-2</v>
      </c>
    </row>
    <row r="20" spans="2:60" ht="88.5" customHeight="1">
      <c r="B20" s="1617"/>
      <c r="C20" s="1617"/>
      <c r="D20" s="31" t="str">
        <f>+'01-FR-03 POA INSTITUCIONAL'!D52</f>
        <v>4.1.5 Desarrollar el 100% de los requerimientos prioritarios a Sistemas de Información y de apoyo que garanticen el óptimo desempeño de la gestión de los procesos en la Entidad</v>
      </c>
      <c r="E20" s="52">
        <f>+'01-FR-03 POA INSTITUCIONAL'!E52</f>
        <v>0.14000000000000001</v>
      </c>
      <c r="F20" s="311">
        <f>+'01-FR-03 POA INSTITUCIONAL'!F52</f>
        <v>1</v>
      </c>
      <c r="G20" s="160">
        <f>+'01-FR-03 POA INSTITUCIONAL'!L52</f>
        <v>0.4</v>
      </c>
      <c r="H20" s="140" t="str">
        <f>+'01-FR-03 POA INSTITUCIONAL'!G52</f>
        <v>S.I.</v>
      </c>
      <c r="I20" s="246" t="str">
        <f>+'01-FR-03 POA INSTITUCIONAL'!H52</f>
        <v>Cantidad de requerimientos prioritarios desarrollados para los sistemas información</v>
      </c>
      <c r="J20" s="235" t="s">
        <v>358</v>
      </c>
      <c r="K20" s="235" t="s">
        <v>346</v>
      </c>
      <c r="L20" s="217" t="s">
        <v>347</v>
      </c>
      <c r="M20" s="247" t="s">
        <v>336</v>
      </c>
      <c r="N20" s="235" t="s">
        <v>341</v>
      </c>
      <c r="O20" s="444" t="str">
        <f>+'01-FR-03 POA INSTITUCIONAL'!J52</f>
        <v>Dirección de Tecnologías de la  Información y las Comunicaciones</v>
      </c>
      <c r="P20" s="999">
        <v>0.02</v>
      </c>
      <c r="Q20" s="999">
        <v>0.02</v>
      </c>
      <c r="R20" s="999">
        <v>0.02</v>
      </c>
      <c r="S20" s="999">
        <v>0.02</v>
      </c>
      <c r="T20" s="999">
        <v>0.03</v>
      </c>
      <c r="U20" s="999">
        <v>0.03</v>
      </c>
      <c r="V20" s="321">
        <f t="shared" si="0"/>
        <v>7.0000000000000007E-2</v>
      </c>
      <c r="W20" s="321">
        <f t="shared" si="0"/>
        <v>7.0000000000000007E-2</v>
      </c>
      <c r="X20" s="999">
        <v>0.04</v>
      </c>
      <c r="Y20" s="999"/>
      <c r="Z20" s="999">
        <v>0.04</v>
      </c>
      <c r="AA20" s="999"/>
      <c r="AB20" s="999">
        <v>0.05</v>
      </c>
      <c r="AC20" s="999"/>
      <c r="AD20" s="321">
        <f t="shared" si="1"/>
        <v>0.13</v>
      </c>
      <c r="AE20" s="321">
        <f t="shared" si="1"/>
        <v>0</v>
      </c>
      <c r="AF20" s="999">
        <v>0.05</v>
      </c>
      <c r="AG20" s="999"/>
      <c r="AH20" s="999">
        <v>0.04</v>
      </c>
      <c r="AI20" s="999"/>
      <c r="AJ20" s="999">
        <v>0.04</v>
      </c>
      <c r="AK20" s="999"/>
      <c r="AL20" s="321">
        <f t="shared" si="2"/>
        <v>0.13</v>
      </c>
      <c r="AM20" s="321">
        <f t="shared" si="2"/>
        <v>0</v>
      </c>
      <c r="AN20" s="999">
        <v>0.03</v>
      </c>
      <c r="AO20" s="999"/>
      <c r="AP20" s="999">
        <v>0.02</v>
      </c>
      <c r="AQ20" s="999"/>
      <c r="AR20" s="999">
        <v>0.02</v>
      </c>
      <c r="AS20" s="999"/>
      <c r="AT20" s="321">
        <f t="shared" si="9"/>
        <v>7.0000000000000007E-2</v>
      </c>
      <c r="AU20" s="321">
        <f t="shared" si="9"/>
        <v>0</v>
      </c>
      <c r="AV20" s="321">
        <f t="shared" si="10"/>
        <v>0.4</v>
      </c>
      <c r="AW20" s="65">
        <f t="shared" si="3"/>
        <v>7.0000000000000007E-2</v>
      </c>
      <c r="AX20" s="1062">
        <f t="shared" si="4"/>
        <v>7.0000000000000007E-2</v>
      </c>
      <c r="AY20" s="1062">
        <f t="shared" si="5"/>
        <v>7.0000000000000007E-2</v>
      </c>
      <c r="AZ20" s="1062">
        <f t="shared" si="6"/>
        <v>7.0000000000000007E-2</v>
      </c>
      <c r="BA20" s="319">
        <f t="shared" si="11"/>
        <v>0.17500000000000002</v>
      </c>
      <c r="BB20" s="376">
        <f t="shared" si="7"/>
        <v>0.17500000000000002</v>
      </c>
      <c r="BC20" s="376">
        <f t="shared" si="7"/>
        <v>0.17500000000000002</v>
      </c>
      <c r="BD20" s="376">
        <f t="shared" si="7"/>
        <v>0.17500000000000002</v>
      </c>
      <c r="BE20" s="312">
        <f t="shared" si="12"/>
        <v>7.0000000000000007E-2</v>
      </c>
      <c r="BF20" s="1073">
        <f t="shared" si="8"/>
        <v>7.0000000000000007E-2</v>
      </c>
      <c r="BG20" s="1073">
        <f t="shared" si="8"/>
        <v>7.0000000000000007E-2</v>
      </c>
      <c r="BH20" s="1073">
        <f t="shared" si="8"/>
        <v>7.0000000000000007E-2</v>
      </c>
    </row>
    <row r="21" spans="2:60" ht="91.5" customHeight="1">
      <c r="B21" s="1617"/>
      <c r="C21" s="1617"/>
      <c r="D21" s="31" t="str">
        <f>+'01-FR-03 POA INSTITUCIONAL'!D53</f>
        <v>4.1.6 Implementar en un 100% las actividades programadas en el plan de uso y apropiación de las TIC, para una óptima gestión institucional</v>
      </c>
      <c r="E21" s="52">
        <f>+'01-FR-03 POA INSTITUCIONAL'!E53</f>
        <v>0.15</v>
      </c>
      <c r="F21" s="311">
        <f>+'01-FR-03 POA INSTITUCIONAL'!F53</f>
        <v>1</v>
      </c>
      <c r="G21" s="160">
        <f>+'01-FR-03 POA INSTITUCIONAL'!L53</f>
        <v>0.4</v>
      </c>
      <c r="H21" s="140" t="str">
        <f>+'01-FR-03 POA INSTITUCIONAL'!G53</f>
        <v>S.I.</v>
      </c>
      <c r="I21" s="246" t="str">
        <f>+'01-FR-03 POA INSTITUCIONAL'!H53</f>
        <v>Porcentaje de actividades ejecutadas del plan de uso y apropiación</v>
      </c>
      <c r="J21" s="235" t="s">
        <v>348</v>
      </c>
      <c r="K21" s="235" t="s">
        <v>349</v>
      </c>
      <c r="L21" s="217" t="s">
        <v>350</v>
      </c>
      <c r="M21" s="247" t="s">
        <v>336</v>
      </c>
      <c r="N21" s="235" t="s">
        <v>351</v>
      </c>
      <c r="O21" s="444" t="str">
        <f>+'01-FR-03 POA INSTITUCIONAL'!J53</f>
        <v>Dirección de Tecnologías de la  Información y las Comunicaciones</v>
      </c>
      <c r="P21" s="999">
        <v>0.02</v>
      </c>
      <c r="Q21" s="999">
        <v>0</v>
      </c>
      <c r="R21" s="999">
        <v>0.02</v>
      </c>
      <c r="S21" s="999">
        <v>0.04</v>
      </c>
      <c r="T21" s="999">
        <v>0.03</v>
      </c>
      <c r="U21" s="999">
        <v>0.03</v>
      </c>
      <c r="V21" s="321">
        <f t="shared" si="0"/>
        <v>7.0000000000000007E-2</v>
      </c>
      <c r="W21" s="321">
        <f t="shared" si="0"/>
        <v>7.0000000000000007E-2</v>
      </c>
      <c r="X21" s="999">
        <v>0.04</v>
      </c>
      <c r="Y21" s="999"/>
      <c r="Z21" s="999">
        <v>0.04</v>
      </c>
      <c r="AA21" s="999"/>
      <c r="AB21" s="999">
        <v>0.05</v>
      </c>
      <c r="AC21" s="999"/>
      <c r="AD21" s="321">
        <f t="shared" si="1"/>
        <v>0.13</v>
      </c>
      <c r="AE21" s="321">
        <f t="shared" si="1"/>
        <v>0</v>
      </c>
      <c r="AF21" s="999">
        <v>0.05</v>
      </c>
      <c r="AG21" s="999"/>
      <c r="AH21" s="999">
        <v>0.04</v>
      </c>
      <c r="AI21" s="999"/>
      <c r="AJ21" s="999">
        <v>0.04</v>
      </c>
      <c r="AK21" s="999"/>
      <c r="AL21" s="321">
        <f t="shared" si="2"/>
        <v>0.13</v>
      </c>
      <c r="AM21" s="321">
        <f t="shared" si="2"/>
        <v>0</v>
      </c>
      <c r="AN21" s="999">
        <v>0.03</v>
      </c>
      <c r="AO21" s="999"/>
      <c r="AP21" s="999">
        <v>0.02</v>
      </c>
      <c r="AQ21" s="999"/>
      <c r="AR21" s="999">
        <v>0.02</v>
      </c>
      <c r="AS21" s="999"/>
      <c r="AT21" s="321">
        <f t="shared" si="9"/>
        <v>7.0000000000000007E-2</v>
      </c>
      <c r="AU21" s="321">
        <f t="shared" si="9"/>
        <v>0</v>
      </c>
      <c r="AV21" s="321">
        <f t="shared" si="10"/>
        <v>0.4</v>
      </c>
      <c r="AW21" s="65">
        <f t="shared" si="3"/>
        <v>7.0000000000000007E-2</v>
      </c>
      <c r="AX21" s="1062">
        <f t="shared" si="4"/>
        <v>7.0000000000000007E-2</v>
      </c>
      <c r="AY21" s="1062">
        <f t="shared" si="5"/>
        <v>7.0000000000000007E-2</v>
      </c>
      <c r="AZ21" s="1062">
        <f t="shared" si="6"/>
        <v>7.0000000000000007E-2</v>
      </c>
      <c r="BA21" s="319">
        <f t="shared" si="11"/>
        <v>0.17500000000000002</v>
      </c>
      <c r="BB21" s="376">
        <f t="shared" si="7"/>
        <v>0.17500000000000002</v>
      </c>
      <c r="BC21" s="376">
        <f t="shared" si="7"/>
        <v>0.17500000000000002</v>
      </c>
      <c r="BD21" s="376">
        <f t="shared" si="7"/>
        <v>0.17500000000000002</v>
      </c>
      <c r="BE21" s="312">
        <f t="shared" si="12"/>
        <v>7.0000000000000007E-2</v>
      </c>
      <c r="BF21" s="1073">
        <f t="shared" si="8"/>
        <v>7.0000000000000007E-2</v>
      </c>
      <c r="BG21" s="1073">
        <f t="shared" si="8"/>
        <v>7.0000000000000007E-2</v>
      </c>
      <c r="BH21" s="1073">
        <f t="shared" si="8"/>
        <v>7.0000000000000007E-2</v>
      </c>
    </row>
    <row r="22" spans="2:60" ht="81.75" customHeight="1">
      <c r="B22" s="1643"/>
      <c r="C22" s="1643"/>
      <c r="D22" s="31" t="str">
        <f>+'01-FR-03 POA INSTITUCIONAL'!D54</f>
        <v>4.1.7 Optimizar la infraestructura tecnológica cumpliendo el 100% de las actividades de la hoja de ruta proyectada para garantizar la prestación continua de los servicios en la Entidad</v>
      </c>
      <c r="E22" s="52">
        <f>+'01-FR-03 POA INSTITUCIONAL'!E54</f>
        <v>0.15</v>
      </c>
      <c r="F22" s="311">
        <f>+'01-FR-03 POA INSTITUCIONAL'!F54</f>
        <v>1</v>
      </c>
      <c r="G22" s="160">
        <f>+'01-FR-03 POA INSTITUCIONAL'!L54</f>
        <v>0.4</v>
      </c>
      <c r="H22" s="140" t="str">
        <f>+'01-FR-03 POA INSTITUCIONAL'!G54</f>
        <v>S.I</v>
      </c>
      <c r="I22" s="246" t="str">
        <f>+'01-FR-03 POA INSTITUCIONAL'!H54</f>
        <v>Porcentaje de actividades ejecutadas de la hoja de ruta de optimización tecnológica</v>
      </c>
      <c r="J22" s="235" t="s">
        <v>353</v>
      </c>
      <c r="K22" s="235" t="s">
        <v>354</v>
      </c>
      <c r="L22" s="217" t="s">
        <v>355</v>
      </c>
      <c r="M22" s="247" t="s">
        <v>336</v>
      </c>
      <c r="N22" s="235" t="s">
        <v>341</v>
      </c>
      <c r="O22" s="444" t="str">
        <f>+'01-FR-03 POA INSTITUCIONAL'!J54</f>
        <v>Dirección de Tecnologías de la  Información y las Comunicaciones</v>
      </c>
      <c r="P22" s="999">
        <v>0.02</v>
      </c>
      <c r="Q22" s="999">
        <v>0.02</v>
      </c>
      <c r="R22" s="999">
        <v>0.02</v>
      </c>
      <c r="S22" s="999">
        <v>0.02</v>
      </c>
      <c r="T22" s="999">
        <v>0.03</v>
      </c>
      <c r="U22" s="999">
        <v>0.03</v>
      </c>
      <c r="V22" s="321">
        <f t="shared" si="0"/>
        <v>7.0000000000000007E-2</v>
      </c>
      <c r="W22" s="321">
        <f t="shared" si="0"/>
        <v>7.0000000000000007E-2</v>
      </c>
      <c r="X22" s="999">
        <v>0.04</v>
      </c>
      <c r="Y22" s="999"/>
      <c r="Z22" s="999">
        <v>0.04</v>
      </c>
      <c r="AA22" s="999"/>
      <c r="AB22" s="999">
        <v>0.05</v>
      </c>
      <c r="AC22" s="999"/>
      <c r="AD22" s="321">
        <f t="shared" si="1"/>
        <v>0.13</v>
      </c>
      <c r="AE22" s="321">
        <f t="shared" si="1"/>
        <v>0</v>
      </c>
      <c r="AF22" s="999">
        <v>0.05</v>
      </c>
      <c r="AG22" s="999"/>
      <c r="AH22" s="999">
        <v>0.04</v>
      </c>
      <c r="AI22" s="999"/>
      <c r="AJ22" s="999">
        <v>0.04</v>
      </c>
      <c r="AK22" s="999"/>
      <c r="AL22" s="321">
        <f t="shared" si="2"/>
        <v>0.13</v>
      </c>
      <c r="AM22" s="321">
        <f t="shared" si="2"/>
        <v>0</v>
      </c>
      <c r="AN22" s="999">
        <v>0.03</v>
      </c>
      <c r="AO22" s="999"/>
      <c r="AP22" s="999">
        <v>0.02</v>
      </c>
      <c r="AQ22" s="999"/>
      <c r="AR22" s="999">
        <v>0.02</v>
      </c>
      <c r="AS22" s="999"/>
      <c r="AT22" s="321">
        <f t="shared" si="9"/>
        <v>7.0000000000000007E-2</v>
      </c>
      <c r="AU22" s="321">
        <f t="shared" si="9"/>
        <v>0</v>
      </c>
      <c r="AV22" s="321">
        <f t="shared" si="10"/>
        <v>0.4</v>
      </c>
      <c r="AW22" s="65">
        <f t="shared" si="3"/>
        <v>7.0000000000000007E-2</v>
      </c>
      <c r="AX22" s="1062">
        <f t="shared" si="4"/>
        <v>7.0000000000000007E-2</v>
      </c>
      <c r="AY22" s="1062">
        <f t="shared" si="5"/>
        <v>7.0000000000000007E-2</v>
      </c>
      <c r="AZ22" s="1062">
        <f t="shared" si="6"/>
        <v>7.0000000000000007E-2</v>
      </c>
      <c r="BA22" s="319">
        <f t="shared" si="11"/>
        <v>0.17500000000000002</v>
      </c>
      <c r="BB22" s="376">
        <f t="shared" si="7"/>
        <v>0.17500000000000002</v>
      </c>
      <c r="BC22" s="376">
        <f t="shared" si="7"/>
        <v>0.17500000000000002</v>
      </c>
      <c r="BD22" s="376">
        <f t="shared" si="7"/>
        <v>0.17500000000000002</v>
      </c>
      <c r="BE22" s="312">
        <f t="shared" si="12"/>
        <v>7.0000000000000007E-2</v>
      </c>
      <c r="BF22" s="1073">
        <f t="shared" si="8"/>
        <v>7.0000000000000007E-2</v>
      </c>
      <c r="BG22" s="1073">
        <f t="shared" si="8"/>
        <v>7.0000000000000007E-2</v>
      </c>
      <c r="BH22" s="1073">
        <f t="shared" si="8"/>
        <v>7.0000000000000007E-2</v>
      </c>
    </row>
    <row r="23" spans="2:60" ht="22.8">
      <c r="B23" s="1560"/>
      <c r="C23" s="1561"/>
      <c r="D23" s="1561"/>
      <c r="E23" s="1561"/>
      <c r="F23" s="1561"/>
      <c r="G23" s="1561"/>
      <c r="H23" s="1561"/>
      <c r="I23" s="1561"/>
      <c r="J23" s="1561"/>
      <c r="K23" s="1561"/>
      <c r="L23" s="1561"/>
      <c r="M23" s="1561"/>
      <c r="N23" s="1561"/>
      <c r="O23" s="1561"/>
      <c r="P23" s="1561"/>
      <c r="Q23" s="1561"/>
      <c r="R23" s="1561"/>
      <c r="S23" s="1561"/>
      <c r="T23" s="1561"/>
      <c r="U23" s="1561"/>
      <c r="V23" s="1561"/>
      <c r="W23" s="1561"/>
      <c r="X23" s="1561"/>
      <c r="Y23" s="1561"/>
      <c r="Z23" s="1561"/>
      <c r="AA23" s="1561"/>
      <c r="AB23" s="1561"/>
      <c r="AC23" s="1561"/>
      <c r="AD23" s="1561"/>
      <c r="AE23" s="1561"/>
      <c r="AF23" s="1561"/>
      <c r="AG23" s="1561"/>
      <c r="AH23" s="1561"/>
      <c r="AI23" s="1561"/>
      <c r="AJ23" s="1561"/>
      <c r="AK23" s="1561"/>
      <c r="AL23" s="1561"/>
      <c r="AM23" s="1561"/>
      <c r="AN23" s="1561"/>
      <c r="AO23" s="1561"/>
      <c r="AP23" s="1561"/>
      <c r="AQ23" s="1561"/>
      <c r="AR23" s="1561"/>
      <c r="AS23" s="1561"/>
      <c r="AT23" s="1561"/>
      <c r="AU23" s="1561"/>
      <c r="AV23" s="1561"/>
      <c r="AW23" s="1644"/>
      <c r="AX23" s="1614" t="s">
        <v>19</v>
      </c>
      <c r="AY23" s="1642"/>
      <c r="AZ23" s="1642"/>
      <c r="BA23" s="70">
        <f t="shared" ref="BA23:BD23" si="13">AVERAGE(BA16:BA22)</f>
        <v>0.17500000000000002</v>
      </c>
      <c r="BB23" s="70">
        <f t="shared" si="13"/>
        <v>0.17500000000000002</v>
      </c>
      <c r="BC23" s="70">
        <f t="shared" si="13"/>
        <v>0.17500000000000002</v>
      </c>
      <c r="BD23" s="70">
        <f t="shared" si="13"/>
        <v>0.17500000000000002</v>
      </c>
      <c r="BE23" s="1627"/>
      <c r="BF23" s="1628"/>
      <c r="BG23" s="1628"/>
      <c r="BH23" s="1629"/>
    </row>
    <row r="24" spans="2:60">
      <c r="B24" s="1553"/>
      <c r="C24" s="1553"/>
      <c r="D24" s="1553"/>
      <c r="E24" s="1553"/>
      <c r="F24" s="1553"/>
      <c r="G24" s="1553"/>
      <c r="H24" s="239"/>
      <c r="I24" s="240"/>
      <c r="J24" s="240"/>
      <c r="K24" s="240"/>
      <c r="L24" s="240"/>
      <c r="M24" s="240"/>
      <c r="N24" s="240"/>
      <c r="O24" s="240"/>
    </row>
    <row r="25" spans="2:60">
      <c r="B25" s="240"/>
      <c r="C25" s="240"/>
      <c r="D25" s="1624"/>
      <c r="E25" s="1624"/>
      <c r="F25" s="1624"/>
      <c r="G25" s="1624"/>
      <c r="H25" s="1624"/>
      <c r="I25" s="1624"/>
      <c r="J25" s="1624"/>
      <c r="K25" s="1624"/>
      <c r="L25" s="1624"/>
      <c r="M25" s="1624"/>
      <c r="N25" s="1624"/>
      <c r="O25" s="1624"/>
    </row>
    <row r="26" spans="2:60" ht="15.6">
      <c r="B26" s="77" t="s">
        <v>26</v>
      </c>
      <c r="C26" s="241">
        <v>44224</v>
      </c>
      <c r="D26" s="242"/>
      <c r="E26" s="1625" t="s">
        <v>50</v>
      </c>
      <c r="F26" s="329"/>
      <c r="G26" s="1626" t="s">
        <v>359</v>
      </c>
      <c r="H26" s="1626"/>
      <c r="I26" s="1626"/>
      <c r="J26" s="1626"/>
      <c r="K26" s="243"/>
      <c r="L26" s="1633"/>
      <c r="M26" s="1633"/>
      <c r="N26" s="1633"/>
      <c r="O26" s="1634"/>
    </row>
    <row r="27" spans="2:60" ht="15.6">
      <c r="B27" s="240"/>
      <c r="C27" s="240"/>
      <c r="D27" s="243"/>
      <c r="E27" s="1625"/>
      <c r="F27" s="329"/>
      <c r="G27" s="1626"/>
      <c r="H27" s="1626"/>
      <c r="I27" s="1626"/>
      <c r="J27" s="1626"/>
      <c r="K27" s="240"/>
      <c r="L27" s="240"/>
      <c r="M27" s="240"/>
      <c r="N27" s="240"/>
      <c r="O27" s="240"/>
    </row>
    <row r="28" spans="2:60" ht="15.6">
      <c r="B28" s="77" t="s">
        <v>49</v>
      </c>
      <c r="C28" s="80">
        <v>44581</v>
      </c>
      <c r="D28" s="240"/>
      <c r="E28" s="240"/>
      <c r="F28" s="240"/>
      <c r="K28" s="240"/>
      <c r="L28" s="240"/>
      <c r="M28" s="240"/>
      <c r="N28" s="240"/>
      <c r="O28" s="240"/>
    </row>
    <row r="29" spans="2:60">
      <c r="B29" s="240"/>
      <c r="C29" s="240"/>
      <c r="D29" s="240"/>
      <c r="E29" s="240"/>
      <c r="F29" s="240"/>
      <c r="K29" s="240"/>
      <c r="L29" s="240"/>
      <c r="M29" s="240"/>
      <c r="N29" s="240"/>
      <c r="O29" s="240"/>
    </row>
    <row r="30" spans="2:60">
      <c r="B30" s="606" t="s">
        <v>924</v>
      </c>
      <c r="C30" s="240"/>
      <c r="D30" s="240"/>
      <c r="E30" s="240"/>
      <c r="F30" s="240"/>
      <c r="G30" s="239"/>
      <c r="H30" s="239"/>
      <c r="I30" s="1632"/>
      <c r="J30" s="1632"/>
      <c r="K30" s="1632"/>
      <c r="L30" s="1632"/>
      <c r="M30" s="244"/>
      <c r="N30" s="244"/>
      <c r="O30" s="244"/>
    </row>
    <row r="31" spans="2:60">
      <c r="B31" s="240"/>
      <c r="C31" s="240"/>
      <c r="D31" s="240"/>
      <c r="E31" s="240"/>
      <c r="F31" s="240"/>
      <c r="G31" s="239"/>
      <c r="H31" s="239"/>
      <c r="I31" s="240"/>
      <c r="J31" s="240"/>
      <c r="K31" s="245"/>
      <c r="L31" s="240"/>
      <c r="M31" s="240"/>
      <c r="N31" s="240"/>
      <c r="O31" s="240"/>
    </row>
    <row r="32" spans="2:60">
      <c r="B32" s="240"/>
      <c r="C32" s="240"/>
      <c r="D32" s="240"/>
      <c r="E32" s="240"/>
      <c r="F32" s="240"/>
      <c r="G32" s="239"/>
      <c r="H32" s="239"/>
      <c r="I32" s="1632"/>
      <c r="J32" s="1632"/>
      <c r="K32" s="1632"/>
      <c r="L32" s="1632"/>
      <c r="M32" s="244"/>
      <c r="N32" s="244"/>
      <c r="O32" s="244"/>
    </row>
    <row r="33" spans="2:15">
      <c r="B33" s="240"/>
      <c r="C33" s="240"/>
      <c r="D33" s="240"/>
      <c r="E33" s="240"/>
      <c r="F33" s="240"/>
      <c r="G33" s="239"/>
      <c r="H33" s="239"/>
      <c r="I33" s="240"/>
      <c r="J33" s="240"/>
      <c r="K33" s="245"/>
      <c r="L33" s="240"/>
      <c r="M33" s="240"/>
      <c r="N33" s="240"/>
      <c r="O33" s="240"/>
    </row>
    <row r="34" spans="2:15">
      <c r="B34" s="240"/>
      <c r="C34" s="240"/>
      <c r="D34" s="240"/>
      <c r="E34" s="240"/>
      <c r="F34" s="240"/>
      <c r="G34" s="239"/>
      <c r="H34" s="239"/>
      <c r="I34" s="1632"/>
      <c r="J34" s="1632"/>
      <c r="K34" s="1632"/>
      <c r="L34" s="1632"/>
      <c r="M34" s="244"/>
      <c r="N34" s="244"/>
      <c r="O34" s="244"/>
    </row>
  </sheetData>
  <sheetProtection algorithmName="SHA-512" hashValue="rfxtJYQXpoTDCxc9HlvVXa0Wk+CS2rgUYvXoK9eX5J15+npbOEgIjRBYAFKjCe1zNpTO8trR4v71o3887LT2rg==" saltValue="qaRb1g2LBVIgPgaI/7M1Qg==" spinCount="100000" sheet="1" objects="1" scenarios="1"/>
  <mergeCells count="71">
    <mergeCell ref="BE23:BH23"/>
    <mergeCell ref="C9:D9"/>
    <mergeCell ref="B2:B6"/>
    <mergeCell ref="C2:BF6"/>
    <mergeCell ref="BG6:BH6"/>
    <mergeCell ref="AW7:BA7"/>
    <mergeCell ref="C8:D8"/>
    <mergeCell ref="C10:D10"/>
    <mergeCell ref="B12:B15"/>
    <mergeCell ref="C12:C15"/>
    <mergeCell ref="D12:D15"/>
    <mergeCell ref="E12:E15"/>
    <mergeCell ref="BE12:BH12"/>
    <mergeCell ref="P13:W13"/>
    <mergeCell ref="X13:AE13"/>
    <mergeCell ref="AF13:AM13"/>
    <mergeCell ref="BA13:BA15"/>
    <mergeCell ref="P12:AU12"/>
    <mergeCell ref="AV12:AV15"/>
    <mergeCell ref="AW12:AZ12"/>
    <mergeCell ref="BA12:BD12"/>
    <mergeCell ref="BB13:BB15"/>
    <mergeCell ref="BC13:BC15"/>
    <mergeCell ref="AF14:AG14"/>
    <mergeCell ref="AH14:AI14"/>
    <mergeCell ref="AL14:AM14"/>
    <mergeCell ref="AN14:AO14"/>
    <mergeCell ref="AN13:AU13"/>
    <mergeCell ref="AW13:AW15"/>
    <mergeCell ref="AX13:AX15"/>
    <mergeCell ref="AY13:AY15"/>
    <mergeCell ref="AZ13:AZ15"/>
    <mergeCell ref="BE13:BE15"/>
    <mergeCell ref="BF13:BF15"/>
    <mergeCell ref="BG13:BG15"/>
    <mergeCell ref="BH13:BH15"/>
    <mergeCell ref="P14:Q14"/>
    <mergeCell ref="R14:S14"/>
    <mergeCell ref="T14:U14"/>
    <mergeCell ref="V14:W14"/>
    <mergeCell ref="X14:Y14"/>
    <mergeCell ref="Z14:AA14"/>
    <mergeCell ref="BD13:BD15"/>
    <mergeCell ref="AB14:AC14"/>
    <mergeCell ref="AP14:AQ14"/>
    <mergeCell ref="AR14:AS14"/>
    <mergeCell ref="AT14:AU14"/>
    <mergeCell ref="AJ14:AK14"/>
    <mergeCell ref="B16:B22"/>
    <mergeCell ref="C16:C22"/>
    <mergeCell ref="AD14:AE14"/>
    <mergeCell ref="G12:G15"/>
    <mergeCell ref="F12:F15"/>
    <mergeCell ref="N12:N15"/>
    <mergeCell ref="O12:O15"/>
    <mergeCell ref="H12:H15"/>
    <mergeCell ref="K12:K15"/>
    <mergeCell ref="L12:L15"/>
    <mergeCell ref="M12:M15"/>
    <mergeCell ref="I12:I15"/>
    <mergeCell ref="J12:J15"/>
    <mergeCell ref="I32:L32"/>
    <mergeCell ref="I34:L34"/>
    <mergeCell ref="B24:G24"/>
    <mergeCell ref="AX23:AZ23"/>
    <mergeCell ref="D25:O25"/>
    <mergeCell ref="E26:E27"/>
    <mergeCell ref="G26:J27"/>
    <mergeCell ref="L26:O26"/>
    <mergeCell ref="I30:L30"/>
    <mergeCell ref="B23:AW23"/>
  </mergeCells>
  <conditionalFormatting sqref="BA16:BD22">
    <cfRule type="cellIs" dxfId="58" priority="1" operator="greaterThan">
      <formula>1</formula>
    </cfRule>
    <cfRule type="cellIs" dxfId="57" priority="8" operator="between">
      <formula>0.8</formula>
      <formula>1</formula>
    </cfRule>
    <cfRule type="cellIs" dxfId="56" priority="9" operator="between">
      <formula>0.61</formula>
      <formula>0.79</formula>
    </cfRule>
    <cfRule type="cellIs" dxfId="55" priority="10" operator="between">
      <formula>0</formula>
      <formula>0.6</formula>
    </cfRule>
  </conditionalFormatting>
  <dataValidations count="1">
    <dataValidation allowBlank="1" showInputMessage="1" showErrorMessage="1" prompt="Transcriba de manera exacta el objetivo definido en la caracterización del proceso." sqref="C9:D9" xr:uid="{9B34EA13-6FCC-480D-84D3-ED35F4079A67}"/>
  </dataValidation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2635A-C279-4598-ABE3-DAD82A9CF677}">
  <sheetPr>
    <tabColor rgb="FF66FF33"/>
  </sheetPr>
  <dimension ref="B1:BH29"/>
  <sheetViews>
    <sheetView showGridLines="0" zoomScale="70" zoomScaleNormal="70" workbookViewId="0">
      <selection activeCell="C10" sqref="C10:D10"/>
    </sheetView>
  </sheetViews>
  <sheetFormatPr baseColWidth="10" defaultColWidth="17.33203125" defaultRowHeight="15" customHeight="1"/>
  <cols>
    <col min="1" max="1" width="4.33203125" style="1" customWidth="1"/>
    <col min="2" max="2" width="50.44140625" style="3" customWidth="1"/>
    <col min="3" max="3" width="37.6640625" style="3" customWidth="1"/>
    <col min="4" max="4" width="49.6640625" style="3" customWidth="1"/>
    <col min="5" max="6" width="27.44140625" style="3" customWidth="1"/>
    <col min="7" max="8" width="29.33203125" style="5" customWidth="1"/>
    <col min="9" max="9" width="21.44140625" style="3" customWidth="1"/>
    <col min="10" max="10" width="31.88671875" style="3" customWidth="1"/>
    <col min="11" max="11" width="55.88671875" style="3" customWidth="1"/>
    <col min="12" max="12" width="48.44140625" style="3" customWidth="1"/>
    <col min="13" max="14" width="28.44140625" style="3" customWidth="1"/>
    <col min="15" max="15" width="50" style="3" customWidth="1"/>
    <col min="16" max="47" width="15.88671875" style="1" customWidth="1"/>
    <col min="48" max="48" width="24.44140625" style="1" customWidth="1"/>
    <col min="49" max="49" width="22.88671875" style="1" customWidth="1"/>
    <col min="50" max="50" width="19.33203125" style="1" customWidth="1"/>
    <col min="51" max="51" width="18.44140625" style="1" customWidth="1"/>
    <col min="52" max="52" width="19.44140625" style="1" customWidth="1"/>
    <col min="53" max="53" width="23.33203125" style="1" customWidth="1"/>
    <col min="54" max="55" width="25.109375" style="1" customWidth="1"/>
    <col min="56" max="56" width="26.6640625" style="1" customWidth="1"/>
    <col min="57" max="57" width="26.33203125" style="1" customWidth="1"/>
    <col min="58" max="58" width="26.44140625" style="1" customWidth="1"/>
    <col min="59" max="59" width="26.33203125" style="1" customWidth="1"/>
    <col min="60" max="60" width="27.33203125" style="1" customWidth="1"/>
    <col min="61" max="16384" width="17.33203125" style="1"/>
  </cols>
  <sheetData>
    <row r="1" spans="2:60" ht="15.6" thickBot="1"/>
    <row r="2" spans="2:60" ht="15.6" customHeight="1">
      <c r="B2" s="1575" t="s">
        <v>686</v>
      </c>
      <c r="C2" s="1689" t="s">
        <v>118</v>
      </c>
      <c r="D2" s="1690"/>
      <c r="E2" s="1690"/>
      <c r="F2" s="1690"/>
      <c r="G2" s="1690"/>
      <c r="H2" s="1690"/>
      <c r="I2" s="1690"/>
      <c r="J2" s="1690"/>
      <c r="K2" s="1690"/>
      <c r="L2" s="1690"/>
      <c r="M2" s="1690"/>
      <c r="N2" s="1690"/>
      <c r="O2" s="1690"/>
      <c r="P2" s="1690"/>
      <c r="Q2" s="1690"/>
      <c r="R2" s="1690"/>
      <c r="S2" s="1690"/>
      <c r="T2" s="1690"/>
      <c r="U2" s="1690"/>
      <c r="V2" s="1690"/>
      <c r="W2" s="1690"/>
      <c r="X2" s="1690"/>
      <c r="Y2" s="1690"/>
      <c r="Z2" s="1690"/>
      <c r="AA2" s="1690"/>
      <c r="AB2" s="1690"/>
      <c r="AC2" s="1690"/>
      <c r="AD2" s="1690"/>
      <c r="AE2" s="1690"/>
      <c r="AF2" s="1690"/>
      <c r="AG2" s="1690"/>
      <c r="AH2" s="1690"/>
      <c r="AI2" s="1690"/>
      <c r="AJ2" s="1690"/>
      <c r="AK2" s="1690"/>
      <c r="AL2" s="1690"/>
      <c r="AM2" s="1690"/>
      <c r="AN2" s="1690"/>
      <c r="AO2" s="1690"/>
      <c r="AP2" s="1690"/>
      <c r="AQ2" s="1690"/>
      <c r="AR2" s="1690"/>
      <c r="AS2" s="1690"/>
      <c r="AT2" s="1690"/>
      <c r="AU2" s="1690"/>
      <c r="AV2" s="1690"/>
      <c r="AW2" s="1690"/>
      <c r="AX2" s="1690"/>
      <c r="AY2" s="1690"/>
      <c r="AZ2" s="1690"/>
      <c r="BA2" s="1690"/>
      <c r="BB2" s="1690"/>
      <c r="BC2" s="1690"/>
      <c r="BD2" s="1690"/>
      <c r="BE2" s="1690"/>
      <c r="BF2" s="1691"/>
      <c r="BG2" s="37" t="s">
        <v>31</v>
      </c>
      <c r="BH2" s="38"/>
    </row>
    <row r="3" spans="2:60" ht="15.6" customHeight="1">
      <c r="B3" s="1576"/>
      <c r="C3" s="1692"/>
      <c r="D3" s="1693"/>
      <c r="E3" s="1693"/>
      <c r="F3" s="1693"/>
      <c r="G3" s="1693"/>
      <c r="H3" s="1693"/>
      <c r="I3" s="1693"/>
      <c r="J3" s="1693"/>
      <c r="K3" s="1693"/>
      <c r="L3" s="1693"/>
      <c r="M3" s="1693"/>
      <c r="N3" s="1693"/>
      <c r="O3" s="1693"/>
      <c r="P3" s="1693"/>
      <c r="Q3" s="1693"/>
      <c r="R3" s="1693"/>
      <c r="S3" s="1693"/>
      <c r="T3" s="1693"/>
      <c r="U3" s="1693"/>
      <c r="V3" s="1693"/>
      <c r="W3" s="1693"/>
      <c r="X3" s="1693"/>
      <c r="Y3" s="1693"/>
      <c r="Z3" s="1693"/>
      <c r="AA3" s="1693"/>
      <c r="AB3" s="1693"/>
      <c r="AC3" s="1693"/>
      <c r="AD3" s="1693"/>
      <c r="AE3" s="1693"/>
      <c r="AF3" s="1693"/>
      <c r="AG3" s="1693"/>
      <c r="AH3" s="1693"/>
      <c r="AI3" s="1693"/>
      <c r="AJ3" s="1693"/>
      <c r="AK3" s="1693"/>
      <c r="AL3" s="1693"/>
      <c r="AM3" s="1693"/>
      <c r="AN3" s="1693"/>
      <c r="AO3" s="1693"/>
      <c r="AP3" s="1693"/>
      <c r="AQ3" s="1693"/>
      <c r="AR3" s="1693"/>
      <c r="AS3" s="1693"/>
      <c r="AT3" s="1693"/>
      <c r="AU3" s="1693"/>
      <c r="AV3" s="1693"/>
      <c r="AW3" s="1693"/>
      <c r="AX3" s="1693"/>
      <c r="AY3" s="1693"/>
      <c r="AZ3" s="1693"/>
      <c r="BA3" s="1693"/>
      <c r="BB3" s="1693"/>
      <c r="BC3" s="1693"/>
      <c r="BD3" s="1693"/>
      <c r="BE3" s="1693"/>
      <c r="BF3" s="1694"/>
      <c r="BG3" s="13" t="s">
        <v>28</v>
      </c>
      <c r="BH3" s="6" t="s">
        <v>29</v>
      </c>
    </row>
    <row r="4" spans="2:60" ht="15" customHeight="1">
      <c r="B4" s="1576"/>
      <c r="C4" s="1692"/>
      <c r="D4" s="1693"/>
      <c r="E4" s="1693"/>
      <c r="F4" s="1693"/>
      <c r="G4" s="1693"/>
      <c r="H4" s="1693"/>
      <c r="I4" s="1693"/>
      <c r="J4" s="1693"/>
      <c r="K4" s="1693"/>
      <c r="L4" s="1693"/>
      <c r="M4" s="1693"/>
      <c r="N4" s="1693"/>
      <c r="O4" s="1693"/>
      <c r="P4" s="1693"/>
      <c r="Q4" s="1693"/>
      <c r="R4" s="1693"/>
      <c r="S4" s="1693"/>
      <c r="T4" s="1693"/>
      <c r="U4" s="1693"/>
      <c r="V4" s="1693"/>
      <c r="W4" s="1693"/>
      <c r="X4" s="1693"/>
      <c r="Y4" s="1693"/>
      <c r="Z4" s="1693"/>
      <c r="AA4" s="1693"/>
      <c r="AB4" s="1693"/>
      <c r="AC4" s="1693"/>
      <c r="AD4" s="1693"/>
      <c r="AE4" s="1693"/>
      <c r="AF4" s="1693"/>
      <c r="AG4" s="1693"/>
      <c r="AH4" s="1693"/>
      <c r="AI4" s="1693"/>
      <c r="AJ4" s="1693"/>
      <c r="AK4" s="1693"/>
      <c r="AL4" s="1693"/>
      <c r="AM4" s="1693"/>
      <c r="AN4" s="1693"/>
      <c r="AO4" s="1693"/>
      <c r="AP4" s="1693"/>
      <c r="AQ4" s="1693"/>
      <c r="AR4" s="1693"/>
      <c r="AS4" s="1693"/>
      <c r="AT4" s="1693"/>
      <c r="AU4" s="1693"/>
      <c r="AV4" s="1693"/>
      <c r="AW4" s="1693"/>
      <c r="AX4" s="1693"/>
      <c r="AY4" s="1693"/>
      <c r="AZ4" s="1693"/>
      <c r="BA4" s="1693"/>
      <c r="BB4" s="1693"/>
      <c r="BC4" s="1693"/>
      <c r="BD4" s="1693"/>
      <c r="BE4" s="1693"/>
      <c r="BF4" s="1694"/>
      <c r="BG4" s="210">
        <v>5</v>
      </c>
      <c r="BH4" s="30" t="s">
        <v>657</v>
      </c>
    </row>
    <row r="5" spans="2:60" ht="15.6" customHeight="1">
      <c r="B5" s="1576"/>
      <c r="C5" s="1692"/>
      <c r="D5" s="1693"/>
      <c r="E5" s="1693"/>
      <c r="F5" s="1693"/>
      <c r="G5" s="1693"/>
      <c r="H5" s="1693"/>
      <c r="I5" s="1693"/>
      <c r="J5" s="1693"/>
      <c r="K5" s="1693"/>
      <c r="L5" s="1693"/>
      <c r="M5" s="1693"/>
      <c r="N5" s="1693"/>
      <c r="O5" s="1693"/>
      <c r="P5" s="1693"/>
      <c r="Q5" s="1693"/>
      <c r="R5" s="1693"/>
      <c r="S5" s="1693"/>
      <c r="T5" s="1693"/>
      <c r="U5" s="1693"/>
      <c r="V5" s="1693"/>
      <c r="W5" s="1693"/>
      <c r="X5" s="1693"/>
      <c r="Y5" s="1693"/>
      <c r="Z5" s="1693"/>
      <c r="AA5" s="1693"/>
      <c r="AB5" s="1693"/>
      <c r="AC5" s="1693"/>
      <c r="AD5" s="1693"/>
      <c r="AE5" s="1693"/>
      <c r="AF5" s="1693"/>
      <c r="AG5" s="1693"/>
      <c r="AH5" s="1693"/>
      <c r="AI5" s="1693"/>
      <c r="AJ5" s="1693"/>
      <c r="AK5" s="1693"/>
      <c r="AL5" s="1693"/>
      <c r="AM5" s="1693"/>
      <c r="AN5" s="1693"/>
      <c r="AO5" s="1693"/>
      <c r="AP5" s="1693"/>
      <c r="AQ5" s="1693"/>
      <c r="AR5" s="1693"/>
      <c r="AS5" s="1693"/>
      <c r="AT5" s="1693"/>
      <c r="AU5" s="1693"/>
      <c r="AV5" s="1693"/>
      <c r="AW5" s="1693"/>
      <c r="AX5" s="1693"/>
      <c r="AY5" s="1693"/>
      <c r="AZ5" s="1693"/>
      <c r="BA5" s="1693"/>
      <c r="BB5" s="1693"/>
      <c r="BC5" s="1693"/>
      <c r="BD5" s="1693"/>
      <c r="BE5" s="1693"/>
      <c r="BF5" s="1694"/>
      <c r="BG5" s="211" t="s">
        <v>30</v>
      </c>
      <c r="BH5" s="212"/>
    </row>
    <row r="6" spans="2:60" ht="15.6" customHeight="1" thickBot="1">
      <c r="B6" s="1577"/>
      <c r="C6" s="1695"/>
      <c r="D6" s="1696"/>
      <c r="E6" s="1696"/>
      <c r="F6" s="1696"/>
      <c r="G6" s="1696"/>
      <c r="H6" s="1696"/>
      <c r="I6" s="1696"/>
      <c r="J6" s="1696"/>
      <c r="K6" s="1696"/>
      <c r="L6" s="1696"/>
      <c r="M6" s="1696"/>
      <c r="N6" s="1696"/>
      <c r="O6" s="1696"/>
      <c r="P6" s="1696"/>
      <c r="Q6" s="1696"/>
      <c r="R6" s="1696"/>
      <c r="S6" s="1696"/>
      <c r="T6" s="1696"/>
      <c r="U6" s="1696"/>
      <c r="V6" s="1696"/>
      <c r="W6" s="1696"/>
      <c r="X6" s="1696"/>
      <c r="Y6" s="1696"/>
      <c r="Z6" s="1696"/>
      <c r="AA6" s="1696"/>
      <c r="AB6" s="1696"/>
      <c r="AC6" s="1696"/>
      <c r="AD6" s="1696"/>
      <c r="AE6" s="1696"/>
      <c r="AF6" s="1696"/>
      <c r="AG6" s="1696"/>
      <c r="AH6" s="1696"/>
      <c r="AI6" s="1696"/>
      <c r="AJ6" s="1696"/>
      <c r="AK6" s="1696"/>
      <c r="AL6" s="1696"/>
      <c r="AM6" s="1696"/>
      <c r="AN6" s="1696"/>
      <c r="AO6" s="1696"/>
      <c r="AP6" s="1696"/>
      <c r="AQ6" s="1696"/>
      <c r="AR6" s="1696"/>
      <c r="AS6" s="1696"/>
      <c r="AT6" s="1696"/>
      <c r="AU6" s="1696"/>
      <c r="AV6" s="1696"/>
      <c r="AW6" s="1696"/>
      <c r="AX6" s="1696"/>
      <c r="AY6" s="1696"/>
      <c r="AZ6" s="1696"/>
      <c r="BA6" s="1696"/>
      <c r="BB6" s="1696"/>
      <c r="BC6" s="1696"/>
      <c r="BD6" s="1696"/>
      <c r="BE6" s="1696"/>
      <c r="BF6" s="1697"/>
      <c r="BG6" s="1566">
        <v>44306</v>
      </c>
      <c r="BH6" s="1567"/>
    </row>
    <row r="7" spans="2:60">
      <c r="B7" s="2"/>
      <c r="C7" s="2"/>
      <c r="D7" s="2"/>
      <c r="E7" s="2"/>
      <c r="F7" s="2"/>
      <c r="G7" s="4"/>
      <c r="H7" s="4"/>
      <c r="I7" s="2"/>
      <c r="J7" s="2"/>
      <c r="K7" s="2"/>
      <c r="L7" s="2"/>
      <c r="M7" s="2"/>
      <c r="N7" s="2"/>
      <c r="O7" s="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682"/>
      <c r="AX7" s="1683"/>
      <c r="AY7" s="1683"/>
      <c r="AZ7" s="1683"/>
      <c r="BA7" s="1684"/>
      <c r="BB7" s="39"/>
      <c r="BC7" s="39"/>
      <c r="BD7" s="39"/>
      <c r="BE7" s="12"/>
      <c r="BF7" s="12"/>
    </row>
    <row r="8" spans="2:60" ht="24.6">
      <c r="B8" s="19" t="s">
        <v>45</v>
      </c>
      <c r="C8" s="1685" t="s">
        <v>86</v>
      </c>
      <c r="D8" s="1685"/>
      <c r="E8" s="17"/>
      <c r="F8" s="17"/>
      <c r="G8" s="17"/>
      <c r="H8" s="17"/>
      <c r="I8" s="17"/>
      <c r="J8" s="17"/>
      <c r="K8" s="17"/>
      <c r="L8" s="17"/>
      <c r="M8" s="17"/>
      <c r="N8" s="17"/>
      <c r="O8" s="17"/>
      <c r="AW8" s="39"/>
      <c r="AX8" s="39"/>
      <c r="AY8" s="39"/>
      <c r="AZ8" s="39"/>
      <c r="BA8" s="39"/>
      <c r="BB8" s="39"/>
      <c r="BC8" s="39"/>
      <c r="BD8" s="39"/>
    </row>
    <row r="9" spans="2:60" ht="50.25" customHeight="1">
      <c r="B9" s="19" t="s">
        <v>34</v>
      </c>
      <c r="C9" s="1686" t="s">
        <v>254</v>
      </c>
      <c r="D9" s="1687"/>
      <c r="E9" s="17"/>
      <c r="F9" s="17"/>
      <c r="G9" s="17"/>
      <c r="H9" s="17"/>
      <c r="I9" s="17"/>
      <c r="J9" s="17"/>
      <c r="K9" s="17"/>
      <c r="L9" s="17"/>
      <c r="M9" s="17"/>
      <c r="N9" s="17"/>
      <c r="O9" s="17"/>
      <c r="AW9" s="39"/>
      <c r="AX9" s="39"/>
      <c r="AY9" s="39"/>
      <c r="AZ9" s="39"/>
      <c r="BA9" s="39"/>
      <c r="BB9" s="39"/>
      <c r="BC9" s="39"/>
      <c r="BD9" s="39"/>
    </row>
    <row r="10" spans="2:60" ht="24.6">
      <c r="B10" s="19" t="s">
        <v>101</v>
      </c>
      <c r="C10" s="1699">
        <v>2022</v>
      </c>
      <c r="D10" s="1700"/>
      <c r="E10" s="17"/>
      <c r="F10" s="17"/>
      <c r="G10" s="17"/>
      <c r="H10" s="17"/>
      <c r="I10" s="17"/>
      <c r="J10" s="17"/>
      <c r="K10" s="17"/>
      <c r="L10" s="17"/>
      <c r="M10" s="17"/>
      <c r="N10" s="17"/>
      <c r="O10" s="17"/>
      <c r="AW10" s="39"/>
      <c r="AX10" s="39"/>
      <c r="AY10" s="39"/>
      <c r="AZ10" s="39"/>
      <c r="BA10" s="39"/>
      <c r="BB10" s="39"/>
      <c r="BC10" s="39"/>
      <c r="BD10" s="39"/>
    </row>
    <row r="11" spans="2:60">
      <c r="B11" s="2"/>
      <c r="C11" s="2"/>
      <c r="D11" s="2"/>
      <c r="E11" s="2"/>
      <c r="F11" s="2"/>
      <c r="G11" s="4"/>
      <c r="H11" s="4"/>
      <c r="I11" s="2"/>
      <c r="J11" s="2"/>
      <c r="K11" s="2"/>
      <c r="L11" s="2"/>
      <c r="M11" s="2"/>
      <c r="N11" s="2"/>
      <c r="O11" s="2"/>
      <c r="AW11" s="39"/>
      <c r="AX11" s="39"/>
      <c r="AY11" s="39"/>
      <c r="AZ11" s="39"/>
      <c r="BA11" s="39"/>
      <c r="BB11" s="39"/>
      <c r="BC11" s="39"/>
      <c r="BD11" s="39"/>
    </row>
    <row r="12" spans="2:60" ht="15.6" customHeight="1">
      <c r="B12" s="1302" t="s">
        <v>0</v>
      </c>
      <c r="C12" s="1302" t="s">
        <v>52</v>
      </c>
      <c r="D12" s="1302" t="s">
        <v>711</v>
      </c>
      <c r="E12" s="1302" t="s">
        <v>61</v>
      </c>
      <c r="F12" s="1302" t="s">
        <v>682</v>
      </c>
      <c r="G12" s="1302" t="s">
        <v>58</v>
      </c>
      <c r="H12" s="1302" t="s">
        <v>25</v>
      </c>
      <c r="I12" s="1302" t="s">
        <v>60</v>
      </c>
      <c r="J12" s="1302" t="s">
        <v>39</v>
      </c>
      <c r="K12" s="1302" t="s">
        <v>36</v>
      </c>
      <c r="L12" s="1302" t="s">
        <v>20</v>
      </c>
      <c r="M12" s="1302" t="s">
        <v>51</v>
      </c>
      <c r="N12" s="1302" t="s">
        <v>40</v>
      </c>
      <c r="O12" s="1302" t="s">
        <v>42</v>
      </c>
      <c r="P12" s="1319" t="s">
        <v>112</v>
      </c>
      <c r="Q12" s="1319"/>
      <c r="R12" s="1319"/>
      <c r="S12" s="1319"/>
      <c r="T12" s="1319"/>
      <c r="U12" s="1319"/>
      <c r="V12" s="1319"/>
      <c r="W12" s="1319"/>
      <c r="X12" s="1319"/>
      <c r="Y12" s="1319"/>
      <c r="Z12" s="1319"/>
      <c r="AA12" s="1319"/>
      <c r="AB12" s="1319"/>
      <c r="AC12" s="1319"/>
      <c r="AD12" s="1319"/>
      <c r="AE12" s="1319"/>
      <c r="AF12" s="1319"/>
      <c r="AG12" s="1319"/>
      <c r="AH12" s="1319"/>
      <c r="AI12" s="1319"/>
      <c r="AJ12" s="1319"/>
      <c r="AK12" s="1319"/>
      <c r="AL12" s="1319"/>
      <c r="AM12" s="1319"/>
      <c r="AN12" s="1319"/>
      <c r="AO12" s="1319"/>
      <c r="AP12" s="1319"/>
      <c r="AQ12" s="1319"/>
      <c r="AR12" s="1319"/>
      <c r="AS12" s="1319"/>
      <c r="AT12" s="1319"/>
      <c r="AU12" s="1319"/>
      <c r="AV12" s="1698" t="s">
        <v>62</v>
      </c>
      <c r="AW12" s="1594" t="s">
        <v>683</v>
      </c>
      <c r="AX12" s="1595"/>
      <c r="AY12" s="1595"/>
      <c r="AZ12" s="1596"/>
      <c r="BA12" s="1583" t="s">
        <v>684</v>
      </c>
      <c r="BB12" s="1584"/>
      <c r="BC12" s="1584"/>
      <c r="BD12" s="1585"/>
      <c r="BE12" s="1618" t="s">
        <v>685</v>
      </c>
      <c r="BF12" s="1619"/>
      <c r="BG12" s="1619"/>
      <c r="BH12" s="1620"/>
    </row>
    <row r="13" spans="2:60" ht="15.6">
      <c r="B13" s="1302"/>
      <c r="C13" s="1302"/>
      <c r="D13" s="1302"/>
      <c r="E13" s="1302"/>
      <c r="F13" s="1302"/>
      <c r="G13" s="1302"/>
      <c r="H13" s="1302"/>
      <c r="I13" s="1302"/>
      <c r="J13" s="1302"/>
      <c r="K13" s="1302"/>
      <c r="L13" s="1302"/>
      <c r="M13" s="1302"/>
      <c r="N13" s="1302"/>
      <c r="O13" s="1302"/>
      <c r="P13" s="1688" t="s">
        <v>21</v>
      </c>
      <c r="Q13" s="1688"/>
      <c r="R13" s="1688"/>
      <c r="S13" s="1688"/>
      <c r="T13" s="1688"/>
      <c r="U13" s="1688"/>
      <c r="V13" s="1688"/>
      <c r="W13" s="1688"/>
      <c r="X13" s="1688" t="s">
        <v>22</v>
      </c>
      <c r="Y13" s="1688"/>
      <c r="Z13" s="1688"/>
      <c r="AA13" s="1688"/>
      <c r="AB13" s="1688"/>
      <c r="AC13" s="1688"/>
      <c r="AD13" s="1688"/>
      <c r="AE13" s="1688"/>
      <c r="AF13" s="1688" t="s">
        <v>23</v>
      </c>
      <c r="AG13" s="1688"/>
      <c r="AH13" s="1688"/>
      <c r="AI13" s="1688"/>
      <c r="AJ13" s="1688"/>
      <c r="AK13" s="1688"/>
      <c r="AL13" s="1688"/>
      <c r="AM13" s="1688"/>
      <c r="AN13" s="1688" t="s">
        <v>24</v>
      </c>
      <c r="AO13" s="1688"/>
      <c r="AP13" s="1688"/>
      <c r="AQ13" s="1688"/>
      <c r="AR13" s="1688"/>
      <c r="AS13" s="1688"/>
      <c r="AT13" s="1688"/>
      <c r="AU13" s="1688"/>
      <c r="AV13" s="1698"/>
      <c r="AW13" s="1676" t="s">
        <v>119</v>
      </c>
      <c r="AX13" s="1676" t="s">
        <v>22</v>
      </c>
      <c r="AY13" s="1676" t="s">
        <v>120</v>
      </c>
      <c r="AZ13" s="1676" t="s">
        <v>121</v>
      </c>
      <c r="BA13" s="1679" t="s">
        <v>119</v>
      </c>
      <c r="BB13" s="1679" t="s">
        <v>122</v>
      </c>
      <c r="BC13" s="1679" t="s">
        <v>123</v>
      </c>
      <c r="BD13" s="1679" t="s">
        <v>124</v>
      </c>
      <c r="BE13" s="1673" t="s">
        <v>21</v>
      </c>
      <c r="BF13" s="1673" t="s">
        <v>22</v>
      </c>
      <c r="BG13" s="1673" t="s">
        <v>23</v>
      </c>
      <c r="BH13" s="1673" t="s">
        <v>24</v>
      </c>
    </row>
    <row r="14" spans="2:60" ht="15.6">
      <c r="B14" s="1302"/>
      <c r="C14" s="1302"/>
      <c r="D14" s="1302"/>
      <c r="E14" s="1302"/>
      <c r="F14" s="1302"/>
      <c r="G14" s="1302"/>
      <c r="H14" s="1302"/>
      <c r="I14" s="1302"/>
      <c r="J14" s="1302"/>
      <c r="K14" s="1302"/>
      <c r="L14" s="1302"/>
      <c r="M14" s="1302"/>
      <c r="N14" s="1302"/>
      <c r="O14" s="1302"/>
      <c r="P14" s="1672" t="s">
        <v>5</v>
      </c>
      <c r="Q14" s="1672"/>
      <c r="R14" s="1672" t="s">
        <v>6</v>
      </c>
      <c r="S14" s="1672"/>
      <c r="T14" s="1672" t="s">
        <v>7</v>
      </c>
      <c r="U14" s="1672"/>
      <c r="V14" s="1319" t="s">
        <v>8</v>
      </c>
      <c r="W14" s="1319"/>
      <c r="X14" s="1672" t="s">
        <v>27</v>
      </c>
      <c r="Y14" s="1672"/>
      <c r="Z14" s="1672" t="s">
        <v>9</v>
      </c>
      <c r="AA14" s="1672"/>
      <c r="AB14" s="1672" t="s">
        <v>10</v>
      </c>
      <c r="AC14" s="1672"/>
      <c r="AD14" s="1319" t="s">
        <v>8</v>
      </c>
      <c r="AE14" s="1319"/>
      <c r="AF14" s="1672" t="s">
        <v>11</v>
      </c>
      <c r="AG14" s="1672"/>
      <c r="AH14" s="1672" t="s">
        <v>12</v>
      </c>
      <c r="AI14" s="1672"/>
      <c r="AJ14" s="1672" t="s">
        <v>13</v>
      </c>
      <c r="AK14" s="1672"/>
      <c r="AL14" s="1319" t="s">
        <v>8</v>
      </c>
      <c r="AM14" s="1319"/>
      <c r="AN14" s="1672" t="s">
        <v>14</v>
      </c>
      <c r="AO14" s="1672"/>
      <c r="AP14" s="1672" t="s">
        <v>15</v>
      </c>
      <c r="AQ14" s="1672"/>
      <c r="AR14" s="1672" t="s">
        <v>16</v>
      </c>
      <c r="AS14" s="1672"/>
      <c r="AT14" s="1319" t="s">
        <v>8</v>
      </c>
      <c r="AU14" s="1319"/>
      <c r="AV14" s="1698"/>
      <c r="AW14" s="1677"/>
      <c r="AX14" s="1677"/>
      <c r="AY14" s="1677"/>
      <c r="AZ14" s="1677"/>
      <c r="BA14" s="1680"/>
      <c r="BB14" s="1680"/>
      <c r="BC14" s="1680"/>
      <c r="BD14" s="1680"/>
      <c r="BE14" s="1674"/>
      <c r="BF14" s="1674"/>
      <c r="BG14" s="1674"/>
      <c r="BH14" s="1674"/>
    </row>
    <row r="15" spans="2:60" ht="13.2" customHeight="1">
      <c r="B15" s="1302"/>
      <c r="C15" s="1302"/>
      <c r="D15" s="1302"/>
      <c r="E15" s="1302"/>
      <c r="F15" s="1302"/>
      <c r="G15" s="1302"/>
      <c r="H15" s="1302"/>
      <c r="I15" s="1302"/>
      <c r="J15" s="1302"/>
      <c r="K15" s="1302"/>
      <c r="L15" s="1302"/>
      <c r="M15" s="1302"/>
      <c r="N15" s="1302"/>
      <c r="O15" s="1302"/>
      <c r="P15" s="54" t="s">
        <v>17</v>
      </c>
      <c r="Q15" s="55" t="s">
        <v>18</v>
      </c>
      <c r="R15" s="54" t="s">
        <v>17</v>
      </c>
      <c r="S15" s="55" t="s">
        <v>18</v>
      </c>
      <c r="T15" s="54" t="s">
        <v>17</v>
      </c>
      <c r="U15" s="55" t="s">
        <v>18</v>
      </c>
      <c r="V15" s="56" t="s">
        <v>17</v>
      </c>
      <c r="W15" s="57" t="s">
        <v>18</v>
      </c>
      <c r="X15" s="54" t="s">
        <v>17</v>
      </c>
      <c r="Y15" s="55" t="s">
        <v>18</v>
      </c>
      <c r="Z15" s="54" t="s">
        <v>17</v>
      </c>
      <c r="AA15" s="55" t="s">
        <v>18</v>
      </c>
      <c r="AB15" s="54" t="s">
        <v>17</v>
      </c>
      <c r="AC15" s="55" t="s">
        <v>18</v>
      </c>
      <c r="AD15" s="56" t="s">
        <v>17</v>
      </c>
      <c r="AE15" s="57" t="s">
        <v>18</v>
      </c>
      <c r="AF15" s="54" t="s">
        <v>17</v>
      </c>
      <c r="AG15" s="55" t="s">
        <v>18</v>
      </c>
      <c r="AH15" s="54" t="s">
        <v>17</v>
      </c>
      <c r="AI15" s="55" t="s">
        <v>18</v>
      </c>
      <c r="AJ15" s="54" t="s">
        <v>17</v>
      </c>
      <c r="AK15" s="55" t="s">
        <v>18</v>
      </c>
      <c r="AL15" s="56" t="s">
        <v>17</v>
      </c>
      <c r="AM15" s="57" t="s">
        <v>18</v>
      </c>
      <c r="AN15" s="54" t="s">
        <v>17</v>
      </c>
      <c r="AO15" s="55" t="s">
        <v>18</v>
      </c>
      <c r="AP15" s="54" t="s">
        <v>17</v>
      </c>
      <c r="AQ15" s="55" t="s">
        <v>18</v>
      </c>
      <c r="AR15" s="54" t="s">
        <v>17</v>
      </c>
      <c r="AS15" s="55" t="s">
        <v>18</v>
      </c>
      <c r="AT15" s="56" t="s">
        <v>17</v>
      </c>
      <c r="AU15" s="57" t="s">
        <v>18</v>
      </c>
      <c r="AV15" s="1698"/>
      <c r="AW15" s="1678"/>
      <c r="AX15" s="1678"/>
      <c r="AY15" s="1678"/>
      <c r="AZ15" s="1678"/>
      <c r="BA15" s="1681"/>
      <c r="BB15" s="1681"/>
      <c r="BC15" s="1681"/>
      <c r="BD15" s="1681"/>
      <c r="BE15" s="1675"/>
      <c r="BF15" s="1675"/>
      <c r="BG15" s="1675"/>
      <c r="BH15" s="1675"/>
    </row>
    <row r="16" spans="2:60" ht="81.599999999999994" customHeight="1">
      <c r="B16" s="1559"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559" t="str">
        <f>+'01-FR-03 POA INSTITUCIONAL'!C93</f>
        <v>4.6. Desarrollar el 100% de las estrategias de comunicación organizacional y de medios que contribuyan al logro de los objetivos institucionales y al posicionamiento de la Entidad.</v>
      </c>
      <c r="D16" s="51" t="str">
        <f>+'01-FR-03 POA INSTITUCIONAL'!D93</f>
        <v>4.6.1  Desarrollar el 100% de los productos para comunicación y divulgación externa que promuevan y difundan la gestión institucional</v>
      </c>
      <c r="E16" s="52">
        <f>+'01-FR-03 POA INSTITUCIONAL'!E93</f>
        <v>0.5</v>
      </c>
      <c r="F16" s="52">
        <f>+'01-FR-03 POA INSTITUCIONAL'!F93</f>
        <v>1</v>
      </c>
      <c r="G16" s="52">
        <f>+'01-FR-03 POA INSTITUCIONAL'!L93</f>
        <v>1</v>
      </c>
      <c r="H16" s="52">
        <f>+'01-FR-03 POA INSTITUCIONAL'!G93</f>
        <v>1</v>
      </c>
      <c r="I16" s="40" t="str">
        <f>+'01-FR-03 POA INSTITUCIONAL'!H93</f>
        <v>Productos de comunicación externa desarrollados</v>
      </c>
      <c r="J16" s="72" t="s">
        <v>586</v>
      </c>
      <c r="K16" s="61" t="s">
        <v>592</v>
      </c>
      <c r="L16" s="71" t="s">
        <v>587</v>
      </c>
      <c r="M16" s="71" t="s">
        <v>588</v>
      </c>
      <c r="N16" s="71" t="s">
        <v>589</v>
      </c>
      <c r="O16" s="62" t="str">
        <f>+'01-FR-03 POA INSTITUCIONAL'!J93</f>
        <v>Oficina Asesora de Comunicaciones</v>
      </c>
      <c r="P16" s="92">
        <v>1</v>
      </c>
      <c r="Q16" s="310">
        <v>1</v>
      </c>
      <c r="R16" s="92">
        <v>1</v>
      </c>
      <c r="S16" s="310">
        <v>1</v>
      </c>
      <c r="T16" s="92">
        <v>1</v>
      </c>
      <c r="U16" s="310">
        <v>1</v>
      </c>
      <c r="V16" s="89">
        <f>AVERAGE(P16,R16,T16)</f>
        <v>1</v>
      </c>
      <c r="W16" s="89">
        <f>IFERROR(AVERAGE(Q16,S16,U16),0)</f>
        <v>1</v>
      </c>
      <c r="X16" s="92">
        <v>1</v>
      </c>
      <c r="Y16" s="1072">
        <v>0</v>
      </c>
      <c r="Z16" s="92">
        <v>1</v>
      </c>
      <c r="AA16" s="1072">
        <v>0</v>
      </c>
      <c r="AB16" s="92">
        <v>1</v>
      </c>
      <c r="AC16" s="1072">
        <v>0</v>
      </c>
      <c r="AD16" s="89">
        <f>AVERAGE(X16,Z16,AB16)</f>
        <v>1</v>
      </c>
      <c r="AE16" s="89">
        <f>IFERROR(AVERAGE(Y16,AA16,AC16),0)</f>
        <v>0</v>
      </c>
      <c r="AF16" s="92">
        <v>1</v>
      </c>
      <c r="AG16" s="1072">
        <v>0</v>
      </c>
      <c r="AH16" s="92">
        <v>1</v>
      </c>
      <c r="AI16" s="1072">
        <v>0</v>
      </c>
      <c r="AJ16" s="92">
        <v>1</v>
      </c>
      <c r="AK16" s="1072">
        <v>0</v>
      </c>
      <c r="AL16" s="89">
        <f>AVERAGE(AF16,AH16,AJ16)</f>
        <v>1</v>
      </c>
      <c r="AM16" s="89">
        <f>IFERROR(AVERAGE(AG16,AI16,AK16),0)</f>
        <v>0</v>
      </c>
      <c r="AN16" s="92">
        <v>1</v>
      </c>
      <c r="AO16" s="1072">
        <v>0</v>
      </c>
      <c r="AP16" s="92">
        <v>1</v>
      </c>
      <c r="AQ16" s="1072">
        <v>0</v>
      </c>
      <c r="AR16" s="92">
        <v>1</v>
      </c>
      <c r="AS16" s="1072">
        <v>0</v>
      </c>
      <c r="AT16" s="89">
        <f>AVERAGE(AN16,AP16,AR16)</f>
        <v>1</v>
      </c>
      <c r="AU16" s="89">
        <f>IFERROR(AVERAGE(AO16,AQ16,AS16),0)</f>
        <v>0</v>
      </c>
      <c r="AV16" s="89">
        <f>AVERAGE(P16,R16,T16,X16,Z16,AB16,AF16,AH16,AJ16,AN16,AP16,AR16)</f>
        <v>1</v>
      </c>
      <c r="AW16" s="65">
        <f>IFERROR(IF(OR($AV$16="",$AV$16=0),0,ROUNDDOWN(AVERAGE($Q16,$S16,$U16),3)),0)</f>
        <v>1</v>
      </c>
      <c r="AX16" s="1062">
        <f>IFERROR(IF(OR($AV$17="",$AV$17=0),0,ROUNDDOWN(AVERAGE($Q16,$S16,$U16,$Y16,$AA16,$AC16),3)),0)</f>
        <v>0.5</v>
      </c>
      <c r="AY16" s="1062">
        <f>IFERROR(IF(OR($AV$16="",$AV$16=0),0,ROUNDDOWN(AVERAGE($Q16,$S16,$U16,$Y16,$AA16,$AC16,$AG16,$AI16,$AK16),3)),0)</f>
        <v>0.33300000000000002</v>
      </c>
      <c r="AZ16" s="1062">
        <f t="shared" ref="AZ16" si="0">IFERROR(IF(OR($AV$16="",$AV$16=0),0,ROUNDDOWN(AVERAGE($Q16,$S16,$U16,$Y16,$AA16,$AC16,$AG16,$AI16,$AK16,$AO16,$AQ16,$AS16),3)),0)</f>
        <v>0.25</v>
      </c>
      <c r="BA16" s="342">
        <f>(IF(AND(AW16&gt;0,$AV16&gt;0),AW16/$AV16,0))*0.25</f>
        <v>0.25</v>
      </c>
      <c r="BB16" s="342">
        <f>(IF(AND(AX16&gt;0,$AV16&gt;0),AX16/$AV16,0))*0.5</f>
        <v>0.25</v>
      </c>
      <c r="BC16" s="342">
        <f>(IF(AND(AY16&gt;0,$AV16&gt;0),AY16/$AV16,0))*0.75</f>
        <v>0.24975000000000003</v>
      </c>
      <c r="BD16" s="342">
        <f t="shared" ref="BD16" si="1">(IF(AND(AZ16&gt;0,$AV16&gt;0),AZ16/$AV16,0))</f>
        <v>0.25</v>
      </c>
      <c r="BE16" s="348">
        <f>((IF(AND(AW16&gt;0,$F16&gt;0),AW16/$F16,0))/4)*0.25</f>
        <v>6.25E-2</v>
      </c>
      <c r="BF16" s="1063">
        <f>((IF(AND(AX16&gt;0,$F16&gt;0),AX16/$F16,0))/4)*0.5</f>
        <v>6.25E-2</v>
      </c>
      <c r="BG16" s="1063">
        <f>((IF(AND(AY16&gt;0,$F16&gt;0),AY16/$F16,0))/4)*0.75</f>
        <v>6.2437500000000007E-2</v>
      </c>
      <c r="BH16" s="1063">
        <f>((IF(AND(AZ16&gt;0,$F16&gt;0),AZ16/$F16,0))/4)</f>
        <v>6.25E-2</v>
      </c>
    </row>
    <row r="17" spans="2:60" ht="78.599999999999994" customHeight="1">
      <c r="B17" s="1278"/>
      <c r="C17" s="1278"/>
      <c r="D17" s="51" t="str">
        <f>+'01-FR-03 POA INSTITUCIONAL'!D94</f>
        <v>4.6.2 Desarrollar el 100% de los productos para comunicación y divulgación interna que contribuyan a la consecución de objetivos institucionales</v>
      </c>
      <c r="E17" s="52">
        <f>+'01-FR-03 POA INSTITUCIONAL'!E94</f>
        <v>0.5</v>
      </c>
      <c r="F17" s="52">
        <f>+'01-FR-03 POA INSTITUCIONAL'!F94</f>
        <v>1</v>
      </c>
      <c r="G17" s="52">
        <f>+'01-FR-03 POA INSTITUCIONAL'!L94</f>
        <v>1</v>
      </c>
      <c r="H17" s="52">
        <f>+'01-FR-03 POA INSTITUCIONAL'!G94</f>
        <v>1</v>
      </c>
      <c r="I17" s="40" t="str">
        <f>+'01-FR-03 POA INSTITUCIONAL'!H94</f>
        <v>Productos  de comunicación interna
desarrollados</v>
      </c>
      <c r="J17" s="72" t="s">
        <v>590</v>
      </c>
      <c r="K17" s="61" t="s">
        <v>593</v>
      </c>
      <c r="L17" s="71" t="s">
        <v>591</v>
      </c>
      <c r="M17" s="71" t="s">
        <v>588</v>
      </c>
      <c r="N17" s="71" t="s">
        <v>589</v>
      </c>
      <c r="O17" s="62" t="str">
        <f>+'01-FR-03 POA INSTITUCIONAL'!J94</f>
        <v>Oficina Asesora de Comunicaciones</v>
      </c>
      <c r="P17" s="92">
        <v>1</v>
      </c>
      <c r="Q17" s="310">
        <v>1</v>
      </c>
      <c r="R17" s="92">
        <v>1</v>
      </c>
      <c r="S17" s="310">
        <v>1</v>
      </c>
      <c r="T17" s="92">
        <v>1</v>
      </c>
      <c r="U17" s="310">
        <v>1</v>
      </c>
      <c r="V17" s="89">
        <f t="shared" ref="V17" si="2">AVERAGE(P17,R17,T17)</f>
        <v>1</v>
      </c>
      <c r="W17" s="89">
        <f t="shared" ref="W17" si="3">IFERROR(AVERAGE(Q17,S17,U17),0)</f>
        <v>1</v>
      </c>
      <c r="X17" s="92">
        <v>1</v>
      </c>
      <c r="Y17" s="1072">
        <v>0</v>
      </c>
      <c r="Z17" s="92">
        <v>1</v>
      </c>
      <c r="AA17" s="1072">
        <v>0</v>
      </c>
      <c r="AB17" s="92">
        <v>1</v>
      </c>
      <c r="AC17" s="1072">
        <v>0</v>
      </c>
      <c r="AD17" s="89">
        <f t="shared" ref="AD17" si="4">AVERAGE(X17,Z17,AB17)</f>
        <v>1</v>
      </c>
      <c r="AE17" s="89">
        <f t="shared" ref="AE17" si="5">IFERROR(AVERAGE(Y17,AA17,AC17),0)</f>
        <v>0</v>
      </c>
      <c r="AF17" s="92">
        <v>1</v>
      </c>
      <c r="AG17" s="1072">
        <v>0</v>
      </c>
      <c r="AH17" s="92">
        <v>1</v>
      </c>
      <c r="AI17" s="1072">
        <v>0</v>
      </c>
      <c r="AJ17" s="92">
        <v>1</v>
      </c>
      <c r="AK17" s="1072">
        <v>0</v>
      </c>
      <c r="AL17" s="89">
        <f t="shared" ref="AL17" si="6">AVERAGE(AF17,AH17,AJ17)</f>
        <v>1</v>
      </c>
      <c r="AM17" s="89">
        <f t="shared" ref="AM17" si="7">IFERROR(AVERAGE(AG17,AI17,AK17),0)</f>
        <v>0</v>
      </c>
      <c r="AN17" s="92">
        <v>1</v>
      </c>
      <c r="AO17" s="1072">
        <v>0</v>
      </c>
      <c r="AP17" s="92">
        <v>1</v>
      </c>
      <c r="AQ17" s="1072">
        <v>0</v>
      </c>
      <c r="AR17" s="92">
        <v>1</v>
      </c>
      <c r="AS17" s="1072">
        <v>0</v>
      </c>
      <c r="AT17" s="89">
        <f t="shared" ref="AT17" si="8">AVERAGE(AN17,AP17,AR17)</f>
        <v>1</v>
      </c>
      <c r="AU17" s="89">
        <f t="shared" ref="AU17" si="9">IFERROR(AVERAGE(AO17,AQ17,AS17),0)</f>
        <v>0</v>
      </c>
      <c r="AV17" s="89">
        <f t="shared" ref="AV17" si="10">AVERAGE(P17,R17,T17,X17,Z17,AB17,AF17,AH17,AJ17,AN17,AP17,AR17)</f>
        <v>1</v>
      </c>
      <c r="AW17" s="65">
        <f>IFERROR(IF(OR($AV$17="",$AV$17=0),0,ROUNDDOWN(AVERAGE($Q17,$S17,$U17),3)),0)</f>
        <v>1</v>
      </c>
      <c r="AX17" s="1062">
        <f>IFERROR(IF(OR($AV$17="",$AV$17=0),0,ROUNDDOWN(AVERAGE($Q17,$S17,$U17,$Y17,$AA17,$AC17),3)),0)</f>
        <v>0.5</v>
      </c>
      <c r="AY17" s="1062">
        <f>IFERROR(IF(OR($AV$17="",$AV$17=0),0,ROUNDDOWN(AVERAGE($Q17,$S17,$U17,$Y17,$AA17,$AC17,$AG17,$AI17,$AK17),3)),0)</f>
        <v>0.33300000000000002</v>
      </c>
      <c r="AZ17" s="1062">
        <f>IFERROR(IF(OR($AV$17="",$AV$17=0),0,ROUNDDOWN(AVERAGE($Q17,$S17,$U17,$Y17,$AA17,$AC17,$AG17,$AI17,$AK17,$AO17,$AQ17,$AS17),3)),0)</f>
        <v>0.25</v>
      </c>
      <c r="BA17" s="342">
        <f>(IF(AND(AW17&gt;0,$AV17&gt;0),AW17/$AV17,0))*0.25</f>
        <v>0.25</v>
      </c>
      <c r="BB17" s="342">
        <f>(IF(AND(AX17&gt;0,$AV17&gt;0),AX17/$AV17,0))*0.5</f>
        <v>0.25</v>
      </c>
      <c r="BC17" s="342">
        <f>(IF(AND(AY17&gt;0,$AV17&gt;0),AY17/$AV17,0))*0.75</f>
        <v>0.24975000000000003</v>
      </c>
      <c r="BD17" s="342">
        <f t="shared" ref="BD17" si="11">(IF(AND(AZ17&gt;0,$AV17&gt;0),AZ17/$AV17,0))</f>
        <v>0.25</v>
      </c>
      <c r="BE17" s="348">
        <f>((IF(AND(AW17&gt;0,$F17&gt;0),AW17/$F17,0))*0.25)*0.25</f>
        <v>6.25E-2</v>
      </c>
      <c r="BF17" s="1063">
        <f>((IF(AND(AX17&gt;0,$F17&gt;0),AX17/$F17,0))/4)*0.5</f>
        <v>6.25E-2</v>
      </c>
      <c r="BG17" s="1063">
        <f>((IF(AND(AY17&gt;0,$F17&gt;0),AY17/$F17,0))/4)*0.75</f>
        <v>6.2437500000000007E-2</v>
      </c>
      <c r="BH17" s="1063">
        <f>((IF(AND(AZ17&gt;0,$F17&gt;0),AZ17/$F17,0))/4)</f>
        <v>6.25E-2</v>
      </c>
    </row>
    <row r="18" spans="2:60" ht="22.8">
      <c r="B18" s="1657"/>
      <c r="C18" s="1658"/>
      <c r="D18" s="1658"/>
      <c r="E18" s="1658"/>
      <c r="F18" s="1658"/>
      <c r="G18" s="1658"/>
      <c r="H18" s="1658"/>
      <c r="I18" s="1658"/>
      <c r="J18" s="1658"/>
      <c r="K18" s="1658"/>
      <c r="L18" s="1658"/>
      <c r="M18" s="1658"/>
      <c r="N18" s="1658"/>
      <c r="O18" s="1658"/>
      <c r="P18" s="1658"/>
      <c r="Q18" s="1658"/>
      <c r="R18" s="1658"/>
      <c r="S18" s="1658"/>
      <c r="T18" s="1658"/>
      <c r="U18" s="1658"/>
      <c r="V18" s="1658"/>
      <c r="W18" s="1658"/>
      <c r="X18" s="1658"/>
      <c r="Y18" s="1658"/>
      <c r="Z18" s="1658"/>
      <c r="AA18" s="1658"/>
      <c r="AB18" s="1658"/>
      <c r="AC18" s="1658"/>
      <c r="AD18" s="1658"/>
      <c r="AE18" s="1658"/>
      <c r="AF18" s="1658"/>
      <c r="AG18" s="1658"/>
      <c r="AH18" s="1658"/>
      <c r="AI18" s="1658"/>
      <c r="AJ18" s="1658"/>
      <c r="AK18" s="1658"/>
      <c r="AL18" s="1658"/>
      <c r="AM18" s="1658"/>
      <c r="AN18" s="1658"/>
      <c r="AO18" s="1658"/>
      <c r="AP18" s="1658"/>
      <c r="AQ18" s="1658"/>
      <c r="AR18" s="1658"/>
      <c r="AS18" s="1658"/>
      <c r="AT18" s="1658"/>
      <c r="AU18" s="1658"/>
      <c r="AV18" s="1658"/>
      <c r="AW18" s="1659"/>
      <c r="AX18" s="1660" t="s">
        <v>19</v>
      </c>
      <c r="AY18" s="1661"/>
      <c r="AZ18" s="1661"/>
      <c r="BA18" s="70">
        <f t="shared" ref="BA18:BD18" si="12">AVERAGE(BA16:BA17)</f>
        <v>0.25</v>
      </c>
      <c r="BB18" s="70">
        <f t="shared" si="12"/>
        <v>0.25</v>
      </c>
      <c r="BC18" s="70">
        <f t="shared" si="12"/>
        <v>0.24975000000000003</v>
      </c>
      <c r="BD18" s="70">
        <f t="shared" si="12"/>
        <v>0.25</v>
      </c>
      <c r="BE18" s="1652"/>
      <c r="BF18" s="1653"/>
      <c r="BG18" s="1653"/>
      <c r="BH18" s="1654"/>
    </row>
    <row r="19" spans="2:60">
      <c r="B19" s="1656"/>
      <c r="C19" s="1656"/>
      <c r="D19" s="1656"/>
      <c r="E19" s="1656"/>
      <c r="F19" s="1656"/>
      <c r="G19" s="1656"/>
      <c r="H19" s="44"/>
      <c r="I19" s="43"/>
      <c r="J19" s="43"/>
      <c r="K19" s="43"/>
      <c r="L19" s="43"/>
      <c r="M19" s="43"/>
      <c r="N19" s="43"/>
      <c r="O19" s="43"/>
    </row>
    <row r="20" spans="2:60">
      <c r="B20" s="43"/>
      <c r="C20" s="43"/>
      <c r="D20" s="1662"/>
      <c r="E20" s="1662"/>
      <c r="F20" s="1662"/>
      <c r="G20" s="1662"/>
      <c r="H20" s="1662"/>
      <c r="I20" s="1662"/>
      <c r="J20" s="1662"/>
      <c r="K20" s="1662"/>
      <c r="L20" s="1662"/>
      <c r="M20" s="1662"/>
      <c r="N20" s="1662"/>
      <c r="O20" s="1662"/>
    </row>
    <row r="21" spans="2:60" ht="15.6" customHeight="1">
      <c r="B21" s="45" t="s">
        <v>26</v>
      </c>
      <c r="C21" s="46">
        <v>44224</v>
      </c>
      <c r="D21" s="47"/>
      <c r="E21" s="1663" t="s">
        <v>50</v>
      </c>
      <c r="F21" s="1666" t="s">
        <v>1112</v>
      </c>
      <c r="G21" s="1667"/>
      <c r="H21" s="1667"/>
      <c r="I21" s="1667"/>
      <c r="J21" s="1668"/>
      <c r="K21" s="48"/>
      <c r="L21" s="1664"/>
      <c r="M21" s="1664"/>
      <c r="N21" s="1664"/>
      <c r="O21" s="1665"/>
      <c r="T21" s="347"/>
    </row>
    <row r="22" spans="2:60" ht="15.6">
      <c r="B22" s="43"/>
      <c r="C22" s="43"/>
      <c r="D22" s="48"/>
      <c r="E22" s="1663"/>
      <c r="F22" s="1669"/>
      <c r="G22" s="1670"/>
      <c r="H22" s="1670"/>
      <c r="I22" s="1670"/>
      <c r="J22" s="1671"/>
      <c r="K22" s="43"/>
      <c r="L22" s="43"/>
      <c r="M22" s="43"/>
      <c r="N22" s="43"/>
      <c r="O22" s="43"/>
    </row>
    <row r="23" spans="2:60" ht="15.6">
      <c r="B23" s="45" t="s">
        <v>49</v>
      </c>
      <c r="C23" s="80">
        <v>44581</v>
      </c>
      <c r="D23" s="43"/>
      <c r="E23" s="43"/>
      <c r="F23" s="43"/>
      <c r="K23" s="43"/>
      <c r="L23" s="43"/>
      <c r="M23" s="43"/>
      <c r="N23" s="43"/>
      <c r="O23" s="43"/>
    </row>
    <row r="24" spans="2:60">
      <c r="B24" s="43"/>
      <c r="C24" s="43"/>
      <c r="D24" s="43"/>
      <c r="E24" s="43"/>
      <c r="F24" s="43"/>
      <c r="K24" s="43"/>
      <c r="L24" s="43"/>
      <c r="M24" s="43"/>
      <c r="N24" s="43"/>
      <c r="O24" s="43"/>
    </row>
    <row r="25" spans="2:60">
      <c r="B25" s="606" t="s">
        <v>681</v>
      </c>
      <c r="C25" s="43"/>
      <c r="D25" s="43"/>
      <c r="E25" s="43"/>
      <c r="F25" s="43"/>
      <c r="G25" s="44"/>
      <c r="H25" s="44"/>
      <c r="I25" s="1655"/>
      <c r="J25" s="1655"/>
      <c r="K25" s="1655"/>
      <c r="L25" s="1655"/>
      <c r="M25" s="49"/>
      <c r="N25" s="49"/>
      <c r="O25" s="49"/>
    </row>
    <row r="26" spans="2:60">
      <c r="B26" s="43"/>
      <c r="C26" s="43"/>
      <c r="D26" s="43"/>
      <c r="E26" s="43"/>
      <c r="F26" s="43"/>
      <c r="G26" s="44"/>
      <c r="H26" s="44"/>
      <c r="I26" s="43"/>
      <c r="J26" s="43"/>
      <c r="K26" s="50"/>
      <c r="L26" s="43"/>
      <c r="M26" s="43"/>
      <c r="N26" s="43"/>
      <c r="O26" s="43"/>
    </row>
    <row r="27" spans="2:60">
      <c r="B27" s="43"/>
      <c r="C27" s="43"/>
      <c r="D27" s="43"/>
      <c r="E27" s="43"/>
      <c r="F27" s="43"/>
      <c r="G27" s="44"/>
      <c r="H27" s="44"/>
      <c r="I27" s="1655"/>
      <c r="J27" s="1655"/>
      <c r="K27" s="1655"/>
      <c r="L27" s="1655"/>
      <c r="M27" s="49"/>
      <c r="N27" s="49"/>
      <c r="O27" s="49"/>
    </row>
    <row r="28" spans="2:60">
      <c r="B28" s="43"/>
      <c r="C28" s="43"/>
      <c r="D28" s="43"/>
      <c r="E28" s="43"/>
      <c r="F28" s="43"/>
      <c r="G28" s="44"/>
      <c r="H28" s="44"/>
      <c r="I28" s="43"/>
      <c r="J28" s="43"/>
      <c r="K28" s="50"/>
      <c r="L28" s="43"/>
      <c r="M28" s="43"/>
      <c r="N28" s="43"/>
      <c r="O28" s="43"/>
    </row>
    <row r="29" spans="2:60">
      <c r="B29" s="43"/>
      <c r="C29" s="43"/>
      <c r="D29" s="43"/>
      <c r="E29" s="43"/>
      <c r="F29" s="43"/>
      <c r="G29" s="44"/>
      <c r="H29" s="44"/>
      <c r="I29" s="1655"/>
      <c r="J29" s="1655"/>
      <c r="K29" s="1655"/>
      <c r="L29" s="1655"/>
      <c r="M29" s="49"/>
      <c r="N29" s="49"/>
      <c r="O29" s="49"/>
    </row>
  </sheetData>
  <sheetProtection algorithmName="SHA-512" hashValue="mIKMMwSfij9uWwqyUpZA+ISQNsfSQEsaoPNuHvQ0sAtD+g95WmZslRpqes51EzC52z9Jc3PYrWdN93iaDgBE+Q==" saltValue="WNysKAEuJPOFcsYLhdwf1g==" spinCount="100000" sheet="1" objects="1" scenarios="1"/>
  <mergeCells count="71">
    <mergeCell ref="B2:B6"/>
    <mergeCell ref="B12:B15"/>
    <mergeCell ref="C12:C15"/>
    <mergeCell ref="D12:D15"/>
    <mergeCell ref="E12:E15"/>
    <mergeCell ref="C10:D10"/>
    <mergeCell ref="K12:K15"/>
    <mergeCell ref="C2:BF6"/>
    <mergeCell ref="AJ14:AK14"/>
    <mergeCell ref="AL14:AM14"/>
    <mergeCell ref="P13:W13"/>
    <mergeCell ref="AV12:AV15"/>
    <mergeCell ref="AW12:AZ12"/>
    <mergeCell ref="BA12:BD12"/>
    <mergeCell ref="BF13:BF15"/>
    <mergeCell ref="F12:F15"/>
    <mergeCell ref="BG6:BH6"/>
    <mergeCell ref="AW7:BA7"/>
    <mergeCell ref="C8:D8"/>
    <mergeCell ref="C9:D9"/>
    <mergeCell ref="X13:AE13"/>
    <mergeCell ref="AF13:AM13"/>
    <mergeCell ref="AN13:AU13"/>
    <mergeCell ref="O12:O15"/>
    <mergeCell ref="P12:AU12"/>
    <mergeCell ref="X14:Y14"/>
    <mergeCell ref="Z14:AA14"/>
    <mergeCell ref="AN14:AO14"/>
    <mergeCell ref="AP14:AQ14"/>
    <mergeCell ref="AR14:AS14"/>
    <mergeCell ref="AT14:AU14"/>
    <mergeCell ref="AH14:AI14"/>
    <mergeCell ref="BG13:BG15"/>
    <mergeCell ref="BE12:BH12"/>
    <mergeCell ref="BH13:BH15"/>
    <mergeCell ref="AW13:AW15"/>
    <mergeCell ref="AX13:AX15"/>
    <mergeCell ref="AY13:AY15"/>
    <mergeCell ref="AZ13:AZ15"/>
    <mergeCell ref="BA13:BA15"/>
    <mergeCell ref="BB13:BB15"/>
    <mergeCell ref="BC13:BC15"/>
    <mergeCell ref="BD13:BD15"/>
    <mergeCell ref="BE13:BE15"/>
    <mergeCell ref="B16:B17"/>
    <mergeCell ref="C16:C17"/>
    <mergeCell ref="AB14:AC14"/>
    <mergeCell ref="AD14:AE14"/>
    <mergeCell ref="AF14:AG14"/>
    <mergeCell ref="P14:Q14"/>
    <mergeCell ref="R14:S14"/>
    <mergeCell ref="T14:U14"/>
    <mergeCell ref="V14:W14"/>
    <mergeCell ref="G12:G15"/>
    <mergeCell ref="N12:N15"/>
    <mergeCell ref="L12:L15"/>
    <mergeCell ref="M12:M15"/>
    <mergeCell ref="H12:H15"/>
    <mergeCell ref="I12:I15"/>
    <mergeCell ref="J12:J15"/>
    <mergeCell ref="BE18:BH18"/>
    <mergeCell ref="I25:L25"/>
    <mergeCell ref="I27:L27"/>
    <mergeCell ref="I29:L29"/>
    <mergeCell ref="B19:G19"/>
    <mergeCell ref="B18:AW18"/>
    <mergeCell ref="AX18:AZ18"/>
    <mergeCell ref="D20:O20"/>
    <mergeCell ref="E21:E22"/>
    <mergeCell ref="L21:O21"/>
    <mergeCell ref="F21:J22"/>
  </mergeCells>
  <conditionalFormatting sqref="BA16:BD17">
    <cfRule type="cellIs" dxfId="54" priority="1" operator="greaterThan">
      <formula>1</formula>
    </cfRule>
    <cfRule type="cellIs" dxfId="53" priority="2" operator="between">
      <formula>0.8</formula>
      <formula>1</formula>
    </cfRule>
    <cfRule type="cellIs" dxfId="52" priority="3" operator="between">
      <formula>0.61</formula>
      <formula>0.79</formula>
    </cfRule>
    <cfRule type="cellIs" dxfId="51" priority="4" operator="between">
      <formula>0</formula>
      <formula>0.6</formula>
    </cfRule>
  </conditionalFormatting>
  <dataValidations count="1">
    <dataValidation allowBlank="1" showInputMessage="1" showErrorMessage="1" prompt="Transcriba de manera exacta el objetivo definido en la caracterización del proceso." sqref="C9:D9" xr:uid="{86AC6917-9672-480A-A256-2BAAA53018BA}"/>
  </dataValidation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D4C3A-E9B0-4D23-9F26-A9322F7807EB}">
  <sheetPr>
    <tabColor rgb="FF66FF33"/>
  </sheetPr>
  <dimension ref="B1:BH47"/>
  <sheetViews>
    <sheetView showGridLines="0" zoomScale="55" zoomScaleNormal="55" workbookViewId="0">
      <selection activeCell="C10" sqref="C10:D10"/>
    </sheetView>
  </sheetViews>
  <sheetFormatPr baseColWidth="10" defaultColWidth="17.33203125" defaultRowHeight="15" customHeight="1"/>
  <cols>
    <col min="1" max="1" width="4.33203125" style="135" customWidth="1"/>
    <col min="2" max="2" width="50.44140625" style="133" customWidth="1"/>
    <col min="3" max="3" width="39.6640625" style="133" customWidth="1"/>
    <col min="4" max="4" width="66.109375" style="133" customWidth="1"/>
    <col min="5" max="6" width="27.88671875" style="133" customWidth="1"/>
    <col min="7" max="7" width="23.5546875" style="134" customWidth="1"/>
    <col min="8" max="8" width="13.33203125" style="134" customWidth="1"/>
    <col min="9" max="9" width="46.88671875" style="133" customWidth="1"/>
    <col min="10" max="10" width="63" style="133" customWidth="1"/>
    <col min="11" max="11" width="69.33203125" style="133" customWidth="1"/>
    <col min="12" max="12" width="48.44140625" style="133" customWidth="1"/>
    <col min="13" max="13" width="28.5546875" style="133" customWidth="1"/>
    <col min="14" max="14" width="30.6640625" style="133" customWidth="1"/>
    <col min="15" max="15" width="60.44140625" style="133" customWidth="1"/>
    <col min="16" max="47" width="15.88671875" style="135" customWidth="1"/>
    <col min="48" max="48" width="24.5546875" style="135" customWidth="1"/>
    <col min="49" max="52" width="17.88671875" style="135" customWidth="1"/>
    <col min="53" max="56" width="18.88671875" style="135" customWidth="1"/>
    <col min="57" max="60" width="18.44140625" style="135" customWidth="1"/>
    <col min="61" max="16384" width="17.33203125" style="135"/>
  </cols>
  <sheetData>
    <row r="1" spans="2:60" ht="15" customHeight="1" thickBot="1"/>
    <row r="2" spans="2:60" ht="16.5" customHeight="1">
      <c r="B2" s="1575" t="s">
        <v>686</v>
      </c>
      <c r="C2" s="1600" t="s">
        <v>118</v>
      </c>
      <c r="D2" s="1601"/>
      <c r="E2" s="1601"/>
      <c r="F2" s="1601"/>
      <c r="G2" s="1601"/>
      <c r="H2" s="1601"/>
      <c r="I2" s="1601"/>
      <c r="J2" s="1601"/>
      <c r="K2" s="1601"/>
      <c r="L2" s="1601"/>
      <c r="M2" s="1601"/>
      <c r="N2" s="1601"/>
      <c r="O2" s="1601"/>
      <c r="P2" s="1601"/>
      <c r="Q2" s="1601"/>
      <c r="R2" s="1601"/>
      <c r="S2" s="1601"/>
      <c r="T2" s="1601"/>
      <c r="U2" s="1601"/>
      <c r="V2" s="1601"/>
      <c r="W2" s="1601"/>
      <c r="X2" s="1601"/>
      <c r="Y2" s="1601"/>
      <c r="Z2" s="1601"/>
      <c r="AA2" s="1601"/>
      <c r="AB2" s="1601"/>
      <c r="AC2" s="1601"/>
      <c r="AD2" s="1601"/>
      <c r="AE2" s="1601"/>
      <c r="AF2" s="1601"/>
      <c r="AG2" s="1601"/>
      <c r="AH2" s="1601"/>
      <c r="AI2" s="1601"/>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2"/>
      <c r="BG2" s="230" t="s">
        <v>31</v>
      </c>
      <c r="BH2" s="231"/>
    </row>
    <row r="3" spans="2:60" ht="16.5" customHeight="1">
      <c r="B3" s="1576"/>
      <c r="C3" s="1603"/>
      <c r="D3" s="1604"/>
      <c r="E3" s="1604"/>
      <c r="F3" s="1604"/>
      <c r="G3" s="1604"/>
      <c r="H3" s="1604"/>
      <c r="I3" s="1604"/>
      <c r="J3" s="1604"/>
      <c r="K3" s="1604"/>
      <c r="L3" s="1604"/>
      <c r="M3" s="1604"/>
      <c r="N3" s="1604"/>
      <c r="O3" s="1604"/>
      <c r="P3" s="1604"/>
      <c r="Q3" s="1604"/>
      <c r="R3" s="1604"/>
      <c r="S3" s="1604"/>
      <c r="T3" s="1604"/>
      <c r="U3" s="1604"/>
      <c r="V3" s="1604"/>
      <c r="W3" s="1604"/>
      <c r="X3" s="1604"/>
      <c r="Y3" s="1604"/>
      <c r="Z3" s="1604"/>
      <c r="AA3" s="1604"/>
      <c r="AB3" s="1604"/>
      <c r="AC3" s="1604"/>
      <c r="AD3" s="1604"/>
      <c r="AE3" s="1604"/>
      <c r="AF3" s="1604"/>
      <c r="AG3" s="1604"/>
      <c r="AH3" s="1604"/>
      <c r="AI3" s="1604"/>
      <c r="AJ3" s="1604"/>
      <c r="AK3" s="1604"/>
      <c r="AL3" s="1604"/>
      <c r="AM3" s="1604"/>
      <c r="AN3" s="1604"/>
      <c r="AO3" s="1604"/>
      <c r="AP3" s="1604"/>
      <c r="AQ3" s="1604"/>
      <c r="AR3" s="1604"/>
      <c r="AS3" s="1604"/>
      <c r="AT3" s="1604"/>
      <c r="AU3" s="1604"/>
      <c r="AV3" s="1604"/>
      <c r="AW3" s="1604"/>
      <c r="AX3" s="1604"/>
      <c r="AY3" s="1604"/>
      <c r="AZ3" s="1604"/>
      <c r="BA3" s="1604"/>
      <c r="BB3" s="1604"/>
      <c r="BC3" s="1604"/>
      <c r="BD3" s="1604"/>
      <c r="BE3" s="1604"/>
      <c r="BF3" s="1605"/>
      <c r="BG3" s="209" t="s">
        <v>28</v>
      </c>
      <c r="BH3" s="28" t="s">
        <v>29</v>
      </c>
    </row>
    <row r="4" spans="2:60" ht="16.5" customHeight="1">
      <c r="B4" s="1576"/>
      <c r="C4" s="1603"/>
      <c r="D4" s="1604"/>
      <c r="E4" s="1604"/>
      <c r="F4" s="1604"/>
      <c r="G4" s="1604"/>
      <c r="H4" s="1604"/>
      <c r="I4" s="1604"/>
      <c r="J4" s="1604"/>
      <c r="K4" s="1604"/>
      <c r="L4" s="1604"/>
      <c r="M4" s="1604"/>
      <c r="N4" s="1604"/>
      <c r="O4" s="1604"/>
      <c r="P4" s="1604"/>
      <c r="Q4" s="1604"/>
      <c r="R4" s="1604"/>
      <c r="S4" s="1604"/>
      <c r="T4" s="1604"/>
      <c r="U4" s="1604"/>
      <c r="V4" s="1604"/>
      <c r="W4" s="1604"/>
      <c r="X4" s="1604"/>
      <c r="Y4" s="1604"/>
      <c r="Z4" s="1604"/>
      <c r="AA4" s="1604"/>
      <c r="AB4" s="1604"/>
      <c r="AC4" s="1604"/>
      <c r="AD4" s="1604"/>
      <c r="AE4" s="1604"/>
      <c r="AF4" s="1604"/>
      <c r="AG4" s="1604"/>
      <c r="AH4" s="1604"/>
      <c r="AI4" s="1604"/>
      <c r="AJ4" s="1604"/>
      <c r="AK4" s="1604"/>
      <c r="AL4" s="1604"/>
      <c r="AM4" s="1604"/>
      <c r="AN4" s="1604"/>
      <c r="AO4" s="1604"/>
      <c r="AP4" s="1604"/>
      <c r="AQ4" s="1604"/>
      <c r="AR4" s="1604"/>
      <c r="AS4" s="1604"/>
      <c r="AT4" s="1604"/>
      <c r="AU4" s="1604"/>
      <c r="AV4" s="1604"/>
      <c r="AW4" s="1604"/>
      <c r="AX4" s="1604"/>
      <c r="AY4" s="1604"/>
      <c r="AZ4" s="1604"/>
      <c r="BA4" s="1604"/>
      <c r="BB4" s="1604"/>
      <c r="BC4" s="1604"/>
      <c r="BD4" s="1604"/>
      <c r="BE4" s="1604"/>
      <c r="BF4" s="1605"/>
      <c r="BG4" s="210">
        <v>5</v>
      </c>
      <c r="BH4" s="30" t="s">
        <v>657</v>
      </c>
    </row>
    <row r="5" spans="2:60" ht="16.5" customHeight="1">
      <c r="B5" s="1576"/>
      <c r="C5" s="1603"/>
      <c r="D5" s="1604"/>
      <c r="E5" s="1604"/>
      <c r="F5" s="1604"/>
      <c r="G5" s="1604"/>
      <c r="H5" s="1604"/>
      <c r="I5" s="1604"/>
      <c r="J5" s="1604"/>
      <c r="K5" s="1604"/>
      <c r="L5" s="1604"/>
      <c r="M5" s="1604"/>
      <c r="N5" s="1604"/>
      <c r="O5" s="1604"/>
      <c r="P5" s="1604"/>
      <c r="Q5" s="1604"/>
      <c r="R5" s="1604"/>
      <c r="S5" s="1604"/>
      <c r="T5" s="1604"/>
      <c r="U5" s="1604"/>
      <c r="V5" s="1604"/>
      <c r="W5" s="1604"/>
      <c r="X5" s="1604"/>
      <c r="Y5" s="1604"/>
      <c r="Z5" s="1604"/>
      <c r="AA5" s="1604"/>
      <c r="AB5" s="1604"/>
      <c r="AC5" s="1604"/>
      <c r="AD5" s="1604"/>
      <c r="AE5" s="1604"/>
      <c r="AF5" s="1604"/>
      <c r="AG5" s="1604"/>
      <c r="AH5" s="1604"/>
      <c r="AI5" s="1604"/>
      <c r="AJ5" s="1604"/>
      <c r="AK5" s="1604"/>
      <c r="AL5" s="1604"/>
      <c r="AM5" s="1604"/>
      <c r="AN5" s="1604"/>
      <c r="AO5" s="1604"/>
      <c r="AP5" s="1604"/>
      <c r="AQ5" s="1604"/>
      <c r="AR5" s="1604"/>
      <c r="AS5" s="1604"/>
      <c r="AT5" s="1604"/>
      <c r="AU5" s="1604"/>
      <c r="AV5" s="1604"/>
      <c r="AW5" s="1604"/>
      <c r="AX5" s="1604"/>
      <c r="AY5" s="1604"/>
      <c r="AZ5" s="1604"/>
      <c r="BA5" s="1604"/>
      <c r="BB5" s="1604"/>
      <c r="BC5" s="1604"/>
      <c r="BD5" s="1604"/>
      <c r="BE5" s="1604"/>
      <c r="BF5" s="1605"/>
      <c r="BG5" s="211" t="s">
        <v>30</v>
      </c>
      <c r="BH5" s="212"/>
    </row>
    <row r="6" spans="2:60" ht="16.5" customHeight="1" thickBot="1">
      <c r="B6" s="1577"/>
      <c r="C6" s="1606"/>
      <c r="D6" s="1607"/>
      <c r="E6" s="1607"/>
      <c r="F6" s="1607"/>
      <c r="G6" s="1607"/>
      <c r="H6" s="1607"/>
      <c r="I6" s="1607"/>
      <c r="J6" s="1607"/>
      <c r="K6" s="1607"/>
      <c r="L6" s="1607"/>
      <c r="M6" s="1607"/>
      <c r="N6" s="1607"/>
      <c r="O6" s="1607"/>
      <c r="P6" s="1607"/>
      <c r="Q6" s="1607"/>
      <c r="R6" s="1607"/>
      <c r="S6" s="1607"/>
      <c r="T6" s="1607"/>
      <c r="U6" s="1607"/>
      <c r="V6" s="1607"/>
      <c r="W6" s="1607"/>
      <c r="X6" s="1607"/>
      <c r="Y6" s="1607"/>
      <c r="Z6" s="1607"/>
      <c r="AA6" s="1607"/>
      <c r="AB6" s="1607"/>
      <c r="AC6" s="1607"/>
      <c r="AD6" s="1607"/>
      <c r="AE6" s="1607"/>
      <c r="AF6" s="1607"/>
      <c r="AG6" s="1607"/>
      <c r="AH6" s="1607"/>
      <c r="AI6" s="1607"/>
      <c r="AJ6" s="1607"/>
      <c r="AK6" s="1607"/>
      <c r="AL6" s="1607"/>
      <c r="AM6" s="1607"/>
      <c r="AN6" s="1607"/>
      <c r="AO6" s="1607"/>
      <c r="AP6" s="1607"/>
      <c r="AQ6" s="1607"/>
      <c r="AR6" s="1607"/>
      <c r="AS6" s="1607"/>
      <c r="AT6" s="1607"/>
      <c r="AU6" s="1607"/>
      <c r="AV6" s="1607"/>
      <c r="AW6" s="1607"/>
      <c r="AX6" s="1607"/>
      <c r="AY6" s="1607"/>
      <c r="AZ6" s="1607"/>
      <c r="BA6" s="1607"/>
      <c r="BB6" s="1607"/>
      <c r="BC6" s="1607"/>
      <c r="BD6" s="1607"/>
      <c r="BE6" s="1607"/>
      <c r="BF6" s="1608"/>
      <c r="BG6" s="1566">
        <v>44306</v>
      </c>
      <c r="BH6" s="1567"/>
    </row>
    <row r="7" spans="2:60" ht="19.5" customHeight="1">
      <c r="B7" s="136"/>
      <c r="C7" s="136"/>
      <c r="D7" s="136"/>
      <c r="E7" s="136"/>
      <c r="F7" s="136"/>
      <c r="G7" s="137"/>
      <c r="H7" s="137"/>
      <c r="I7" s="136"/>
      <c r="J7" s="136"/>
      <c r="K7" s="136"/>
      <c r="L7" s="136"/>
      <c r="M7" s="136"/>
      <c r="N7" s="136"/>
      <c r="O7" s="136"/>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589"/>
      <c r="AX7" s="1633"/>
      <c r="AY7" s="1633"/>
      <c r="AZ7" s="1633"/>
      <c r="BA7" s="1591"/>
      <c r="BB7" s="232"/>
      <c r="BC7" s="232"/>
      <c r="BD7" s="232"/>
      <c r="BE7" s="138"/>
      <c r="BF7" s="138"/>
    </row>
    <row r="8" spans="2:60" ht="28.5" customHeight="1">
      <c r="B8" s="213" t="s">
        <v>45</v>
      </c>
      <c r="C8" s="1609" t="s">
        <v>88</v>
      </c>
      <c r="D8" s="1609"/>
      <c r="E8" s="214"/>
      <c r="F8" s="214"/>
      <c r="G8" s="214"/>
      <c r="H8" s="214"/>
      <c r="I8" s="214"/>
      <c r="J8" s="214"/>
      <c r="K8" s="214"/>
      <c r="L8" s="214"/>
      <c r="M8" s="214"/>
      <c r="N8" s="214"/>
      <c r="O8" s="214"/>
      <c r="AW8" s="232"/>
      <c r="AX8" s="232"/>
      <c r="AY8" s="232"/>
      <c r="AZ8" s="232"/>
      <c r="BA8" s="232"/>
      <c r="BB8" s="232"/>
      <c r="BC8" s="232"/>
      <c r="BD8" s="232"/>
    </row>
    <row r="9" spans="2:60" ht="98.25" customHeight="1">
      <c r="B9" s="213" t="s">
        <v>34</v>
      </c>
      <c r="C9" s="1645" t="s">
        <v>199</v>
      </c>
      <c r="D9" s="1646"/>
      <c r="E9" s="214"/>
      <c r="F9" s="214"/>
      <c r="G9" s="214"/>
      <c r="H9" s="214"/>
      <c r="I9" s="214"/>
      <c r="J9" s="214"/>
      <c r="K9" s="214"/>
      <c r="L9" s="214"/>
      <c r="M9" s="214"/>
      <c r="N9" s="214"/>
      <c r="O9" s="214"/>
      <c r="AW9" s="232"/>
      <c r="AX9" s="232"/>
      <c r="AY9" s="232"/>
      <c r="AZ9" s="232"/>
      <c r="BA9" s="232"/>
      <c r="BB9" s="232"/>
      <c r="BC9" s="232"/>
      <c r="BD9" s="232"/>
    </row>
    <row r="10" spans="2:60" ht="30" customHeight="1">
      <c r="B10" s="213" t="s">
        <v>101</v>
      </c>
      <c r="C10" s="1612">
        <v>2022</v>
      </c>
      <c r="D10" s="1613"/>
      <c r="E10" s="214"/>
      <c r="F10" s="214"/>
      <c r="G10" s="214"/>
      <c r="H10" s="214"/>
      <c r="I10" s="214"/>
      <c r="J10" s="214"/>
      <c r="K10" s="214"/>
      <c r="L10" s="214"/>
      <c r="M10" s="214"/>
      <c r="N10" s="214"/>
      <c r="O10" s="214"/>
      <c r="AW10" s="232"/>
      <c r="AX10" s="232"/>
      <c r="AY10" s="232"/>
      <c r="AZ10" s="232"/>
      <c r="BA10" s="232"/>
      <c r="BB10" s="232"/>
      <c r="BC10" s="232"/>
      <c r="BD10" s="232"/>
    </row>
    <row r="11" spans="2:60" ht="14.25" customHeight="1">
      <c r="B11" s="136"/>
      <c r="C11" s="136"/>
      <c r="D11" s="136"/>
      <c r="E11" s="136"/>
      <c r="F11" s="136"/>
      <c r="G11" s="137"/>
      <c r="H11" s="137"/>
      <c r="I11" s="136"/>
      <c r="J11" s="136"/>
      <c r="K11" s="136"/>
      <c r="L11" s="136"/>
      <c r="M11" s="136"/>
      <c r="N11" s="136"/>
      <c r="O11" s="136"/>
      <c r="AW11" s="232"/>
      <c r="AX11" s="232"/>
      <c r="AY11" s="232"/>
      <c r="AZ11" s="232"/>
      <c r="BA11" s="232"/>
      <c r="BB11" s="232"/>
      <c r="BC11" s="232"/>
      <c r="BD11" s="232"/>
    </row>
    <row r="12" spans="2:60" ht="33" customHeight="1">
      <c r="B12" s="1476" t="s">
        <v>0</v>
      </c>
      <c r="C12" s="1476" t="s">
        <v>52</v>
      </c>
      <c r="D12" s="1302" t="s">
        <v>711</v>
      </c>
      <c r="E12" s="1476" t="s">
        <v>61</v>
      </c>
      <c r="F12" s="1302" t="s">
        <v>682</v>
      </c>
      <c r="G12" s="1476" t="s">
        <v>58</v>
      </c>
      <c r="H12" s="1476" t="s">
        <v>25</v>
      </c>
      <c r="I12" s="1476" t="s">
        <v>60</v>
      </c>
      <c r="J12" s="1476" t="s">
        <v>39</v>
      </c>
      <c r="K12" s="1476" t="s">
        <v>36</v>
      </c>
      <c r="L12" s="1476" t="s">
        <v>20</v>
      </c>
      <c r="M12" s="1476" t="s">
        <v>51</v>
      </c>
      <c r="N12" s="1476" t="s">
        <v>40</v>
      </c>
      <c r="O12" s="1476" t="s">
        <v>42</v>
      </c>
      <c r="P12" s="1528" t="s">
        <v>112</v>
      </c>
      <c r="Q12" s="1528"/>
      <c r="R12" s="1528"/>
      <c r="S12" s="1528"/>
      <c r="T12" s="1528"/>
      <c r="U12" s="1528"/>
      <c r="V12" s="1528"/>
      <c r="W12" s="1528"/>
      <c r="X12" s="1528"/>
      <c r="Y12" s="1528"/>
      <c r="Z12" s="1528"/>
      <c r="AA12" s="1528"/>
      <c r="AB12" s="1528"/>
      <c r="AC12" s="1528"/>
      <c r="AD12" s="1528"/>
      <c r="AE12" s="1528"/>
      <c r="AF12" s="1528"/>
      <c r="AG12" s="1528"/>
      <c r="AH12" s="1528"/>
      <c r="AI12" s="1528"/>
      <c r="AJ12" s="1528"/>
      <c r="AK12" s="1528"/>
      <c r="AL12" s="1528"/>
      <c r="AM12" s="1528"/>
      <c r="AN12" s="1528"/>
      <c r="AO12" s="1528"/>
      <c r="AP12" s="1528"/>
      <c r="AQ12" s="1528"/>
      <c r="AR12" s="1528"/>
      <c r="AS12" s="1528"/>
      <c r="AT12" s="1528"/>
      <c r="AU12" s="1528"/>
      <c r="AV12" s="1592" t="s">
        <v>62</v>
      </c>
      <c r="AW12" s="1594" t="s">
        <v>683</v>
      </c>
      <c r="AX12" s="1595"/>
      <c r="AY12" s="1595"/>
      <c r="AZ12" s="1596"/>
      <c r="BA12" s="1583" t="s">
        <v>684</v>
      </c>
      <c r="BB12" s="1584"/>
      <c r="BC12" s="1584"/>
      <c r="BD12" s="1585"/>
      <c r="BE12" s="1618" t="s">
        <v>685</v>
      </c>
      <c r="BF12" s="1619"/>
      <c r="BG12" s="1619"/>
      <c r="BH12" s="1620"/>
    </row>
    <row r="13" spans="2:60" ht="21.75" customHeight="1">
      <c r="B13" s="1476"/>
      <c r="C13" s="1476"/>
      <c r="D13" s="1302"/>
      <c r="E13" s="1476"/>
      <c r="F13" s="1302"/>
      <c r="G13" s="1476"/>
      <c r="H13" s="1476"/>
      <c r="I13" s="1476"/>
      <c r="J13" s="1476"/>
      <c r="K13" s="1476"/>
      <c r="L13" s="1476"/>
      <c r="M13" s="1476"/>
      <c r="N13" s="1476"/>
      <c r="O13" s="1476"/>
      <c r="P13" s="1593" t="s">
        <v>21</v>
      </c>
      <c r="Q13" s="1593"/>
      <c r="R13" s="1593"/>
      <c r="S13" s="1593"/>
      <c r="T13" s="1593"/>
      <c r="U13" s="1593"/>
      <c r="V13" s="1593"/>
      <c r="W13" s="1593"/>
      <c r="X13" s="1593" t="s">
        <v>22</v>
      </c>
      <c r="Y13" s="1593"/>
      <c r="Z13" s="1593"/>
      <c r="AA13" s="1593"/>
      <c r="AB13" s="1593"/>
      <c r="AC13" s="1593"/>
      <c r="AD13" s="1593"/>
      <c r="AE13" s="1593"/>
      <c r="AF13" s="1593" t="s">
        <v>23</v>
      </c>
      <c r="AG13" s="1593"/>
      <c r="AH13" s="1593"/>
      <c r="AI13" s="1593"/>
      <c r="AJ13" s="1593"/>
      <c r="AK13" s="1593"/>
      <c r="AL13" s="1593"/>
      <c r="AM13" s="1593"/>
      <c r="AN13" s="1593" t="s">
        <v>24</v>
      </c>
      <c r="AO13" s="1593"/>
      <c r="AP13" s="1593"/>
      <c r="AQ13" s="1593"/>
      <c r="AR13" s="1593"/>
      <c r="AS13" s="1593"/>
      <c r="AT13" s="1593"/>
      <c r="AU13" s="1593"/>
      <c r="AV13" s="1592"/>
      <c r="AW13" s="1597" t="s">
        <v>119</v>
      </c>
      <c r="AX13" s="1597" t="s">
        <v>22</v>
      </c>
      <c r="AY13" s="1597" t="s">
        <v>120</v>
      </c>
      <c r="AZ13" s="1597" t="s">
        <v>121</v>
      </c>
      <c r="BA13" s="1586" t="s">
        <v>119</v>
      </c>
      <c r="BB13" s="1586" t="s">
        <v>122</v>
      </c>
      <c r="BC13" s="1586" t="s">
        <v>123</v>
      </c>
      <c r="BD13" s="1586" t="s">
        <v>124</v>
      </c>
      <c r="BE13" s="1580" t="s">
        <v>21</v>
      </c>
      <c r="BF13" s="1580" t="s">
        <v>22</v>
      </c>
      <c r="BG13" s="1580" t="s">
        <v>23</v>
      </c>
      <c r="BH13" s="1580" t="s">
        <v>24</v>
      </c>
    </row>
    <row r="14" spans="2:60" ht="21.75" customHeight="1">
      <c r="B14" s="1476"/>
      <c r="C14" s="1476"/>
      <c r="D14" s="1302"/>
      <c r="E14" s="1476"/>
      <c r="F14" s="1302"/>
      <c r="G14" s="1476"/>
      <c r="H14" s="1476"/>
      <c r="I14" s="1476"/>
      <c r="J14" s="1476"/>
      <c r="K14" s="1476"/>
      <c r="L14" s="1476"/>
      <c r="M14" s="1476"/>
      <c r="N14" s="1476"/>
      <c r="O14" s="1476"/>
      <c r="P14" s="1641" t="s">
        <v>5</v>
      </c>
      <c r="Q14" s="1641"/>
      <c r="R14" s="1641" t="s">
        <v>6</v>
      </c>
      <c r="S14" s="1641"/>
      <c r="T14" s="1641" t="s">
        <v>7</v>
      </c>
      <c r="U14" s="1641"/>
      <c r="V14" s="1528" t="s">
        <v>8</v>
      </c>
      <c r="W14" s="1528"/>
      <c r="X14" s="1641" t="s">
        <v>27</v>
      </c>
      <c r="Y14" s="1641"/>
      <c r="Z14" s="1641" t="s">
        <v>9</v>
      </c>
      <c r="AA14" s="1641"/>
      <c r="AB14" s="1641" t="s">
        <v>10</v>
      </c>
      <c r="AC14" s="1641"/>
      <c r="AD14" s="1528" t="s">
        <v>8</v>
      </c>
      <c r="AE14" s="1528"/>
      <c r="AF14" s="1641" t="s">
        <v>11</v>
      </c>
      <c r="AG14" s="1641"/>
      <c r="AH14" s="1641" t="s">
        <v>12</v>
      </c>
      <c r="AI14" s="1641"/>
      <c r="AJ14" s="1641" t="s">
        <v>13</v>
      </c>
      <c r="AK14" s="1641"/>
      <c r="AL14" s="1528" t="s">
        <v>8</v>
      </c>
      <c r="AM14" s="1528"/>
      <c r="AN14" s="1641" t="s">
        <v>14</v>
      </c>
      <c r="AO14" s="1641"/>
      <c r="AP14" s="1641" t="s">
        <v>15</v>
      </c>
      <c r="AQ14" s="1641"/>
      <c r="AR14" s="1641" t="s">
        <v>16</v>
      </c>
      <c r="AS14" s="1641"/>
      <c r="AT14" s="1528" t="s">
        <v>8</v>
      </c>
      <c r="AU14" s="1528"/>
      <c r="AV14" s="1592"/>
      <c r="AW14" s="1598"/>
      <c r="AX14" s="1598"/>
      <c r="AY14" s="1598"/>
      <c r="AZ14" s="1598"/>
      <c r="BA14" s="1587"/>
      <c r="BB14" s="1587"/>
      <c r="BC14" s="1587"/>
      <c r="BD14" s="1587"/>
      <c r="BE14" s="1581"/>
      <c r="BF14" s="1581"/>
      <c r="BG14" s="1581"/>
      <c r="BH14" s="1581"/>
    </row>
    <row r="15" spans="2:60" ht="21.75" customHeight="1">
      <c r="B15" s="1476"/>
      <c r="C15" s="1476"/>
      <c r="D15" s="1302"/>
      <c r="E15" s="1476"/>
      <c r="F15" s="1302"/>
      <c r="G15" s="1476"/>
      <c r="H15" s="1476"/>
      <c r="I15" s="1476"/>
      <c r="J15" s="1476"/>
      <c r="K15" s="1476"/>
      <c r="L15" s="1476"/>
      <c r="M15" s="1476"/>
      <c r="N15" s="1476"/>
      <c r="O15" s="1476"/>
      <c r="P15" s="248" t="s">
        <v>17</v>
      </c>
      <c r="Q15" s="249" t="s">
        <v>18</v>
      </c>
      <c r="R15" s="248" t="s">
        <v>17</v>
      </c>
      <c r="S15" s="249" t="s">
        <v>18</v>
      </c>
      <c r="T15" s="248" t="s">
        <v>17</v>
      </c>
      <c r="U15" s="249" t="s">
        <v>18</v>
      </c>
      <c r="V15" s="250" t="s">
        <v>17</v>
      </c>
      <c r="W15" s="251" t="s">
        <v>18</v>
      </c>
      <c r="X15" s="248" t="s">
        <v>17</v>
      </c>
      <c r="Y15" s="249" t="s">
        <v>18</v>
      </c>
      <c r="Z15" s="248" t="s">
        <v>17</v>
      </c>
      <c r="AA15" s="249" t="s">
        <v>18</v>
      </c>
      <c r="AB15" s="248" t="s">
        <v>17</v>
      </c>
      <c r="AC15" s="249" t="s">
        <v>18</v>
      </c>
      <c r="AD15" s="250" t="s">
        <v>17</v>
      </c>
      <c r="AE15" s="251" t="s">
        <v>18</v>
      </c>
      <c r="AF15" s="248" t="s">
        <v>17</v>
      </c>
      <c r="AG15" s="249" t="s">
        <v>18</v>
      </c>
      <c r="AH15" s="248" t="s">
        <v>17</v>
      </c>
      <c r="AI15" s="249" t="s">
        <v>18</v>
      </c>
      <c r="AJ15" s="248" t="s">
        <v>17</v>
      </c>
      <c r="AK15" s="249" t="s">
        <v>18</v>
      </c>
      <c r="AL15" s="250" t="s">
        <v>17</v>
      </c>
      <c r="AM15" s="251" t="s">
        <v>18</v>
      </c>
      <c r="AN15" s="248" t="s">
        <v>17</v>
      </c>
      <c r="AO15" s="249" t="s">
        <v>18</v>
      </c>
      <c r="AP15" s="248" t="s">
        <v>17</v>
      </c>
      <c r="AQ15" s="249" t="s">
        <v>18</v>
      </c>
      <c r="AR15" s="248" t="s">
        <v>17</v>
      </c>
      <c r="AS15" s="249" t="s">
        <v>18</v>
      </c>
      <c r="AT15" s="250" t="s">
        <v>17</v>
      </c>
      <c r="AU15" s="251" t="s">
        <v>18</v>
      </c>
      <c r="AV15" s="1592"/>
      <c r="AW15" s="1599"/>
      <c r="AX15" s="1599"/>
      <c r="AY15" s="1599"/>
      <c r="AZ15" s="1599"/>
      <c r="BA15" s="1588"/>
      <c r="BB15" s="1588"/>
      <c r="BC15" s="1588"/>
      <c r="BD15" s="1588"/>
      <c r="BE15" s="1582"/>
      <c r="BF15" s="1582"/>
      <c r="BG15" s="1582"/>
      <c r="BH15" s="1582"/>
    </row>
    <row r="16" spans="2:60" ht="92.25" customHeight="1">
      <c r="B16" s="1707" t="str" cm="1">
        <f t="array" ref="B16">'[5]POA Anualizado (Pág 1 de 3)'!B13:B13</f>
        <v>Promover la defensa y protección de los derechos de las personas en el Distrito Capital con énfasis en los sujetos de especial protección constitucional, en particular de las personas mayores y mujeres y la población migrante a través de acciones que propendan por su garantía.</v>
      </c>
      <c r="C16" s="1493" t="str">
        <f>+'01-FR-03 POA INSTITUCIONAL'!C13</f>
        <v>1.1. Realizar 884.203 acciones que promuevan la defensa, garantía y restablecimiento de los derechos de las personas en el Distrito Capital.</v>
      </c>
      <c r="D16" s="306" t="str">
        <f>+'01-FR-03 POA INSTITUCIONAL'!D13</f>
        <v>1.1.1 Realizar 356.610 intervenciones dentro del ejercicio del Ministerio Público para prevenir la vulneración de derechos y/o lograr el  restablecimiento de los mismos.</v>
      </c>
      <c r="E16" s="52">
        <f>+'01-FR-03 POA INSTITUCIONAL'!E13</f>
        <v>0.38</v>
      </c>
      <c r="F16" s="139">
        <f>+'01-FR-03 POA INSTITUCIONAL'!F13</f>
        <v>356610</v>
      </c>
      <c r="G16" s="139">
        <f>+'01-FR-03 POA INSTITUCIONAL'!L13</f>
        <v>106660</v>
      </c>
      <c r="H16" s="140" t="str">
        <f>+'01-FR-03 POA INSTITUCIONAL'!G13</f>
        <v>S.I.</v>
      </c>
      <c r="I16" s="140" t="str">
        <f>+'01-FR-03 POA INSTITUCIONAL'!H13</f>
        <v>Intervenciones realizadas en defensa de los derechos</v>
      </c>
      <c r="J16" s="140" t="s">
        <v>224</v>
      </c>
      <c r="K16" s="275" t="s">
        <v>200</v>
      </c>
      <c r="L16" s="1000" t="s">
        <v>1114</v>
      </c>
      <c r="M16" s="216" t="s">
        <v>201</v>
      </c>
      <c r="N16" s="216" t="s">
        <v>202</v>
      </c>
      <c r="O16" s="34" t="str">
        <f>+'01-FR-03 POA INSTITUCIONAL'!J13</f>
        <v>P.D. para Asuntos Penales I, Penales II, Derechos Humanos y Policivos y Civiles
P.D. para los Sectores Planeación y Movilidad y la P.D. para los Sectores Educación y Cultura, Recreación y Deporte</v>
      </c>
      <c r="P16" s="902">
        <f>15+6610</f>
        <v>6625</v>
      </c>
      <c r="Q16" s="902">
        <v>8588</v>
      </c>
      <c r="R16" s="902">
        <f>50+9290</f>
        <v>9340</v>
      </c>
      <c r="S16" s="902">
        <v>8736</v>
      </c>
      <c r="T16" s="902">
        <f>50+9290</f>
        <v>9340</v>
      </c>
      <c r="U16" s="902">
        <v>11821</v>
      </c>
      <c r="V16" s="53">
        <f>P16+R16+T16</f>
        <v>25305</v>
      </c>
      <c r="W16" s="53">
        <f>Q16+S16+U16</f>
        <v>29145</v>
      </c>
      <c r="X16" s="902">
        <f>50+9290</f>
        <v>9340</v>
      </c>
      <c r="Y16" s="902"/>
      <c r="Z16" s="902">
        <f>50+9290</f>
        <v>9340</v>
      </c>
      <c r="AA16" s="902"/>
      <c r="AB16" s="902">
        <f>50+9290</f>
        <v>9340</v>
      </c>
      <c r="AC16" s="902"/>
      <c r="AD16" s="53">
        <f>X16+Z16+AB16</f>
        <v>28020</v>
      </c>
      <c r="AE16" s="53">
        <f>Y16+AA16+AC16</f>
        <v>0</v>
      </c>
      <c r="AF16" s="902">
        <f>50+9290</f>
        <v>9340</v>
      </c>
      <c r="AG16" s="902"/>
      <c r="AH16" s="902">
        <f>50+9290</f>
        <v>9340</v>
      </c>
      <c r="AI16" s="902"/>
      <c r="AJ16" s="902">
        <f>50+9290</f>
        <v>9340</v>
      </c>
      <c r="AK16" s="1005"/>
      <c r="AL16" s="53">
        <f>AF16+AH16+AJ16</f>
        <v>28020</v>
      </c>
      <c r="AM16" s="53">
        <f>AG16+AI16+AK16</f>
        <v>0</v>
      </c>
      <c r="AN16" s="902">
        <f>50+9290</f>
        <v>9340</v>
      </c>
      <c r="AO16" s="930"/>
      <c r="AP16" s="902">
        <f>50+9290</f>
        <v>9340</v>
      </c>
      <c r="AQ16" s="930"/>
      <c r="AR16" s="929">
        <f>25+6610</f>
        <v>6635</v>
      </c>
      <c r="AS16" s="902"/>
      <c r="AT16" s="53">
        <f>AN16+AP16+AR16</f>
        <v>25315</v>
      </c>
      <c r="AU16" s="53">
        <f>AO16+AQ16+AS16</f>
        <v>0</v>
      </c>
      <c r="AV16" s="252">
        <f>V16+AD16+AL16+AT16</f>
        <v>106660</v>
      </c>
      <c r="AW16" s="81">
        <f>+W16</f>
        <v>29145</v>
      </c>
      <c r="AX16" s="1053">
        <f>+W16+AE16</f>
        <v>29145</v>
      </c>
      <c r="AY16" s="1053">
        <f>+W16+AE16+AM16</f>
        <v>29145</v>
      </c>
      <c r="AZ16" s="1053">
        <f>+W16+AE16+AM16+AU16</f>
        <v>29145</v>
      </c>
      <c r="BA16" s="319">
        <f>IF(AND(AW16&gt;0,$AV16&gt;0),AW16/$AV16,0)</f>
        <v>0.273251453215826</v>
      </c>
      <c r="BB16" s="319">
        <f t="shared" ref="BB16:BD16" si="0">IF(AND(AX16&gt;0,$AV16&gt;0),AX16/$AV16,0)</f>
        <v>0.273251453215826</v>
      </c>
      <c r="BC16" s="319">
        <f t="shared" si="0"/>
        <v>0.273251453215826</v>
      </c>
      <c r="BD16" s="319">
        <f t="shared" si="0"/>
        <v>0.273251453215826</v>
      </c>
      <c r="BE16" s="346">
        <f>(IF(AND(AW16&gt;0,$F16&gt;0),AW16/$F16,0))</f>
        <v>8.1727938083620763E-2</v>
      </c>
      <c r="BF16" s="1056">
        <f t="shared" ref="BF16:BH20" si="1">(IF(AND(AX16&gt;0,$F16&gt;0),AX16/$F16,0))</f>
        <v>8.1727938083620763E-2</v>
      </c>
      <c r="BG16" s="1056">
        <f t="shared" si="1"/>
        <v>8.1727938083620763E-2</v>
      </c>
      <c r="BH16" s="1056">
        <f t="shared" si="1"/>
        <v>8.1727938083620763E-2</v>
      </c>
    </row>
    <row r="17" spans="2:60" ht="111.75" customHeight="1">
      <c r="B17" s="1708"/>
      <c r="C17" s="1494"/>
      <c r="D17" s="306" t="str">
        <f>+'01-FR-03 POA INSTITUCIONAL'!D14</f>
        <v>1.1.2 Orientar 292.755 personas en garantía de derechos.</v>
      </c>
      <c r="E17" s="52">
        <f>+'01-FR-03 POA INSTITUCIONAL'!E14</f>
        <v>0.3</v>
      </c>
      <c r="F17" s="139">
        <f>+'01-FR-03 POA INSTITUCIONAL'!F14</f>
        <v>292755</v>
      </c>
      <c r="G17" s="139">
        <f>+'01-FR-03 POA INSTITUCIONAL'!L14</f>
        <v>97105</v>
      </c>
      <c r="H17" s="140" t="str">
        <f>+'01-FR-03 POA INSTITUCIONAL'!G14</f>
        <v>S.I.</v>
      </c>
      <c r="I17" s="140" t="str">
        <f>+'01-FR-03 POA INSTITUCIONAL'!H14</f>
        <v>Personas orientadas en garantía de derechos</v>
      </c>
      <c r="J17" s="140" t="s">
        <v>225</v>
      </c>
      <c r="K17" s="275" t="s">
        <v>203</v>
      </c>
      <c r="L17" s="1000" t="s">
        <v>1115</v>
      </c>
      <c r="M17" s="216" t="s">
        <v>201</v>
      </c>
      <c r="N17" s="216" t="s">
        <v>202</v>
      </c>
      <c r="O17" s="34" t="str">
        <f>+'01-FR-03 POA INSTITUCIONAL'!J14</f>
        <v>P.D. para la Coordinación del MP y DDHH y sus dependencias adscritas
P.D. para la Coordinación de la Gestión de Personerías Locales y sus Personerías Locales adscritas
P.D. para la Coordinación de la Prevención y Control a la Función Pública y sus dependencias adscritas</v>
      </c>
      <c r="P17" s="902">
        <f>800+450+4200</f>
        <v>5450</v>
      </c>
      <c r="Q17" s="902">
        <v>6641</v>
      </c>
      <c r="R17" s="902">
        <f>1000+450+6166</f>
        <v>7616</v>
      </c>
      <c r="S17" s="902">
        <v>9767</v>
      </c>
      <c r="T17" s="902">
        <f>1100+450+7005</f>
        <v>8555</v>
      </c>
      <c r="U17" s="902">
        <v>10099</v>
      </c>
      <c r="V17" s="53">
        <f t="shared" ref="V17:W35" si="2">P17+R17+T17</f>
        <v>21621</v>
      </c>
      <c r="W17" s="53">
        <f t="shared" si="2"/>
        <v>26507</v>
      </c>
      <c r="X17" s="902">
        <f>1100+450+6772</f>
        <v>8322</v>
      </c>
      <c r="Y17" s="902"/>
      <c r="Z17" s="902">
        <f>1000+450+7373</f>
        <v>8823</v>
      </c>
      <c r="AA17" s="902"/>
      <c r="AB17" s="902">
        <f>1000+450+7402</f>
        <v>8852</v>
      </c>
      <c r="AC17" s="1005"/>
      <c r="AD17" s="53">
        <f t="shared" ref="AD17:AE35" si="3">X17+Z17+AB17</f>
        <v>25997</v>
      </c>
      <c r="AE17" s="53">
        <f t="shared" si="3"/>
        <v>0</v>
      </c>
      <c r="AF17" s="902">
        <f>1000+450+7432</f>
        <v>8882</v>
      </c>
      <c r="AG17" s="902"/>
      <c r="AH17" s="902">
        <f>1000+450+7432</f>
        <v>8882</v>
      </c>
      <c r="AI17" s="902"/>
      <c r="AJ17" s="902">
        <f>1000+450+7431</f>
        <v>8881</v>
      </c>
      <c r="AK17" s="1005"/>
      <c r="AL17" s="53">
        <f t="shared" ref="AL17:AM35" si="4">AF17+AH17+AJ17</f>
        <v>26645</v>
      </c>
      <c r="AM17" s="53">
        <f t="shared" si="4"/>
        <v>0</v>
      </c>
      <c r="AN17" s="929">
        <f>1000+450+7211</f>
        <v>8661</v>
      </c>
      <c r="AO17" s="930"/>
      <c r="AP17" s="929">
        <f>1000+450+7096</f>
        <v>8546</v>
      </c>
      <c r="AQ17" s="930"/>
      <c r="AR17" s="929">
        <f>1000+50+4585</f>
        <v>5635</v>
      </c>
      <c r="AS17" s="902"/>
      <c r="AT17" s="53">
        <f t="shared" ref="AT17:AU35" si="5">AN17+AP17+AR17</f>
        <v>22842</v>
      </c>
      <c r="AU17" s="53">
        <f t="shared" si="5"/>
        <v>0</v>
      </c>
      <c r="AV17" s="252">
        <f t="shared" ref="AV17:AV35" si="6">V17+AD17+AL17+AT17</f>
        <v>97105</v>
      </c>
      <c r="AW17" s="81">
        <f t="shared" ref="AW17:AW35" si="7">+W17</f>
        <v>26507</v>
      </c>
      <c r="AX17" s="1053">
        <f t="shared" ref="AX17:AX35" si="8">+W17+AE17</f>
        <v>26507</v>
      </c>
      <c r="AY17" s="1053">
        <f t="shared" ref="AY17:AY35" si="9">+W17+AE17+AM17</f>
        <v>26507</v>
      </c>
      <c r="AZ17" s="1053">
        <f t="shared" ref="AZ17:AZ35" si="10">+W17+AE17+AM17+AU17</f>
        <v>26507</v>
      </c>
      <c r="BA17" s="319">
        <f t="shared" ref="BA17:BA18" si="11">IF(AND(AW17&gt;0,$AV17&gt;0),AW17/$AV17,0)</f>
        <v>0.27297255548118016</v>
      </c>
      <c r="BB17" s="319">
        <f t="shared" ref="BB17:BB19" si="12">IF(AND(AX17&gt;0,$AV17&gt;0),AX17/$AV17,0)</f>
        <v>0.27297255548118016</v>
      </c>
      <c r="BC17" s="319">
        <f t="shared" ref="BC17:BC19" si="13">IF(AND(AY17&gt;0,$AV17&gt;0),AY17/$AV17,0)</f>
        <v>0.27297255548118016</v>
      </c>
      <c r="BD17" s="319">
        <f t="shared" ref="BD17:BD19" si="14">IF(AND(AZ17&gt;0,$AV17&gt;0),AZ17/$AV17,0)</f>
        <v>0.27297255548118016</v>
      </c>
      <c r="BE17" s="346">
        <f t="shared" ref="BE17:BE20" si="15">(IF(AND(AW17&gt;0,$F17&gt;0),AW17/$F17,0))</f>
        <v>9.0543287048897539E-2</v>
      </c>
      <c r="BF17" s="1056">
        <f t="shared" si="1"/>
        <v>9.0543287048897539E-2</v>
      </c>
      <c r="BG17" s="1056">
        <f t="shared" si="1"/>
        <v>9.0543287048897539E-2</v>
      </c>
      <c r="BH17" s="1056">
        <f t="shared" si="1"/>
        <v>9.0543287048897539E-2</v>
      </c>
    </row>
    <row r="18" spans="2:60" ht="138.75" customHeight="1">
      <c r="B18" s="1708"/>
      <c r="C18" s="1494"/>
      <c r="D18" s="306" t="str">
        <f>+'01-FR-03 POA INSTITUCIONAL'!D15</f>
        <v>1.1.3 Asistir 117.610 personas en garantía de derechos.</v>
      </c>
      <c r="E18" s="52">
        <f>+'01-FR-03 POA INSTITUCIONAL'!E15</f>
        <v>0.15</v>
      </c>
      <c r="F18" s="139">
        <f>+'01-FR-03 POA INSTITUCIONAL'!F15</f>
        <v>117610</v>
      </c>
      <c r="G18" s="139">
        <f>+'01-FR-03 POA INSTITUCIONAL'!L15</f>
        <v>26115</v>
      </c>
      <c r="H18" s="140" t="str">
        <f>+'01-FR-03 POA INSTITUCIONAL'!G15</f>
        <v>S.I.</v>
      </c>
      <c r="I18" s="140" t="str">
        <f>+'01-FR-03 POA INSTITUCIONAL'!H15</f>
        <v>Personas asistidas en garantía de derechos</v>
      </c>
      <c r="J18" s="140" t="s">
        <v>226</v>
      </c>
      <c r="K18" s="275" t="s">
        <v>204</v>
      </c>
      <c r="L18" s="1000" t="s">
        <v>1116</v>
      </c>
      <c r="M18" s="216" t="s">
        <v>201</v>
      </c>
      <c r="N18" s="216" t="s">
        <v>202</v>
      </c>
      <c r="O18" s="34" t="str">
        <f>+'01-FR-03 POA INSTITUCIONAL'!J15</f>
        <v>P.D. para Asuntos Policivos y Civiles, Derechos Humanos, Familia, Orientación y Asistencia, Consumidor, Asuntos Jurisdiccionales y Dirección de Conciliación y M.A.S.C.
P.D. para la Coordinación de la Gestión de Personerías Locales y sus Personerías Locales adscritas
P.D. para la Coordinación de la Prevención y Control a la Función Pública y sus dependencias adscritas</v>
      </c>
      <c r="P18" s="902">
        <f>150+0+1050</f>
        <v>1200</v>
      </c>
      <c r="Q18" s="902">
        <v>2792</v>
      </c>
      <c r="R18" s="902">
        <f>350+800+1580</f>
        <v>2730</v>
      </c>
      <c r="S18" s="902">
        <v>3287</v>
      </c>
      <c r="T18" s="902">
        <f>350+800+1590</f>
        <v>2740</v>
      </c>
      <c r="U18" s="902">
        <v>3439</v>
      </c>
      <c r="V18" s="53">
        <f t="shared" si="2"/>
        <v>6670</v>
      </c>
      <c r="W18" s="53">
        <f t="shared" si="2"/>
        <v>9518</v>
      </c>
      <c r="X18" s="902">
        <f>350+800+1440</f>
        <v>2590</v>
      </c>
      <c r="Y18" s="902"/>
      <c r="Z18" s="902">
        <f>350+800+1640</f>
        <v>2790</v>
      </c>
      <c r="AA18" s="902"/>
      <c r="AB18" s="902">
        <f>350+800+1635</f>
        <v>2785</v>
      </c>
      <c r="AC18" s="902"/>
      <c r="AD18" s="53">
        <f t="shared" si="3"/>
        <v>8165</v>
      </c>
      <c r="AE18" s="53">
        <f t="shared" si="3"/>
        <v>0</v>
      </c>
      <c r="AF18" s="902">
        <f>350+800+1635</f>
        <v>2785</v>
      </c>
      <c r="AG18" s="902"/>
      <c r="AH18" s="902">
        <f>350+800+840</f>
        <v>1990</v>
      </c>
      <c r="AI18" s="902"/>
      <c r="AJ18" s="902">
        <f>350+800+840</f>
        <v>1990</v>
      </c>
      <c r="AK18" s="902"/>
      <c r="AL18" s="53">
        <f t="shared" si="4"/>
        <v>6765</v>
      </c>
      <c r="AM18" s="53">
        <f t="shared" si="4"/>
        <v>0</v>
      </c>
      <c r="AN18" s="902">
        <f>350+800+785</f>
        <v>1935</v>
      </c>
      <c r="AO18" s="930"/>
      <c r="AP18" s="902">
        <f>350+800+790</f>
        <v>1940</v>
      </c>
      <c r="AQ18" s="930"/>
      <c r="AR18" s="929">
        <f>150+0+490</f>
        <v>640</v>
      </c>
      <c r="AS18" s="902"/>
      <c r="AT18" s="53">
        <f t="shared" si="5"/>
        <v>4515</v>
      </c>
      <c r="AU18" s="53">
        <f t="shared" si="5"/>
        <v>0</v>
      </c>
      <c r="AV18" s="252">
        <f t="shared" si="6"/>
        <v>26115</v>
      </c>
      <c r="AW18" s="81">
        <f t="shared" si="7"/>
        <v>9518</v>
      </c>
      <c r="AX18" s="1053">
        <f t="shared" si="8"/>
        <v>9518</v>
      </c>
      <c r="AY18" s="1053">
        <f t="shared" si="9"/>
        <v>9518</v>
      </c>
      <c r="AZ18" s="1053">
        <f t="shared" si="10"/>
        <v>9518</v>
      </c>
      <c r="BA18" s="319">
        <f t="shared" si="11"/>
        <v>0.36446486693471186</v>
      </c>
      <c r="BB18" s="319">
        <f t="shared" si="12"/>
        <v>0.36446486693471186</v>
      </c>
      <c r="BC18" s="319">
        <f t="shared" si="13"/>
        <v>0.36446486693471186</v>
      </c>
      <c r="BD18" s="319">
        <f t="shared" si="14"/>
        <v>0.36446486693471186</v>
      </c>
      <c r="BE18" s="346">
        <f t="shared" si="15"/>
        <v>8.0928492475129662E-2</v>
      </c>
      <c r="BF18" s="1056">
        <f t="shared" si="1"/>
        <v>8.0928492475129662E-2</v>
      </c>
      <c r="BG18" s="1056">
        <f t="shared" si="1"/>
        <v>8.0928492475129662E-2</v>
      </c>
      <c r="BH18" s="1056">
        <f t="shared" si="1"/>
        <v>8.0928492475129662E-2</v>
      </c>
    </row>
    <row r="19" spans="2:60" ht="84" customHeight="1">
      <c r="B19" s="1708"/>
      <c r="C19" s="1494"/>
      <c r="D19" s="306" t="str">
        <f>+'01-FR-03 POA INSTITUCIONAL'!D16</f>
        <v>1.1.4 Asistir a 28.586 personas en mecanismos alternativos de solución de conflictos.</v>
      </c>
      <c r="E19" s="52">
        <f>+'01-FR-03 POA INSTITUCIONAL'!E16</f>
        <v>0.04</v>
      </c>
      <c r="F19" s="139">
        <f>+'01-FR-03 POA INSTITUCIONAL'!F16</f>
        <v>28586</v>
      </c>
      <c r="G19" s="139">
        <f>+'01-FR-03 POA INSTITUCIONAL'!L16</f>
        <v>6900</v>
      </c>
      <c r="H19" s="140" t="str">
        <f>+'01-FR-03 POA INSTITUCIONAL'!G16</f>
        <v>S.I.</v>
      </c>
      <c r="I19" s="140" t="str">
        <f>+'01-FR-03 POA INSTITUCIONAL'!H16</f>
        <v>Personas asistidas en Mecanismos Alternativos de Solución de Conflictos</v>
      </c>
      <c r="J19" s="140" t="s">
        <v>227</v>
      </c>
      <c r="K19" s="275" t="s">
        <v>205</v>
      </c>
      <c r="L19" s="1001" t="s">
        <v>1117</v>
      </c>
      <c r="M19" s="216" t="s">
        <v>201</v>
      </c>
      <c r="N19" s="216" t="s">
        <v>202</v>
      </c>
      <c r="O19" s="34" t="str">
        <f>+'01-FR-03 POA INSTITUCIONAL'!J16</f>
        <v>Dirección de Conciliación y M.A.S.C.</v>
      </c>
      <c r="P19" s="902">
        <v>300</v>
      </c>
      <c r="Q19" s="902">
        <v>916</v>
      </c>
      <c r="R19" s="902">
        <v>300</v>
      </c>
      <c r="S19" s="902">
        <v>1152</v>
      </c>
      <c r="T19" s="902">
        <v>300</v>
      </c>
      <c r="U19" s="902">
        <v>1221</v>
      </c>
      <c r="V19" s="53">
        <f t="shared" si="2"/>
        <v>900</v>
      </c>
      <c r="W19" s="53">
        <f t="shared" si="2"/>
        <v>3289</v>
      </c>
      <c r="X19" s="902">
        <v>500</v>
      </c>
      <c r="Y19" s="902"/>
      <c r="Z19" s="902">
        <v>500</v>
      </c>
      <c r="AA19" s="902"/>
      <c r="AB19" s="902">
        <v>500</v>
      </c>
      <c r="AC19" s="902"/>
      <c r="AD19" s="53">
        <f t="shared" si="3"/>
        <v>1500</v>
      </c>
      <c r="AE19" s="53">
        <f t="shared" si="3"/>
        <v>0</v>
      </c>
      <c r="AF19" s="902">
        <v>700</v>
      </c>
      <c r="AG19" s="902"/>
      <c r="AH19" s="902">
        <v>700</v>
      </c>
      <c r="AI19" s="902"/>
      <c r="AJ19" s="902">
        <v>700</v>
      </c>
      <c r="AK19" s="902"/>
      <c r="AL19" s="53">
        <f t="shared" si="4"/>
        <v>2100</v>
      </c>
      <c r="AM19" s="53">
        <f t="shared" si="4"/>
        <v>0</v>
      </c>
      <c r="AN19" s="902">
        <v>800</v>
      </c>
      <c r="AO19" s="902"/>
      <c r="AP19" s="902">
        <v>800</v>
      </c>
      <c r="AQ19" s="902"/>
      <c r="AR19" s="902">
        <v>800</v>
      </c>
      <c r="AS19" s="902"/>
      <c r="AT19" s="53">
        <f t="shared" si="5"/>
        <v>2400</v>
      </c>
      <c r="AU19" s="53">
        <f t="shared" si="5"/>
        <v>0</v>
      </c>
      <c r="AV19" s="252">
        <f t="shared" si="6"/>
        <v>6900</v>
      </c>
      <c r="AW19" s="81">
        <f t="shared" si="7"/>
        <v>3289</v>
      </c>
      <c r="AX19" s="1053">
        <f t="shared" si="8"/>
        <v>3289</v>
      </c>
      <c r="AY19" s="1053">
        <f t="shared" si="9"/>
        <v>3289</v>
      </c>
      <c r="AZ19" s="1053">
        <f t="shared" si="10"/>
        <v>3289</v>
      </c>
      <c r="BA19" s="319">
        <f>IF(AND(AW19&gt;0,$AV19&gt;0),AW19/$AV19,0)</f>
        <v>0.47666666666666668</v>
      </c>
      <c r="BB19" s="319">
        <f t="shared" si="12"/>
        <v>0.47666666666666668</v>
      </c>
      <c r="BC19" s="319">
        <f t="shared" si="13"/>
        <v>0.47666666666666668</v>
      </c>
      <c r="BD19" s="319">
        <f t="shared" si="14"/>
        <v>0.47666666666666668</v>
      </c>
      <c r="BE19" s="346">
        <f t="shared" si="15"/>
        <v>0.11505632127614916</v>
      </c>
      <c r="BF19" s="1056">
        <f t="shared" si="1"/>
        <v>0.11505632127614916</v>
      </c>
      <c r="BG19" s="1056">
        <f t="shared" si="1"/>
        <v>0.11505632127614916</v>
      </c>
      <c r="BH19" s="1056">
        <f t="shared" si="1"/>
        <v>0.11505632127614916</v>
      </c>
    </row>
    <row r="20" spans="2:60" ht="144.75" customHeight="1">
      <c r="B20" s="1708"/>
      <c r="C20" s="1494"/>
      <c r="D20" s="306" t="str">
        <f>+'01-FR-03 POA INSTITUCIONAL'!D17</f>
        <v>1.1.5 Atender y gestionar 55.722 peticiones y/o requerimientos presentados por la comunidad en garantía de derechos.</v>
      </c>
      <c r="E20" s="52">
        <f>+'01-FR-03 POA INSTITUCIONAL'!E17</f>
        <v>0.06</v>
      </c>
      <c r="F20" s="139">
        <f>+'01-FR-03 POA INSTITUCIONAL'!F17</f>
        <v>55722</v>
      </c>
      <c r="G20" s="139">
        <f>+'01-FR-03 POA INSTITUCIONAL'!L17</f>
        <v>16115</v>
      </c>
      <c r="H20" s="140" t="str">
        <f>+'01-FR-03 POA INSTITUCIONAL'!G17</f>
        <v>S.I.</v>
      </c>
      <c r="I20" s="140" t="str">
        <f>+'01-FR-03 POA INSTITUCIONAL'!H17</f>
        <v>Peticiones o requerimientos ciudadanos atendidos en garantía de derechos</v>
      </c>
      <c r="J20" s="140" t="s">
        <v>236</v>
      </c>
      <c r="K20" s="275" t="s">
        <v>204</v>
      </c>
      <c r="L20" s="1000" t="s">
        <v>1118</v>
      </c>
      <c r="M20" s="216" t="s">
        <v>201</v>
      </c>
      <c r="N20" s="216" t="s">
        <v>202</v>
      </c>
      <c r="O20" s="34" t="str">
        <f>+'01-FR-03 POA INSTITUCIONAL'!J17</f>
        <v>* P.D. para la Coordinación del MP y DDHH, P.D. para Asuntos Penales I, Penales II, Policivos y Civiles, Derechos Humanos, Familia y Orientación y Asistencia.
* P.D. para la Coordinación de la Gestión de Personerías Locales y sus Personerías Locales adscritas
* P.D. para la Coordinación de la Prevención y Control a la Función Pública y sus dependencias adscritas</v>
      </c>
      <c r="P20" s="902">
        <f>400+150+268</f>
        <v>818</v>
      </c>
      <c r="Q20" s="902">
        <v>1275</v>
      </c>
      <c r="R20" s="902">
        <f>600+150+525</f>
        <v>1275</v>
      </c>
      <c r="S20" s="902">
        <v>1642</v>
      </c>
      <c r="T20" s="902">
        <f>600+150+565</f>
        <v>1315</v>
      </c>
      <c r="U20" s="902">
        <v>2185</v>
      </c>
      <c r="V20" s="53">
        <f t="shared" si="2"/>
        <v>3408</v>
      </c>
      <c r="W20" s="53">
        <f t="shared" si="2"/>
        <v>5102</v>
      </c>
      <c r="X20" s="902">
        <f>700+150+565</f>
        <v>1415</v>
      </c>
      <c r="Y20" s="902"/>
      <c r="Z20" s="902">
        <f>700+150+575</f>
        <v>1425</v>
      </c>
      <c r="AA20" s="902"/>
      <c r="AB20" s="902">
        <f>700+150+575</f>
        <v>1425</v>
      </c>
      <c r="AC20" s="902"/>
      <c r="AD20" s="53">
        <f t="shared" si="3"/>
        <v>4265</v>
      </c>
      <c r="AE20" s="53">
        <f t="shared" si="3"/>
        <v>0</v>
      </c>
      <c r="AF20" s="902">
        <f>700+150+575</f>
        <v>1425</v>
      </c>
      <c r="AG20" s="902"/>
      <c r="AH20" s="902">
        <f>700+150+575</f>
        <v>1425</v>
      </c>
      <c r="AI20" s="902"/>
      <c r="AJ20" s="902">
        <f>700+150+575</f>
        <v>1425</v>
      </c>
      <c r="AK20" s="902"/>
      <c r="AL20" s="53">
        <f t="shared" si="4"/>
        <v>4275</v>
      </c>
      <c r="AM20" s="53">
        <f t="shared" si="4"/>
        <v>0</v>
      </c>
      <c r="AN20" s="902">
        <f>800+150+570</f>
        <v>1520</v>
      </c>
      <c r="AO20" s="930"/>
      <c r="AP20" s="902">
        <f>800+150+570</f>
        <v>1520</v>
      </c>
      <c r="AQ20" s="930"/>
      <c r="AR20" s="902">
        <f>600+150+377</f>
        <v>1127</v>
      </c>
      <c r="AS20" s="902"/>
      <c r="AT20" s="53">
        <f t="shared" si="5"/>
        <v>4167</v>
      </c>
      <c r="AU20" s="53">
        <f t="shared" si="5"/>
        <v>0</v>
      </c>
      <c r="AV20" s="252">
        <f t="shared" si="6"/>
        <v>16115</v>
      </c>
      <c r="AW20" s="81">
        <f t="shared" si="7"/>
        <v>5102</v>
      </c>
      <c r="AX20" s="1053">
        <f t="shared" si="8"/>
        <v>5102</v>
      </c>
      <c r="AY20" s="1053">
        <f t="shared" si="9"/>
        <v>5102</v>
      </c>
      <c r="AZ20" s="1053">
        <f t="shared" si="10"/>
        <v>5102</v>
      </c>
      <c r="BA20" s="319">
        <f t="shared" ref="BA20:BA21" si="16">IF(AND(AW20&gt;0,$AV20&gt;0),AW20/$AV20,0)</f>
        <v>0.31659944151411729</v>
      </c>
      <c r="BB20" s="319">
        <f t="shared" ref="BB20:BB21" si="17">IF(AND(AX20&gt;0,$AV20&gt;0),AX20/$AV20,0)</f>
        <v>0.31659944151411729</v>
      </c>
      <c r="BC20" s="319">
        <f t="shared" ref="BC20:BC21" si="18">IF(AND(AY20&gt;0,$AV20&gt;0),AY20/$AV20,0)</f>
        <v>0.31659944151411729</v>
      </c>
      <c r="BD20" s="319">
        <f t="shared" ref="BD20:BD21" si="19">IF(AND(AZ20&gt;0,$AV20&gt;0),AZ20/$AV20,0)</f>
        <v>0.31659944151411729</v>
      </c>
      <c r="BE20" s="346">
        <f t="shared" si="15"/>
        <v>9.1561681203115461E-2</v>
      </c>
      <c r="BF20" s="1056">
        <f t="shared" si="1"/>
        <v>9.1561681203115461E-2</v>
      </c>
      <c r="BG20" s="1056">
        <f t="shared" si="1"/>
        <v>9.1561681203115461E-2</v>
      </c>
      <c r="BH20" s="1056">
        <f t="shared" si="1"/>
        <v>9.1561681203115461E-2</v>
      </c>
    </row>
    <row r="21" spans="2:60" ht="189.75" customHeight="1">
      <c r="B21" s="1708"/>
      <c r="C21" s="1494"/>
      <c r="D21" s="306" t="str">
        <f>+'01-FR-03 POA INSTITUCIONAL'!D18</f>
        <v>1.1.6 Generar 80 espacios de mejora, de transferencia de conocimientos y buenas prácticas que permitan brindar una atención idónea a las personas que acuden a la Personería de Bogotá, D. C</v>
      </c>
      <c r="E21" s="52">
        <f>+'01-FR-03 POA INSTITUCIONAL'!E18</f>
        <v>0.01</v>
      </c>
      <c r="F21" s="139">
        <f>+'01-FR-03 POA INSTITUCIONAL'!F18</f>
        <v>80</v>
      </c>
      <c r="G21" s="139">
        <f>+'01-FR-03 POA INSTITUCIONAL'!L18</f>
        <v>20</v>
      </c>
      <c r="H21" s="140" t="str">
        <f>+'01-FR-03 POA INSTITUCIONAL'!G18</f>
        <v>S.I.</v>
      </c>
      <c r="I21" s="140" t="str">
        <f>+'01-FR-03 POA INSTITUCIONAL'!H18</f>
        <v>Espacios de mejora y transferencia de conocimiento realizados</v>
      </c>
      <c r="J21" s="140" t="s">
        <v>228</v>
      </c>
      <c r="K21" s="275" t="s">
        <v>206</v>
      </c>
      <c r="L21" s="1000" t="s">
        <v>207</v>
      </c>
      <c r="M21" s="216" t="s">
        <v>201</v>
      </c>
      <c r="N21" s="216" t="s">
        <v>202</v>
      </c>
      <c r="O21" s="34" t="str">
        <f>+'01-FR-03 POA INSTITUCIONAL'!J18</f>
        <v>P.D. para la Coordinación del MP y DDHH y sus dependencias adscritas.</v>
      </c>
      <c r="P21" s="902">
        <v>0</v>
      </c>
      <c r="Q21" s="902">
        <v>0</v>
      </c>
      <c r="R21" s="902">
        <v>0</v>
      </c>
      <c r="S21" s="902">
        <v>0</v>
      </c>
      <c r="T21" s="902">
        <v>2</v>
      </c>
      <c r="U21" s="902">
        <v>0</v>
      </c>
      <c r="V21" s="53">
        <f t="shared" si="2"/>
        <v>2</v>
      </c>
      <c r="W21" s="53">
        <f t="shared" si="2"/>
        <v>0</v>
      </c>
      <c r="X21" s="902">
        <v>5</v>
      </c>
      <c r="Y21" s="902"/>
      <c r="Z21" s="902">
        <v>3</v>
      </c>
      <c r="AA21" s="902"/>
      <c r="AB21" s="902">
        <v>3</v>
      </c>
      <c r="AC21" s="902"/>
      <c r="AD21" s="53">
        <f t="shared" si="3"/>
        <v>11</v>
      </c>
      <c r="AE21" s="53">
        <f t="shared" si="3"/>
        <v>0</v>
      </c>
      <c r="AF21" s="902">
        <v>3</v>
      </c>
      <c r="AG21" s="902"/>
      <c r="AH21" s="902">
        <v>2</v>
      </c>
      <c r="AI21" s="902"/>
      <c r="AJ21" s="1005">
        <v>1</v>
      </c>
      <c r="AK21" s="1005"/>
      <c r="AL21" s="53">
        <f t="shared" si="4"/>
        <v>6</v>
      </c>
      <c r="AM21" s="53">
        <f t="shared" si="4"/>
        <v>0</v>
      </c>
      <c r="AN21" s="902">
        <v>1</v>
      </c>
      <c r="AO21" s="902"/>
      <c r="AP21" s="902">
        <v>0</v>
      </c>
      <c r="AQ21" s="902"/>
      <c r="AR21" s="902">
        <v>0</v>
      </c>
      <c r="AS21" s="902"/>
      <c r="AT21" s="53">
        <f t="shared" si="5"/>
        <v>1</v>
      </c>
      <c r="AU21" s="53">
        <f t="shared" si="5"/>
        <v>0</v>
      </c>
      <c r="AV21" s="252">
        <f t="shared" si="6"/>
        <v>20</v>
      </c>
      <c r="AW21" s="81">
        <f t="shared" si="7"/>
        <v>0</v>
      </c>
      <c r="AX21" s="1053">
        <f t="shared" si="8"/>
        <v>0</v>
      </c>
      <c r="AY21" s="1053">
        <f t="shared" si="9"/>
        <v>0</v>
      </c>
      <c r="AZ21" s="1053">
        <f t="shared" si="10"/>
        <v>0</v>
      </c>
      <c r="BA21" s="319">
        <f t="shared" si="16"/>
        <v>0</v>
      </c>
      <c r="BB21" s="319">
        <f t="shared" si="17"/>
        <v>0</v>
      </c>
      <c r="BC21" s="319">
        <f t="shared" si="18"/>
        <v>0</v>
      </c>
      <c r="BD21" s="319">
        <f t="shared" si="19"/>
        <v>0</v>
      </c>
      <c r="BE21" s="346">
        <f t="shared" ref="BE21" si="20">(IF(AND(AW21&gt;0,$F21&gt;0),AW21/$F21,0))</f>
        <v>0</v>
      </c>
      <c r="BF21" s="1056">
        <f t="shared" ref="BF21" si="21">(IF(AND(AX21&gt;0,$F21&gt;0),AX21/$F21,0))</f>
        <v>0</v>
      </c>
      <c r="BG21" s="1056">
        <f t="shared" ref="BG21" si="22">(IF(AND(AY21&gt;0,$F21&gt;0),AY21/$F21,0))</f>
        <v>0</v>
      </c>
      <c r="BH21" s="1056">
        <f t="shared" ref="BH21" si="23">(IF(AND(AZ21&gt;0,$F21&gt;0),AZ21/$F21,0))</f>
        <v>0</v>
      </c>
    </row>
    <row r="22" spans="2:60" ht="160.5" customHeight="1">
      <c r="B22" s="1708"/>
      <c r="C22" s="1494"/>
      <c r="D22" s="306" t="str">
        <f>+'01-FR-03 POA INSTITUCIONAL'!D19</f>
        <v>1.1.7 Entregar en un termino menor a los cinco (5) días hábiles, mas del 95% de las solicitudes de elaboración de tutelas, desacatos e impugnaciones que realicen las personas en el Distrito Capital.</v>
      </c>
      <c r="E22" s="52">
        <f>+'01-FR-03 POA INSTITUCIONAL'!E19</f>
        <v>0.01</v>
      </c>
      <c r="F22" s="139" t="str">
        <f>+'01-FR-03 POA INSTITUCIONAL'!F19</f>
        <v>&gt;=95%</v>
      </c>
      <c r="G22" s="139" t="str">
        <f>+'01-FR-03 POA INSTITUCIONAL'!L19</f>
        <v>&gt;=95%</v>
      </c>
      <c r="H22" s="140" t="str">
        <f>+'01-FR-03 POA INSTITUCIONAL'!G19</f>
        <v>S.I.</v>
      </c>
      <c r="I22" s="140" t="str">
        <f>+'01-FR-03 POA INSTITUCIONAL'!H19</f>
        <v>Porcentaje de Acciones de Tutela, Desacatos e Impugnaciones Entregadas en un Termino Menor a Cinco (5) Días Hábiles</v>
      </c>
      <c r="J22" s="140" t="s">
        <v>229</v>
      </c>
      <c r="K22" s="275" t="s">
        <v>208</v>
      </c>
      <c r="L22" s="1002" t="s">
        <v>209</v>
      </c>
      <c r="M22" s="216" t="s">
        <v>201</v>
      </c>
      <c r="N22" s="216" t="s">
        <v>202</v>
      </c>
      <c r="O22" s="34" t="str">
        <f>+'01-FR-03 POA INSTITUCIONAL'!J19</f>
        <v>P.D. para Asuntos Jurisdiccionales, Víctimas y Penal II.
P.D. para la Coordinación de la Gestión de Personerías Locales y sus Personerías Locales adscritas</v>
      </c>
      <c r="P22" s="1004">
        <v>0.95</v>
      </c>
      <c r="Q22" s="1004">
        <v>1</v>
      </c>
      <c r="R22" s="1004">
        <v>0.95</v>
      </c>
      <c r="S22" s="1004">
        <v>1</v>
      </c>
      <c r="T22" s="1004">
        <v>0.95</v>
      </c>
      <c r="U22" s="1004">
        <v>1</v>
      </c>
      <c r="V22" s="327">
        <f>AVERAGE(P22,R22,T22)</f>
        <v>0.94999999999999984</v>
      </c>
      <c r="W22" s="327">
        <f>IFERROR(AVERAGE(Q22,S22,U22),0)</f>
        <v>1</v>
      </c>
      <c r="X22" s="1004">
        <v>0.95</v>
      </c>
      <c r="Y22" s="1070">
        <v>0</v>
      </c>
      <c r="Z22" s="1004">
        <v>0.95</v>
      </c>
      <c r="AA22" s="1070">
        <v>0</v>
      </c>
      <c r="AB22" s="1004">
        <v>0.95</v>
      </c>
      <c r="AC22" s="1070">
        <v>0</v>
      </c>
      <c r="AD22" s="327">
        <f>AVERAGE(X22,Z22,AB22)</f>
        <v>0.94999999999999984</v>
      </c>
      <c r="AE22" s="327">
        <f>IFERROR(AVERAGE(Y22,AA22,AC22),0)</f>
        <v>0</v>
      </c>
      <c r="AF22" s="1004">
        <v>0.95</v>
      </c>
      <c r="AG22" s="1070">
        <v>0</v>
      </c>
      <c r="AH22" s="1004">
        <v>0.95</v>
      </c>
      <c r="AI22" s="1070">
        <v>0</v>
      </c>
      <c r="AJ22" s="1004">
        <v>0.95</v>
      </c>
      <c r="AK22" s="1070">
        <v>0</v>
      </c>
      <c r="AL22" s="327">
        <f>AVERAGE(AF22,AH22,AJ22)</f>
        <v>0.94999999999999984</v>
      </c>
      <c r="AM22" s="327">
        <f>IFERROR(AVERAGE(AG22,AI22,AK22),0)</f>
        <v>0</v>
      </c>
      <c r="AN22" s="1004">
        <v>0.95</v>
      </c>
      <c r="AO22" s="1070">
        <v>0</v>
      </c>
      <c r="AP22" s="1004">
        <v>0.95</v>
      </c>
      <c r="AQ22" s="1070">
        <v>0</v>
      </c>
      <c r="AR22" s="1004">
        <v>0.95</v>
      </c>
      <c r="AS22" s="1070">
        <v>0</v>
      </c>
      <c r="AT22" s="327">
        <f>AVERAGE(AN22,AP22,AR22)</f>
        <v>0.94999999999999984</v>
      </c>
      <c r="AU22" s="327">
        <f>IFERROR(AVERAGE(AO22,AQ22,AS22),0)</f>
        <v>0</v>
      </c>
      <c r="AV22" s="327">
        <f>AVERAGE(P22,R22,T22,X22,Z22,AB22,AF22,AH22,AJ22,AN22,AP22,AR22)</f>
        <v>0.94999999999999984</v>
      </c>
      <c r="AW22" s="307">
        <f>IFERROR(IF(OR($AV$22="",$AV$22=0),0,ROUNDDOWN(AVERAGE($Q22,$S22,$U22),3)),0)</f>
        <v>1</v>
      </c>
      <c r="AX22" s="1057">
        <f>IFERROR(IF(OR($AV$22="",$AV$22=0),0,ROUNDDOWN(AVERAGE($Q22,$S22,$U22,$Y22,$AA22,$AC22),3)),0)</f>
        <v>0.5</v>
      </c>
      <c r="AY22" s="1057">
        <f>IFERROR(IF(OR($AV$22="",$AV$22=0),0,ROUNDDOWN(AVERAGE($Q22,$S22,$U22,$Y22,$AA22,$AC22,$AG22,$AI22,$AK22),3)),0)</f>
        <v>0.33300000000000002</v>
      </c>
      <c r="AZ22" s="1057">
        <f>IFERROR(IF(OR($AV$22="",$AV$22=0),0,ROUNDDOWN(AVERAGE($Q22,$S22,$U22,$Y22,$AA22,$AC22,$AG22,$AI22,$AK22,$AO22,$AQ22,$AS22),3)),0)</f>
        <v>0.25</v>
      </c>
      <c r="BA22" s="319">
        <f>IF(AND(AW22&gt;0,$AV22&gt;0),AW22/$AV22,0)*0.25</f>
        <v>0.26315789473684215</v>
      </c>
      <c r="BB22" s="319">
        <f>IF(AND(AX22&gt;0,$AV22&gt;0),AX22/$AV22,0)*0.5</f>
        <v>0.26315789473684215</v>
      </c>
      <c r="BC22" s="319">
        <f>IF(AND(AY22&gt;0,$AV22&gt;0),AY22/$AV22,0)*0.75</f>
        <v>0.26289473684210529</v>
      </c>
      <c r="BD22" s="319">
        <f>IF(AND(AZ22&gt;0,$AV22&gt;0),AZ22/$AV22,0)</f>
        <v>0.26315789473684215</v>
      </c>
      <c r="BE22" s="346">
        <f>((IF(AND(AW22&gt;0,95%&gt;0),AW22/95%,0))/4)*0.25</f>
        <v>6.5789473684210523E-2</v>
      </c>
      <c r="BF22" s="1056">
        <f>((IF(AND(AX22&gt;0,95%&gt;0),AX22/95%,0))/4)*0.5</f>
        <v>6.5789473684210523E-2</v>
      </c>
      <c r="BG22" s="1056">
        <f>((IF(AND(AY22&gt;0,95%&gt;0),AY22/95%,0))/4)*0.75</f>
        <v>6.5723684210526323E-2</v>
      </c>
      <c r="BH22" s="1056">
        <f>(IF(AND(AZ22&gt;0,95%&gt;0),AZ22/95%,0))/4</f>
        <v>6.5789473684210523E-2</v>
      </c>
    </row>
    <row r="23" spans="2:60" ht="138.75" customHeight="1">
      <c r="B23" s="1708"/>
      <c r="C23" s="1494"/>
      <c r="D23" s="306" t="str">
        <f>+'01-FR-03 POA INSTITUCIONAL'!D20</f>
        <v>1.1.8 Asistir a 19.500 audiencias públicas y realizar las actuaciones que se requieran en protección de los derechos y defensa del interés público, en temas de urbanismo, espacio público, actividad económica y de los comportamientos contrarios a la convivencia (Ley 1801 de 2016)</v>
      </c>
      <c r="E23" s="52">
        <f>+'01-FR-03 POA INSTITUCIONAL'!E20</f>
        <v>0.02</v>
      </c>
      <c r="F23" s="139">
        <f>+'01-FR-03 POA INSTITUCIONAL'!F20</f>
        <v>19500</v>
      </c>
      <c r="G23" s="139">
        <f>+'01-FR-03 POA INSTITUCIONAL'!L20</f>
        <v>6000</v>
      </c>
      <c r="H23" s="140" t="str">
        <f>+'01-FR-03 POA INSTITUCIONAL'!G20</f>
        <v>S.I.</v>
      </c>
      <c r="I23" s="140" t="str">
        <f>+'01-FR-03 POA INSTITUCIONAL'!H20</f>
        <v>Audiencias Publicas Realizadas con Asistencia del Ministerio Público</v>
      </c>
      <c r="J23" s="140" t="s">
        <v>230</v>
      </c>
      <c r="K23" s="275" t="s">
        <v>210</v>
      </c>
      <c r="L23" s="1000" t="s">
        <v>1119</v>
      </c>
      <c r="M23" s="216" t="s">
        <v>201</v>
      </c>
      <c r="N23" s="216" t="s">
        <v>202</v>
      </c>
      <c r="O23" s="34" t="str">
        <f>+'01-FR-03 POA INSTITUCIONAL'!J20</f>
        <v>P.D. para la Coordinación de la Gestión de Personerías Locales y sus Personerías Locales adscritas</v>
      </c>
      <c r="P23" s="1005">
        <v>0</v>
      </c>
      <c r="Q23" s="902">
        <v>127</v>
      </c>
      <c r="R23" s="1005">
        <v>600</v>
      </c>
      <c r="S23" s="902">
        <v>672</v>
      </c>
      <c r="T23" s="1005">
        <v>600</v>
      </c>
      <c r="U23" s="902">
        <v>653</v>
      </c>
      <c r="V23" s="53">
        <f t="shared" si="2"/>
        <v>1200</v>
      </c>
      <c r="W23" s="53">
        <f t="shared" si="2"/>
        <v>1452</v>
      </c>
      <c r="X23" s="1005">
        <v>600</v>
      </c>
      <c r="Y23" s="902"/>
      <c r="Z23" s="1005">
        <v>600</v>
      </c>
      <c r="AA23" s="902"/>
      <c r="AB23" s="1005">
        <v>600</v>
      </c>
      <c r="AC23" s="902"/>
      <c r="AD23" s="53">
        <f t="shared" si="3"/>
        <v>1800</v>
      </c>
      <c r="AE23" s="53">
        <f t="shared" si="3"/>
        <v>0</v>
      </c>
      <c r="AF23" s="1005">
        <v>600</v>
      </c>
      <c r="AG23" s="902"/>
      <c r="AH23" s="1005">
        <v>600</v>
      </c>
      <c r="AI23" s="902"/>
      <c r="AJ23" s="1005">
        <v>600</v>
      </c>
      <c r="AK23" s="902"/>
      <c r="AL23" s="53">
        <f t="shared" si="4"/>
        <v>1800</v>
      </c>
      <c r="AM23" s="53">
        <f t="shared" si="4"/>
        <v>0</v>
      </c>
      <c r="AN23" s="1005">
        <v>600</v>
      </c>
      <c r="AO23" s="902"/>
      <c r="AP23" s="1005">
        <v>600</v>
      </c>
      <c r="AQ23" s="902"/>
      <c r="AR23" s="902">
        <v>0</v>
      </c>
      <c r="AS23" s="902"/>
      <c r="AT23" s="53">
        <f t="shared" si="5"/>
        <v>1200</v>
      </c>
      <c r="AU23" s="53">
        <f t="shared" si="5"/>
        <v>0</v>
      </c>
      <c r="AV23" s="252">
        <f t="shared" si="6"/>
        <v>6000</v>
      </c>
      <c r="AW23" s="81">
        <f t="shared" si="7"/>
        <v>1452</v>
      </c>
      <c r="AX23" s="1053">
        <f t="shared" si="8"/>
        <v>1452</v>
      </c>
      <c r="AY23" s="1053">
        <f t="shared" si="9"/>
        <v>1452</v>
      </c>
      <c r="AZ23" s="1053">
        <f t="shared" si="10"/>
        <v>1452</v>
      </c>
      <c r="BA23" s="319">
        <f t="shared" ref="BA23:BA24" si="24">IF(AND(AW23&gt;0,$AV23&gt;0),AW23/$AV23,0)</f>
        <v>0.24199999999999999</v>
      </c>
      <c r="BB23" s="319">
        <f t="shared" ref="BB23:BB24" si="25">IF(AND(AX23&gt;0,$AV23&gt;0),AX23/$AV23,0)</f>
        <v>0.24199999999999999</v>
      </c>
      <c r="BC23" s="319">
        <f t="shared" ref="BC23:BC24" si="26">IF(AND(AY23&gt;0,$AV23&gt;0),AY23/$AV23,0)</f>
        <v>0.24199999999999999</v>
      </c>
      <c r="BD23" s="319">
        <f t="shared" ref="BD23:BD24" si="27">IF(AND(AZ23&gt;0,$AV23&gt;0),AZ23/$AV23,0)</f>
        <v>0.24199999999999999</v>
      </c>
      <c r="BE23" s="346">
        <f t="shared" ref="BE23:BE35" si="28">(IF(AND(AW23&gt;0,$F23&gt;0),AW23/$F23,0))</f>
        <v>7.4461538461538468E-2</v>
      </c>
      <c r="BF23" s="1056">
        <f t="shared" ref="BF23:BF24" si="29">(IF(AND(AX23&gt;0,$F23&gt;0),AX23/$F23,0))</f>
        <v>7.4461538461538468E-2</v>
      </c>
      <c r="BG23" s="1056">
        <f t="shared" ref="BG23:BH24" si="30">(IF(AND(AY23&gt;0,$F23&gt;0),AY23/$F23,0))</f>
        <v>7.4461538461538468E-2</v>
      </c>
      <c r="BH23" s="1056">
        <f t="shared" ref="BH23" si="31">(IF(AND(AZ23&gt;0,$F23&gt;0),AZ23/$F23,0))</f>
        <v>7.4461538461538468E-2</v>
      </c>
    </row>
    <row r="24" spans="2:60" ht="236.25" customHeight="1">
      <c r="B24" s="1708"/>
      <c r="C24" s="1494"/>
      <c r="D24" s="306" t="str">
        <f>+'01-FR-03 POA INSTITUCIONAL'!D21</f>
        <v>1.1.9 Realizar 11.000 intervenciones de manera oportuna para evitar situaciones de caducidad y perdida de fuerza ejecutoria en las actuaciones administrativas y policivas</v>
      </c>
      <c r="E24" s="52">
        <f>+'01-FR-03 POA INSTITUCIONAL'!E21</f>
        <v>0.01</v>
      </c>
      <c r="F24" s="139">
        <f>+'01-FR-03 POA INSTITUCIONAL'!F21</f>
        <v>11000</v>
      </c>
      <c r="G24" s="139">
        <f>+'01-FR-03 POA INSTITUCIONAL'!L21</f>
        <v>3000</v>
      </c>
      <c r="H24" s="140" t="str">
        <f>+'01-FR-03 POA INSTITUCIONAL'!G21</f>
        <v>S.I.</v>
      </c>
      <c r="I24" s="140" t="str">
        <f>+'01-FR-03 POA INSTITUCIONAL'!H21</f>
        <v>Intervenciones realizadas oportunamente para evitar la caducidad y perdida de fuerza ejecutoria (Impulsos procesales)</v>
      </c>
      <c r="J24" s="140" t="s">
        <v>238</v>
      </c>
      <c r="K24" s="275" t="s">
        <v>211</v>
      </c>
      <c r="L24" s="1000" t="s">
        <v>243</v>
      </c>
      <c r="M24" s="216" t="s">
        <v>201</v>
      </c>
      <c r="N24" s="216" t="s">
        <v>202</v>
      </c>
      <c r="O24" s="34" t="str">
        <f>+'01-FR-03 POA INSTITUCIONAL'!J21</f>
        <v>P.D. para la Coordinación de la Gestión de Personerías Locales y sus Personerías Locales adscritas</v>
      </c>
      <c r="P24" s="1005">
        <v>0</v>
      </c>
      <c r="Q24" s="902">
        <v>22</v>
      </c>
      <c r="R24" s="1005">
        <v>300</v>
      </c>
      <c r="S24" s="902">
        <v>60</v>
      </c>
      <c r="T24" s="1005">
        <v>300</v>
      </c>
      <c r="U24" s="902">
        <v>356</v>
      </c>
      <c r="V24" s="53">
        <f t="shared" si="2"/>
        <v>600</v>
      </c>
      <c r="W24" s="53">
        <f t="shared" si="2"/>
        <v>438</v>
      </c>
      <c r="X24" s="1005">
        <v>300</v>
      </c>
      <c r="Y24" s="902"/>
      <c r="Z24" s="1005">
        <v>300</v>
      </c>
      <c r="AA24" s="902"/>
      <c r="AB24" s="1005">
        <v>300</v>
      </c>
      <c r="AC24" s="1005"/>
      <c r="AD24" s="53">
        <f t="shared" si="3"/>
        <v>900</v>
      </c>
      <c r="AE24" s="53">
        <f t="shared" si="3"/>
        <v>0</v>
      </c>
      <c r="AF24" s="1005">
        <v>300</v>
      </c>
      <c r="AG24" s="902"/>
      <c r="AH24" s="1005">
        <v>300</v>
      </c>
      <c r="AI24" s="902"/>
      <c r="AJ24" s="1005">
        <v>300</v>
      </c>
      <c r="AK24" s="1005"/>
      <c r="AL24" s="53">
        <f t="shared" si="4"/>
        <v>900</v>
      </c>
      <c r="AM24" s="53">
        <f t="shared" si="4"/>
        <v>0</v>
      </c>
      <c r="AN24" s="1005">
        <v>300</v>
      </c>
      <c r="AO24" s="902"/>
      <c r="AP24" s="1005">
        <v>300</v>
      </c>
      <c r="AQ24" s="902"/>
      <c r="AR24" s="902">
        <v>0</v>
      </c>
      <c r="AS24" s="902"/>
      <c r="AT24" s="53">
        <f t="shared" si="5"/>
        <v>600</v>
      </c>
      <c r="AU24" s="53">
        <f t="shared" si="5"/>
        <v>0</v>
      </c>
      <c r="AV24" s="252">
        <f t="shared" si="6"/>
        <v>3000</v>
      </c>
      <c r="AW24" s="81">
        <f t="shared" si="7"/>
        <v>438</v>
      </c>
      <c r="AX24" s="1053">
        <f t="shared" si="8"/>
        <v>438</v>
      </c>
      <c r="AY24" s="1053">
        <f t="shared" si="9"/>
        <v>438</v>
      </c>
      <c r="AZ24" s="1053">
        <f t="shared" si="10"/>
        <v>438</v>
      </c>
      <c r="BA24" s="319">
        <f t="shared" si="24"/>
        <v>0.14599999999999999</v>
      </c>
      <c r="BB24" s="319">
        <f t="shared" si="25"/>
        <v>0.14599999999999999</v>
      </c>
      <c r="BC24" s="319">
        <f t="shared" si="26"/>
        <v>0.14599999999999999</v>
      </c>
      <c r="BD24" s="319">
        <f t="shared" si="27"/>
        <v>0.14599999999999999</v>
      </c>
      <c r="BE24" s="346">
        <f t="shared" si="28"/>
        <v>3.9818181818181815E-2</v>
      </c>
      <c r="BF24" s="1056">
        <f t="shared" si="29"/>
        <v>3.9818181818181815E-2</v>
      </c>
      <c r="BG24" s="1056">
        <f t="shared" si="30"/>
        <v>3.9818181818181815E-2</v>
      </c>
      <c r="BH24" s="1056">
        <f t="shared" si="30"/>
        <v>3.9818181818181815E-2</v>
      </c>
    </row>
    <row r="25" spans="2:60" ht="136.5" customHeight="1">
      <c r="B25" s="1708"/>
      <c r="C25" s="1494"/>
      <c r="D25" s="306" t="str">
        <f>+'01-FR-03 POA INSTITUCIONAL'!D22</f>
        <v>1.1.10 Impulsar 2.300 expedientes que contengan orden de policía (MULTA) en firme y ejecutoriada, para que se efectúen cobros persuasivos y/o se de traslado para el cobro coactivo.</v>
      </c>
      <c r="E25" s="52">
        <f>+'01-FR-03 POA INSTITUCIONAL'!E22</f>
        <v>0.01</v>
      </c>
      <c r="F25" s="139">
        <f>+'01-FR-03 POA INSTITUCIONAL'!F22</f>
        <v>2300</v>
      </c>
      <c r="G25" s="139">
        <f>+'01-FR-03 POA INSTITUCIONAL'!L22</f>
        <v>500</v>
      </c>
      <c r="H25" s="140" t="str">
        <f>+'01-FR-03 POA INSTITUCIONAL'!G22</f>
        <v>S.I.</v>
      </c>
      <c r="I25" s="140" t="str">
        <f>+'01-FR-03 POA INSTITUCIONAL'!H22</f>
        <v>Expedientes con impulso procesal para la gestión de multas</v>
      </c>
      <c r="J25" s="140" t="s">
        <v>673</v>
      </c>
      <c r="K25" s="275" t="s">
        <v>212</v>
      </c>
      <c r="L25" s="1000" t="s">
        <v>1120</v>
      </c>
      <c r="M25" s="216" t="s">
        <v>201</v>
      </c>
      <c r="N25" s="216" t="s">
        <v>202</v>
      </c>
      <c r="O25" s="34" t="str">
        <f>+'01-FR-03 POA INSTITUCIONAL'!J22</f>
        <v>P.D. para la Coordinación de la Gestión de Personerías Locales y sus Personerías Locales adscritas</v>
      </c>
      <c r="P25" s="1005">
        <v>0</v>
      </c>
      <c r="Q25" s="1005">
        <v>11</v>
      </c>
      <c r="R25" s="1005">
        <v>50</v>
      </c>
      <c r="S25" s="1005">
        <v>17</v>
      </c>
      <c r="T25" s="1005">
        <v>50</v>
      </c>
      <c r="U25" s="1005">
        <v>54</v>
      </c>
      <c r="V25" s="53">
        <f t="shared" si="2"/>
        <v>100</v>
      </c>
      <c r="W25" s="53">
        <f t="shared" si="2"/>
        <v>82</v>
      </c>
      <c r="X25" s="1005">
        <v>50</v>
      </c>
      <c r="Y25" s="1005"/>
      <c r="Z25" s="1005">
        <v>50</v>
      </c>
      <c r="AA25" s="1005"/>
      <c r="AB25" s="1005">
        <v>50</v>
      </c>
      <c r="AC25" s="1005"/>
      <c r="AD25" s="53">
        <f t="shared" si="3"/>
        <v>150</v>
      </c>
      <c r="AE25" s="53">
        <f t="shared" si="3"/>
        <v>0</v>
      </c>
      <c r="AF25" s="1005">
        <v>50</v>
      </c>
      <c r="AG25" s="902"/>
      <c r="AH25" s="1005">
        <v>50</v>
      </c>
      <c r="AI25" s="902"/>
      <c r="AJ25" s="1005">
        <v>50</v>
      </c>
      <c r="AK25" s="1005"/>
      <c r="AL25" s="53">
        <f t="shared" si="4"/>
        <v>150</v>
      </c>
      <c r="AM25" s="53">
        <f t="shared" si="4"/>
        <v>0</v>
      </c>
      <c r="AN25" s="902">
        <v>50</v>
      </c>
      <c r="AO25" s="902"/>
      <c r="AP25" s="902">
        <v>50</v>
      </c>
      <c r="AQ25" s="902"/>
      <c r="AR25" s="902">
        <v>0</v>
      </c>
      <c r="AS25" s="902"/>
      <c r="AT25" s="53">
        <f t="shared" si="5"/>
        <v>100</v>
      </c>
      <c r="AU25" s="53">
        <f t="shared" si="5"/>
        <v>0</v>
      </c>
      <c r="AV25" s="252">
        <f t="shared" si="6"/>
        <v>500</v>
      </c>
      <c r="AW25" s="81">
        <f t="shared" si="7"/>
        <v>82</v>
      </c>
      <c r="AX25" s="1053">
        <f t="shared" si="8"/>
        <v>82</v>
      </c>
      <c r="AY25" s="1053">
        <f t="shared" si="9"/>
        <v>82</v>
      </c>
      <c r="AZ25" s="1053">
        <f t="shared" si="10"/>
        <v>82</v>
      </c>
      <c r="BA25" s="319">
        <f t="shared" ref="BA25:BA35" si="32">IF(AND(AW25&gt;0,$AV25&gt;0),AW25/$AV25,0)</f>
        <v>0.16400000000000001</v>
      </c>
      <c r="BB25" s="319">
        <f t="shared" ref="BB25:BB35" si="33">IF(AND(AX25&gt;0,$AV25&gt;0),AX25/$AV25,0)</f>
        <v>0.16400000000000001</v>
      </c>
      <c r="BC25" s="319">
        <f t="shared" ref="BC25:BC35" si="34">IF(AND(AY25&gt;0,$AV25&gt;0),AY25/$AV25,0)</f>
        <v>0.16400000000000001</v>
      </c>
      <c r="BD25" s="319">
        <f t="shared" ref="BD25:BD35" si="35">IF(AND(AZ25&gt;0,$AV25&gt;0),AZ25/$AV25,0)</f>
        <v>0.16400000000000001</v>
      </c>
      <c r="BE25" s="346">
        <f t="shared" si="28"/>
        <v>3.5652173913043476E-2</v>
      </c>
      <c r="BF25" s="1056">
        <f t="shared" ref="BF25" si="36">(IF(AND(AX25&gt;0,$F25&gt;0),AX25/$F25,0))</f>
        <v>3.5652173913043476E-2</v>
      </c>
      <c r="BG25" s="1056">
        <f t="shared" ref="BG25:BH25" si="37">(IF(AND(AY25&gt;0,$F25&gt;0),AY25/$F25,0))</f>
        <v>3.5652173913043476E-2</v>
      </c>
      <c r="BH25" s="1056">
        <f t="shared" si="37"/>
        <v>3.5652173913043476E-2</v>
      </c>
    </row>
    <row r="26" spans="2:60" ht="196.5" customHeight="1">
      <c r="B26" s="1708"/>
      <c r="C26" s="1495"/>
      <c r="D26" s="306" t="str">
        <f>+'01-FR-03 POA INSTITUCIONAL'!D23</f>
        <v>1.1.11 Establecer de forma periódica, 40 estados de la vulneración de  los derechos humanos en las localidades, dando a conocer a las Entidades correspondientes los hechos observados que requieren su intervención.</v>
      </c>
      <c r="E26" s="52">
        <f>+'01-FR-03 POA INSTITUCIONAL'!E23</f>
        <v>0.01</v>
      </c>
      <c r="F26" s="139">
        <f>+'01-FR-03 POA INSTITUCIONAL'!F23</f>
        <v>40</v>
      </c>
      <c r="G26" s="139">
        <f>+'01-FR-03 POA INSTITUCIONAL'!L23</f>
        <v>0</v>
      </c>
      <c r="H26" s="140" t="str">
        <f>+'01-FR-03 POA INSTITUCIONAL'!G23</f>
        <v>S.I.</v>
      </c>
      <c r="I26" s="140" t="str">
        <f>+'01-FR-03 POA INSTITUCIONAL'!H23</f>
        <v>Estados de vulneración establecidos</v>
      </c>
      <c r="J26" s="140" t="s">
        <v>244</v>
      </c>
      <c r="K26" s="275" t="s">
        <v>213</v>
      </c>
      <c r="L26" s="1000" t="s">
        <v>245</v>
      </c>
      <c r="M26" s="216" t="s">
        <v>201</v>
      </c>
      <c r="N26" s="216" t="s">
        <v>202</v>
      </c>
      <c r="O26" s="34" t="str">
        <f>+'01-FR-03 POA INSTITUCIONAL'!J23</f>
        <v>P.D. para la Coordinación de la Gestión de Personerías Locales y sus Personerías Locales adscritas</v>
      </c>
      <c r="P26" s="902">
        <v>0</v>
      </c>
      <c r="Q26" s="902">
        <v>0</v>
      </c>
      <c r="R26" s="902">
        <v>0</v>
      </c>
      <c r="S26" s="902">
        <v>0</v>
      </c>
      <c r="T26" s="902">
        <v>0</v>
      </c>
      <c r="U26" s="902">
        <v>0</v>
      </c>
      <c r="V26" s="53">
        <f t="shared" si="2"/>
        <v>0</v>
      </c>
      <c r="W26" s="53">
        <f t="shared" si="2"/>
        <v>0</v>
      </c>
      <c r="X26" s="902">
        <v>0</v>
      </c>
      <c r="Y26" s="902"/>
      <c r="Z26" s="902">
        <v>0</v>
      </c>
      <c r="AA26" s="902"/>
      <c r="AB26" s="902">
        <v>0</v>
      </c>
      <c r="AC26" s="902"/>
      <c r="AD26" s="53">
        <f t="shared" si="3"/>
        <v>0</v>
      </c>
      <c r="AE26" s="53">
        <f t="shared" si="3"/>
        <v>0</v>
      </c>
      <c r="AF26" s="902">
        <v>0</v>
      </c>
      <c r="AG26" s="902"/>
      <c r="AH26" s="902">
        <v>0</v>
      </c>
      <c r="AI26" s="902"/>
      <c r="AJ26" s="1005">
        <v>0</v>
      </c>
      <c r="AK26" s="1005"/>
      <c r="AL26" s="53">
        <f t="shared" si="4"/>
        <v>0</v>
      </c>
      <c r="AM26" s="53">
        <f t="shared" si="4"/>
        <v>0</v>
      </c>
      <c r="AN26" s="902">
        <v>0</v>
      </c>
      <c r="AO26" s="902"/>
      <c r="AP26" s="902">
        <v>0</v>
      </c>
      <c r="AQ26" s="902"/>
      <c r="AR26" s="902">
        <v>0</v>
      </c>
      <c r="AS26" s="902"/>
      <c r="AT26" s="53">
        <f t="shared" si="5"/>
        <v>0</v>
      </c>
      <c r="AU26" s="53">
        <f t="shared" si="5"/>
        <v>0</v>
      </c>
      <c r="AV26" s="252">
        <f t="shared" si="6"/>
        <v>0</v>
      </c>
      <c r="AW26" s="81">
        <f t="shared" si="7"/>
        <v>0</v>
      </c>
      <c r="AX26" s="1053">
        <f t="shared" si="8"/>
        <v>0</v>
      </c>
      <c r="AY26" s="1053">
        <f t="shared" si="9"/>
        <v>0</v>
      </c>
      <c r="AZ26" s="1053">
        <f t="shared" si="10"/>
        <v>0</v>
      </c>
      <c r="BA26" s="319">
        <f t="shared" si="32"/>
        <v>0</v>
      </c>
      <c r="BB26" s="319">
        <f t="shared" si="33"/>
        <v>0</v>
      </c>
      <c r="BC26" s="319">
        <f t="shared" si="34"/>
        <v>0</v>
      </c>
      <c r="BD26" s="319">
        <f t="shared" si="35"/>
        <v>0</v>
      </c>
      <c r="BE26" s="346">
        <f t="shared" si="28"/>
        <v>0</v>
      </c>
      <c r="BF26" s="1055">
        <f t="shared" ref="BF26" si="38">(IF(AND(AX26&gt;0,$AV26&gt;0),AX26/$AV26,0))*$E26</f>
        <v>0</v>
      </c>
      <c r="BG26" s="1055">
        <f t="shared" ref="BG26" si="39">(IF(AND(AY26&gt;0,$AV26&gt;0),AY26/$AV26,0))*$E26</f>
        <v>0</v>
      </c>
      <c r="BH26" s="1055">
        <f t="shared" ref="BH26" si="40">(IF(AND(AZ26&gt;0,$AV26&gt;0),AZ26/$AV26,0))*$E26</f>
        <v>0</v>
      </c>
    </row>
    <row r="27" spans="2:60" ht="123" customHeight="1">
      <c r="B27" s="1708"/>
      <c r="C27" s="1493" t="str">
        <f>+'01-FR-03 POA INSTITUCIONAL'!C24</f>
        <v>1.2. Realizar 260.709 acciones que propendan por la efectiva defensa y garantía de los derechos de los sujetos de especial protección constitucional, con énfasis en las personas mayores, mujeres y la población migrante en el Distrito Capital.</v>
      </c>
      <c r="D27" s="306" t="str">
        <f>+'01-FR-03 POA INSTITUCIONAL'!D24</f>
        <v>1.2.1 Sensibilizar a 205.930 personas en derechos humanos, Derecho Internacional Humanitario, Cultura Ciudadana, Protección Animal, Deberes de los Ciudadanos y oferta institucional, con énfasis en sujetos de especial protección constitucional, en particular, personas mayores, mujeres y población migrante.</v>
      </c>
      <c r="E27" s="52">
        <f>+'01-FR-03 POA INSTITUCIONAL'!E24</f>
        <v>0.75</v>
      </c>
      <c r="F27" s="139">
        <f>+'01-FR-03 POA INSTITUCIONAL'!F24</f>
        <v>205930</v>
      </c>
      <c r="G27" s="139">
        <f>+'01-FR-03 POA INSTITUCIONAL'!L24</f>
        <v>71570</v>
      </c>
      <c r="H27" s="140" t="str">
        <f>+'01-FR-03 POA INSTITUCIONAL'!G24</f>
        <v>S.I.</v>
      </c>
      <c r="I27" s="140" t="str">
        <f>+'01-FR-03 POA INSTITUCIONAL'!H24</f>
        <v>Personas sensibilizadas en el Distrito Capital</v>
      </c>
      <c r="J27" s="140" t="s">
        <v>231</v>
      </c>
      <c r="K27" s="275" t="s">
        <v>214</v>
      </c>
      <c r="L27" s="1000" t="s">
        <v>1121</v>
      </c>
      <c r="M27" s="216" t="s">
        <v>201</v>
      </c>
      <c r="N27" s="216" t="s">
        <v>202</v>
      </c>
      <c r="O27" s="34" t="str">
        <f>+'01-FR-03 POA INSTITUCIONAL'!J24</f>
        <v>P.D. para la Coordinación del MP y DDHH y sus dependencias adscritas
P.D. para la Coordinación de la Gestión de Personerías Locales y sus Personerías Locales adscritas</v>
      </c>
      <c r="P27" s="902">
        <f>0+200</f>
        <v>200</v>
      </c>
      <c r="Q27" s="902">
        <v>1388</v>
      </c>
      <c r="R27" s="902">
        <f>2000+850</f>
        <v>2850</v>
      </c>
      <c r="S27" s="902">
        <v>7276</v>
      </c>
      <c r="T27" s="902">
        <f>2000+5650</f>
        <v>7650</v>
      </c>
      <c r="U27" s="902">
        <v>8125</v>
      </c>
      <c r="V27" s="53">
        <f t="shared" si="2"/>
        <v>10700</v>
      </c>
      <c r="W27" s="53">
        <f t="shared" si="2"/>
        <v>16789</v>
      </c>
      <c r="X27" s="902">
        <f>2000+5700</f>
        <v>7700</v>
      </c>
      <c r="Y27" s="902"/>
      <c r="Z27" s="902">
        <f>2000+5850</f>
        <v>7850</v>
      </c>
      <c r="AA27" s="902"/>
      <c r="AB27" s="902">
        <f>2000+3850</f>
        <v>5850</v>
      </c>
      <c r="AC27" s="902"/>
      <c r="AD27" s="53">
        <f t="shared" si="3"/>
        <v>21400</v>
      </c>
      <c r="AE27" s="53">
        <f t="shared" si="3"/>
        <v>0</v>
      </c>
      <c r="AF27" s="902">
        <f>2000+5850</f>
        <v>7850</v>
      </c>
      <c r="AG27" s="902"/>
      <c r="AH27" s="902">
        <f>2000+5850</f>
        <v>7850</v>
      </c>
      <c r="AI27" s="902"/>
      <c r="AJ27" s="902">
        <f>2000+5850</f>
        <v>7850</v>
      </c>
      <c r="AK27" s="902"/>
      <c r="AL27" s="53">
        <f t="shared" si="4"/>
        <v>23550</v>
      </c>
      <c r="AM27" s="53">
        <f t="shared" si="4"/>
        <v>0</v>
      </c>
      <c r="AN27" s="902">
        <f>2000+5850</f>
        <v>7850</v>
      </c>
      <c r="AO27" s="902"/>
      <c r="AP27" s="902">
        <f>2000+5850</f>
        <v>7850</v>
      </c>
      <c r="AQ27" s="902"/>
      <c r="AR27" s="902">
        <f>0+220</f>
        <v>220</v>
      </c>
      <c r="AS27" s="902"/>
      <c r="AT27" s="53">
        <f t="shared" si="5"/>
        <v>15920</v>
      </c>
      <c r="AU27" s="53">
        <f t="shared" si="5"/>
        <v>0</v>
      </c>
      <c r="AV27" s="252">
        <f t="shared" si="6"/>
        <v>71570</v>
      </c>
      <c r="AW27" s="81">
        <f t="shared" si="7"/>
        <v>16789</v>
      </c>
      <c r="AX27" s="1053">
        <f t="shared" si="8"/>
        <v>16789</v>
      </c>
      <c r="AY27" s="1053">
        <f t="shared" si="9"/>
        <v>16789</v>
      </c>
      <c r="AZ27" s="1053">
        <f t="shared" si="10"/>
        <v>16789</v>
      </c>
      <c r="BA27" s="319">
        <f t="shared" si="32"/>
        <v>0.23458152857342462</v>
      </c>
      <c r="BB27" s="319">
        <f t="shared" si="33"/>
        <v>0.23458152857342462</v>
      </c>
      <c r="BC27" s="319">
        <f t="shared" si="34"/>
        <v>0.23458152857342462</v>
      </c>
      <c r="BD27" s="319">
        <f t="shared" si="35"/>
        <v>0.23458152857342462</v>
      </c>
      <c r="BE27" s="346">
        <f t="shared" si="28"/>
        <v>8.1527703588598066E-2</v>
      </c>
      <c r="BF27" s="1056">
        <f t="shared" ref="BF27:BF28" si="41">(IF(AND(AX27&gt;0,$F27&gt;0),AX27/$F27,0))</f>
        <v>8.1527703588598066E-2</v>
      </c>
      <c r="BG27" s="1056">
        <f t="shared" ref="BG27:BH28" si="42">(IF(AND(AY27&gt;0,$F27&gt;0),AY27/$F27,0))</f>
        <v>8.1527703588598066E-2</v>
      </c>
      <c r="BH27" s="1056">
        <f t="shared" si="42"/>
        <v>8.1527703588598066E-2</v>
      </c>
    </row>
    <row r="28" spans="2:60" ht="144.75" customHeight="1">
      <c r="B28" s="1708"/>
      <c r="C28" s="1494"/>
      <c r="D28" s="306" t="str">
        <f>+'01-FR-03 POA INSTITUCIONAL'!D25</f>
        <v>1.2.2 Adelantar 23.910 acciones necesarias en favor de la población víctima del conflicto armado interno mediante el apoyo jurídico, la atención psicosocial, la gestión para acceso a derechos, la toma de declaraciones y la elaboración de derechos de petición.</v>
      </c>
      <c r="E28" s="52">
        <f>+'01-FR-03 POA INSTITUCIONAL'!E25</f>
        <v>0.12</v>
      </c>
      <c r="F28" s="139">
        <f>+'01-FR-03 POA INSTITUCIONAL'!F25</f>
        <v>23910</v>
      </c>
      <c r="G28" s="139">
        <f>+'01-FR-03 POA INSTITUCIONAL'!L25</f>
        <v>5480</v>
      </c>
      <c r="H28" s="140" t="str">
        <f>+'01-FR-03 POA INSTITUCIONAL'!G25</f>
        <v>S.I.</v>
      </c>
      <c r="I28" s="140" t="str">
        <f>+'01-FR-03 POA INSTITUCIONAL'!H25</f>
        <v>Acciones en favor de las víctimas del conflicto armado interno adelantadas</v>
      </c>
      <c r="J28" s="140" t="s">
        <v>232</v>
      </c>
      <c r="K28" s="275" t="s">
        <v>215</v>
      </c>
      <c r="L28" s="1000" t="s">
        <v>1053</v>
      </c>
      <c r="M28" s="216" t="s">
        <v>201</v>
      </c>
      <c r="N28" s="216" t="s">
        <v>202</v>
      </c>
      <c r="O28" s="34" t="str">
        <f>+'01-FR-03 POA INSTITUCIONAL'!J25</f>
        <v>P.D. para la Protección de las Víctimas del Conflicto Armado Interno
P.D. para la Coordinación de la Gestión de Personerías Locales y sus Personerías Locales adscritas</v>
      </c>
      <c r="P28" s="902">
        <f>50+100</f>
        <v>150</v>
      </c>
      <c r="Q28" s="902">
        <v>443</v>
      </c>
      <c r="R28" s="902">
        <f>110+200</f>
        <v>310</v>
      </c>
      <c r="S28" s="902">
        <v>1110</v>
      </c>
      <c r="T28" s="902">
        <f>160+300</f>
        <v>460</v>
      </c>
      <c r="U28" s="902">
        <v>1148</v>
      </c>
      <c r="V28" s="53">
        <f t="shared" si="2"/>
        <v>920</v>
      </c>
      <c r="W28" s="53">
        <f t="shared" si="2"/>
        <v>2701</v>
      </c>
      <c r="X28" s="902">
        <f>160+400</f>
        <v>560</v>
      </c>
      <c r="Y28" s="902"/>
      <c r="Z28" s="902">
        <f>160+440</f>
        <v>600</v>
      </c>
      <c r="AA28" s="902"/>
      <c r="AB28" s="902">
        <f>160+440</f>
        <v>600</v>
      </c>
      <c r="AC28" s="902"/>
      <c r="AD28" s="53">
        <f t="shared" si="3"/>
        <v>1760</v>
      </c>
      <c r="AE28" s="53">
        <f t="shared" si="3"/>
        <v>0</v>
      </c>
      <c r="AF28" s="902">
        <f>160+400</f>
        <v>560</v>
      </c>
      <c r="AG28" s="902"/>
      <c r="AH28" s="902">
        <f>160+400</f>
        <v>560</v>
      </c>
      <c r="AI28" s="902"/>
      <c r="AJ28" s="902">
        <f>160+400</f>
        <v>560</v>
      </c>
      <c r="AK28" s="902"/>
      <c r="AL28" s="53">
        <f t="shared" si="4"/>
        <v>1680</v>
      </c>
      <c r="AM28" s="53">
        <f t="shared" si="4"/>
        <v>0</v>
      </c>
      <c r="AN28" s="902">
        <f>160+400</f>
        <v>560</v>
      </c>
      <c r="AO28" s="902"/>
      <c r="AP28" s="902">
        <f>160+400</f>
        <v>560</v>
      </c>
      <c r="AQ28" s="902"/>
      <c r="AR28" s="929">
        <v>0</v>
      </c>
      <c r="AS28" s="902"/>
      <c r="AT28" s="53">
        <f t="shared" si="5"/>
        <v>1120</v>
      </c>
      <c r="AU28" s="53">
        <f t="shared" si="5"/>
        <v>0</v>
      </c>
      <c r="AV28" s="252">
        <f t="shared" si="6"/>
        <v>5480</v>
      </c>
      <c r="AW28" s="81">
        <f t="shared" si="7"/>
        <v>2701</v>
      </c>
      <c r="AX28" s="1053">
        <f t="shared" si="8"/>
        <v>2701</v>
      </c>
      <c r="AY28" s="1053">
        <f t="shared" si="9"/>
        <v>2701</v>
      </c>
      <c r="AZ28" s="1053">
        <f t="shared" si="10"/>
        <v>2701</v>
      </c>
      <c r="BA28" s="319">
        <f t="shared" si="32"/>
        <v>0.49288321167883209</v>
      </c>
      <c r="BB28" s="319">
        <f t="shared" si="33"/>
        <v>0.49288321167883209</v>
      </c>
      <c r="BC28" s="319">
        <f t="shared" si="34"/>
        <v>0.49288321167883209</v>
      </c>
      <c r="BD28" s="319">
        <f t="shared" si="35"/>
        <v>0.49288321167883209</v>
      </c>
      <c r="BE28" s="346">
        <f t="shared" si="28"/>
        <v>0.11296528649100794</v>
      </c>
      <c r="BF28" s="1056">
        <f t="shared" si="41"/>
        <v>0.11296528649100794</v>
      </c>
      <c r="BG28" s="1056">
        <f t="shared" si="42"/>
        <v>0.11296528649100794</v>
      </c>
      <c r="BH28" s="1056">
        <f t="shared" si="42"/>
        <v>0.11296528649100794</v>
      </c>
    </row>
    <row r="29" spans="2:60" ht="136.5" customHeight="1">
      <c r="B29" s="1708"/>
      <c r="C29" s="1494"/>
      <c r="D29" s="306" t="str">
        <f>+'01-FR-03 POA INSTITUCIONAL'!D26</f>
        <v>1.2.3 Prevenir mediante la elaboración de 18.880 acciones constitucionales, la vulneración de derechos  con énfasis en sujetos de especial protección constitucional.</v>
      </c>
      <c r="E29" s="52">
        <f>+'01-FR-03 POA INSTITUCIONAL'!E26</f>
        <v>0.09</v>
      </c>
      <c r="F29" s="139">
        <f>+'01-FR-03 POA INSTITUCIONAL'!F26</f>
        <v>18880</v>
      </c>
      <c r="G29" s="139">
        <f>+'01-FR-03 POA INSTITUCIONAL'!L26</f>
        <v>4790</v>
      </c>
      <c r="H29" s="140" t="str">
        <f>+'01-FR-03 POA INSTITUCIONAL'!G26</f>
        <v>S.I.</v>
      </c>
      <c r="I29" s="140" t="str">
        <f>+'01-FR-03 POA INSTITUCIONAL'!H26</f>
        <v>Acciones constitucionales elaboradas para prevenir vulneración de derechos</v>
      </c>
      <c r="J29" s="140" t="s">
        <v>233</v>
      </c>
      <c r="K29" s="275" t="s">
        <v>216</v>
      </c>
      <c r="L29" s="1000" t="s">
        <v>1054</v>
      </c>
      <c r="M29" s="216" t="s">
        <v>201</v>
      </c>
      <c r="N29" s="216" t="s">
        <v>202</v>
      </c>
      <c r="O29" s="34" t="str">
        <f>+'01-FR-03 POA INSTITUCIONAL'!J26</f>
        <v>P.D. para Asuntos Jurisdiccionales, Víctimas, Penal II y Consumidor.
P.D. para la Coordinación de la Gestión de Personerías Locales y sus Personerías Locales adscritas</v>
      </c>
      <c r="P29" s="902">
        <f>0+197</f>
        <v>197</v>
      </c>
      <c r="Q29" s="902">
        <v>449</v>
      </c>
      <c r="R29" s="902">
        <f>70+487</f>
        <v>557</v>
      </c>
      <c r="S29" s="902">
        <v>584</v>
      </c>
      <c r="T29" s="902">
        <f>70+487</f>
        <v>557</v>
      </c>
      <c r="U29" s="902">
        <v>440</v>
      </c>
      <c r="V29" s="53">
        <f t="shared" si="2"/>
        <v>1311</v>
      </c>
      <c r="W29" s="53">
        <f t="shared" si="2"/>
        <v>1473</v>
      </c>
      <c r="X29" s="902">
        <f>70+488</f>
        <v>558</v>
      </c>
      <c r="Y29" s="902"/>
      <c r="Z29" s="902">
        <f>70+488</f>
        <v>558</v>
      </c>
      <c r="AA29" s="902"/>
      <c r="AB29" s="902">
        <f>70+488</f>
        <v>558</v>
      </c>
      <c r="AC29" s="902"/>
      <c r="AD29" s="53">
        <f t="shared" si="3"/>
        <v>1674</v>
      </c>
      <c r="AE29" s="53">
        <f t="shared" si="3"/>
        <v>0</v>
      </c>
      <c r="AF29" s="902">
        <f>70+488</f>
        <v>558</v>
      </c>
      <c r="AG29" s="902"/>
      <c r="AH29" s="902">
        <f>70+205</f>
        <v>275</v>
      </c>
      <c r="AI29" s="902"/>
      <c r="AJ29" s="902">
        <f>70+204</f>
        <v>274</v>
      </c>
      <c r="AK29" s="902"/>
      <c r="AL29" s="53">
        <f t="shared" si="4"/>
        <v>1107</v>
      </c>
      <c r="AM29" s="53">
        <f t="shared" si="4"/>
        <v>0</v>
      </c>
      <c r="AN29" s="902">
        <f>70+204</f>
        <v>274</v>
      </c>
      <c r="AO29" s="902"/>
      <c r="AP29" s="902">
        <f>70+204</f>
        <v>274</v>
      </c>
      <c r="AQ29" s="902"/>
      <c r="AR29" s="902">
        <f>0+150</f>
        <v>150</v>
      </c>
      <c r="AS29" s="902"/>
      <c r="AT29" s="53">
        <f t="shared" si="5"/>
        <v>698</v>
      </c>
      <c r="AU29" s="53">
        <f t="shared" si="5"/>
        <v>0</v>
      </c>
      <c r="AV29" s="252">
        <f t="shared" si="6"/>
        <v>4790</v>
      </c>
      <c r="AW29" s="81">
        <f t="shared" si="7"/>
        <v>1473</v>
      </c>
      <c r="AX29" s="1053">
        <f t="shared" si="8"/>
        <v>1473</v>
      </c>
      <c r="AY29" s="1053">
        <f t="shared" si="9"/>
        <v>1473</v>
      </c>
      <c r="AZ29" s="1053">
        <f t="shared" si="10"/>
        <v>1473</v>
      </c>
      <c r="BA29" s="319">
        <f t="shared" si="32"/>
        <v>0.30751565762004174</v>
      </c>
      <c r="BB29" s="319">
        <f t="shared" si="33"/>
        <v>0.30751565762004174</v>
      </c>
      <c r="BC29" s="319">
        <f t="shared" si="34"/>
        <v>0.30751565762004174</v>
      </c>
      <c r="BD29" s="319">
        <f t="shared" si="35"/>
        <v>0.30751565762004174</v>
      </c>
      <c r="BE29" s="346">
        <f t="shared" si="28"/>
        <v>7.8019067796610164E-2</v>
      </c>
      <c r="BF29" s="1056">
        <f t="shared" ref="BF29:BF35" si="43">(IF(AND(AX29&gt;0,$F29&gt;0),AX29/$F29,0))</f>
        <v>7.8019067796610164E-2</v>
      </c>
      <c r="BG29" s="1056">
        <f t="shared" ref="BG29:BH35" si="44">(IF(AND(AY29&gt;0,$F29&gt;0),AY29/$F29,0))</f>
        <v>7.8019067796610164E-2</v>
      </c>
      <c r="BH29" s="1056">
        <f t="shared" si="44"/>
        <v>7.8019067796610164E-2</v>
      </c>
    </row>
    <row r="30" spans="2:60" ht="91.5" customHeight="1">
      <c r="B30" s="1708"/>
      <c r="C30" s="1494"/>
      <c r="D30" s="306" t="str">
        <f>+'01-FR-03 POA INSTITUCIONAL'!D27</f>
        <v>1.2.4 Fortalecer el ejercicio del ministerio público ante las comisarías de familia, mediante el seguimiento a 3.540 medidas de protección que estas imponen.</v>
      </c>
      <c r="E30" s="52">
        <f>+'01-FR-03 POA INSTITUCIONAL'!E27</f>
        <v>0.02</v>
      </c>
      <c r="F30" s="139">
        <f>+'01-FR-03 POA INSTITUCIONAL'!F27</f>
        <v>3940</v>
      </c>
      <c r="G30" s="139">
        <f>+'01-FR-03 POA INSTITUCIONAL'!L27</f>
        <v>800</v>
      </c>
      <c r="H30" s="140" t="str">
        <f>+'01-FR-03 POA INSTITUCIONAL'!G27</f>
        <v>S.I.</v>
      </c>
      <c r="I30" s="140" t="str">
        <f>+'01-FR-03 POA INSTITUCIONAL'!H27</f>
        <v>Seguimientos realizados por el Ministerio Público a las medidas de protección impuestas por las Comisarias de Familia</v>
      </c>
      <c r="J30" s="140" t="s">
        <v>240</v>
      </c>
      <c r="K30" s="1003" t="s">
        <v>1122</v>
      </c>
      <c r="L30" s="1000" t="s">
        <v>1123</v>
      </c>
      <c r="M30" s="216" t="s">
        <v>201</v>
      </c>
      <c r="N30" s="216" t="s">
        <v>202</v>
      </c>
      <c r="O30" s="34" t="str">
        <f>+'01-FR-03 POA INSTITUCIONAL'!J27</f>
        <v>P.D. para la Familia y Sujetos de Especial Protección Constitucional</v>
      </c>
      <c r="P30" s="902">
        <v>0</v>
      </c>
      <c r="Q30" s="902">
        <v>49</v>
      </c>
      <c r="R30" s="902">
        <v>50</v>
      </c>
      <c r="S30" s="902">
        <v>0</v>
      </c>
      <c r="T30" s="902">
        <v>90</v>
      </c>
      <c r="U30" s="902">
        <v>4</v>
      </c>
      <c r="V30" s="53">
        <f t="shared" si="2"/>
        <v>140</v>
      </c>
      <c r="W30" s="53">
        <f t="shared" si="2"/>
        <v>53</v>
      </c>
      <c r="X30" s="902">
        <v>90</v>
      </c>
      <c r="Y30" s="902"/>
      <c r="Z30" s="902">
        <v>90</v>
      </c>
      <c r="AA30" s="902"/>
      <c r="AB30" s="902">
        <v>90</v>
      </c>
      <c r="AC30" s="902"/>
      <c r="AD30" s="53">
        <f t="shared" si="3"/>
        <v>270</v>
      </c>
      <c r="AE30" s="53">
        <f t="shared" si="3"/>
        <v>0</v>
      </c>
      <c r="AF30" s="902">
        <v>80</v>
      </c>
      <c r="AG30" s="902"/>
      <c r="AH30" s="902">
        <v>80</v>
      </c>
      <c r="AI30" s="902"/>
      <c r="AJ30" s="902">
        <v>80</v>
      </c>
      <c r="AK30" s="1005"/>
      <c r="AL30" s="53">
        <f t="shared" si="4"/>
        <v>240</v>
      </c>
      <c r="AM30" s="53">
        <f t="shared" si="4"/>
        <v>0</v>
      </c>
      <c r="AN30" s="902">
        <v>80</v>
      </c>
      <c r="AO30" s="902"/>
      <c r="AP30" s="902">
        <v>70</v>
      </c>
      <c r="AQ30" s="902"/>
      <c r="AR30" s="902">
        <v>0</v>
      </c>
      <c r="AS30" s="902"/>
      <c r="AT30" s="53">
        <f t="shared" si="5"/>
        <v>150</v>
      </c>
      <c r="AU30" s="53">
        <f t="shared" si="5"/>
        <v>0</v>
      </c>
      <c r="AV30" s="252">
        <f t="shared" si="6"/>
        <v>800</v>
      </c>
      <c r="AW30" s="81">
        <f t="shared" si="7"/>
        <v>53</v>
      </c>
      <c r="AX30" s="1053">
        <f t="shared" si="8"/>
        <v>53</v>
      </c>
      <c r="AY30" s="1053">
        <f t="shared" si="9"/>
        <v>53</v>
      </c>
      <c r="AZ30" s="1053">
        <f t="shared" si="10"/>
        <v>53</v>
      </c>
      <c r="BA30" s="319">
        <f t="shared" si="32"/>
        <v>6.6250000000000003E-2</v>
      </c>
      <c r="BB30" s="319">
        <f t="shared" si="33"/>
        <v>6.6250000000000003E-2</v>
      </c>
      <c r="BC30" s="319">
        <f t="shared" si="34"/>
        <v>6.6250000000000003E-2</v>
      </c>
      <c r="BD30" s="319">
        <f t="shared" si="35"/>
        <v>6.6250000000000003E-2</v>
      </c>
      <c r="BE30" s="346">
        <f t="shared" si="28"/>
        <v>1.3451776649746193E-2</v>
      </c>
      <c r="BF30" s="1056">
        <f t="shared" si="43"/>
        <v>1.3451776649746193E-2</v>
      </c>
      <c r="BG30" s="1056">
        <f t="shared" si="44"/>
        <v>1.3451776649746193E-2</v>
      </c>
      <c r="BH30" s="1056">
        <f t="shared" si="44"/>
        <v>1.3451776649746193E-2</v>
      </c>
    </row>
    <row r="31" spans="2:60" ht="145.5" customHeight="1">
      <c r="B31" s="1708"/>
      <c r="C31" s="1494"/>
      <c r="D31" s="306" t="str">
        <f>+'01-FR-03 POA INSTITUCIONAL'!D28</f>
        <v>1.2.5 Participar en 7.711 comités, mesas y consejos interinstitucionales en garantía de derechos, con énfasis en temas relacionados con sujetos de especial protección constitucional, en particular, persona mayor, mujer y población migrante.</v>
      </c>
      <c r="E31" s="52">
        <f>+'01-FR-03 POA INSTITUCIONAL'!E28</f>
        <v>0.01</v>
      </c>
      <c r="F31" s="139">
        <f>+'01-FR-03 POA INSTITUCIONAL'!F28</f>
        <v>7711</v>
      </c>
      <c r="G31" s="139">
        <f>+'01-FR-03 POA INSTITUCIONAL'!L28</f>
        <v>2771</v>
      </c>
      <c r="H31" s="140" t="str">
        <f>+'01-FR-03 POA INSTITUCIONAL'!G28</f>
        <v>S.I.</v>
      </c>
      <c r="I31" s="140" t="str">
        <f>+'01-FR-03 POA INSTITUCIONAL'!H28</f>
        <v>Espacios Interinstitucionales con participación</v>
      </c>
      <c r="J31" s="140" t="s">
        <v>239</v>
      </c>
      <c r="K31" s="275" t="s">
        <v>217</v>
      </c>
      <c r="L31" s="1000" t="s">
        <v>1124</v>
      </c>
      <c r="M31" s="216" t="s">
        <v>201</v>
      </c>
      <c r="N31" s="216" t="s">
        <v>202</v>
      </c>
      <c r="O31" s="34" t="str">
        <f>+'01-FR-03 POA INSTITUCIONAL'!J28</f>
        <v>P.D. para la Coordinación del MP y DDHH, P.D. para Asuntos Penales I, Penales II, Derechos Humanos, Familia, Víctimas, Asuntos Jurisdiccionales y Consumidor.
 P.D. para la Coordinación de la Gestión de Personerías Locales y sus Personerías Locales adscritas</v>
      </c>
      <c r="P31" s="902">
        <f>200+15</f>
        <v>215</v>
      </c>
      <c r="Q31" s="902">
        <v>97</v>
      </c>
      <c r="R31" s="902">
        <f>200+30</f>
        <v>230</v>
      </c>
      <c r="S31" s="902">
        <v>226</v>
      </c>
      <c r="T31" s="902">
        <f>200+33</f>
        <v>233</v>
      </c>
      <c r="U31" s="902">
        <v>279</v>
      </c>
      <c r="V31" s="53">
        <f t="shared" si="2"/>
        <v>678</v>
      </c>
      <c r="W31" s="53">
        <f t="shared" si="2"/>
        <v>602</v>
      </c>
      <c r="X31" s="902">
        <f>200+33</f>
        <v>233</v>
      </c>
      <c r="Y31" s="902"/>
      <c r="Z31" s="902">
        <f>200+36</f>
        <v>236</v>
      </c>
      <c r="AA31" s="902"/>
      <c r="AB31" s="902">
        <f>200+33</f>
        <v>233</v>
      </c>
      <c r="AC31" s="1005"/>
      <c r="AD31" s="53">
        <f t="shared" si="3"/>
        <v>702</v>
      </c>
      <c r="AE31" s="53">
        <f t="shared" si="3"/>
        <v>0</v>
      </c>
      <c r="AF31" s="902">
        <f>200+34</f>
        <v>234</v>
      </c>
      <c r="AG31" s="902"/>
      <c r="AH31" s="902">
        <f>200+35</f>
        <v>235</v>
      </c>
      <c r="AI31" s="902"/>
      <c r="AJ31" s="902">
        <f>200+34</f>
        <v>234</v>
      </c>
      <c r="AK31" s="1005"/>
      <c r="AL31" s="53">
        <f t="shared" si="4"/>
        <v>703</v>
      </c>
      <c r="AM31" s="53">
        <f t="shared" si="4"/>
        <v>0</v>
      </c>
      <c r="AN31" s="902">
        <f>200+33</f>
        <v>233</v>
      </c>
      <c r="AO31" s="902"/>
      <c r="AP31" s="902">
        <f>200+34</f>
        <v>234</v>
      </c>
      <c r="AQ31" s="902"/>
      <c r="AR31" s="902">
        <f>200+21</f>
        <v>221</v>
      </c>
      <c r="AS31" s="902"/>
      <c r="AT31" s="53">
        <f t="shared" si="5"/>
        <v>688</v>
      </c>
      <c r="AU31" s="53">
        <f t="shared" si="5"/>
        <v>0</v>
      </c>
      <c r="AV31" s="252">
        <f t="shared" si="6"/>
        <v>2771</v>
      </c>
      <c r="AW31" s="81">
        <f t="shared" si="7"/>
        <v>602</v>
      </c>
      <c r="AX31" s="1053">
        <f t="shared" si="8"/>
        <v>602</v>
      </c>
      <c r="AY31" s="1053">
        <f t="shared" si="9"/>
        <v>602</v>
      </c>
      <c r="AZ31" s="1053">
        <f t="shared" si="10"/>
        <v>602</v>
      </c>
      <c r="BA31" s="319">
        <f t="shared" si="32"/>
        <v>0.21725009022013714</v>
      </c>
      <c r="BB31" s="319">
        <f t="shared" si="33"/>
        <v>0.21725009022013714</v>
      </c>
      <c r="BC31" s="319">
        <f t="shared" si="34"/>
        <v>0.21725009022013714</v>
      </c>
      <c r="BD31" s="319">
        <f t="shared" si="35"/>
        <v>0.21725009022013714</v>
      </c>
      <c r="BE31" s="346">
        <f t="shared" si="28"/>
        <v>7.8070289197250675E-2</v>
      </c>
      <c r="BF31" s="1056">
        <f t="shared" si="43"/>
        <v>7.8070289197250675E-2</v>
      </c>
      <c r="BG31" s="1056">
        <f t="shared" si="44"/>
        <v>7.8070289197250675E-2</v>
      </c>
      <c r="BH31" s="1056">
        <f t="shared" si="44"/>
        <v>7.8070289197250675E-2</v>
      </c>
    </row>
    <row r="32" spans="2:60" ht="99.75" customHeight="1">
      <c r="B32" s="1708"/>
      <c r="C32" s="1495"/>
      <c r="D32" s="306" t="str">
        <f>+'01-FR-03 POA INSTITUCIONAL'!D29</f>
        <v>1.2.6 Realizar 738 seguimientos a la amenaza y vulneración de los derechos, con énfasis en sujetos de especial protección constitucional, en particular, persona mayor, mujer y población migrante</v>
      </c>
      <c r="E32" s="52">
        <f>+'01-FR-03 POA INSTITUCIONAL'!E29</f>
        <v>0.01</v>
      </c>
      <c r="F32" s="139">
        <f>+'01-FR-03 POA INSTITUCIONAL'!F29</f>
        <v>712</v>
      </c>
      <c r="G32" s="139">
        <f>+'01-FR-03 POA INSTITUCIONAL'!L29</f>
        <v>208</v>
      </c>
      <c r="H32" s="140" t="str">
        <f>+'01-FR-03 POA INSTITUCIONAL'!G29</f>
        <v>S.I.</v>
      </c>
      <c r="I32" s="140" t="str">
        <f>+'01-FR-03 POA INSTITUCIONAL'!H29</f>
        <v>Seguimientos a la Amenaza y Vulneración de los Derechos Realizados</v>
      </c>
      <c r="J32" s="140" t="s">
        <v>234</v>
      </c>
      <c r="K32" s="275" t="s">
        <v>218</v>
      </c>
      <c r="L32" s="1000" t="s">
        <v>1125</v>
      </c>
      <c r="M32" s="216" t="s">
        <v>201</v>
      </c>
      <c r="N32" s="216" t="s">
        <v>202</v>
      </c>
      <c r="O32" s="34" t="str">
        <f>+'01-FR-03 POA INSTITUCIONAL'!J29</f>
        <v>P.D. para la Coordinación del MP y DDHH, P.D. para Asuntos Policivos y Civiles, Penales I, Penales II, Derechos Humanos, Familia, Víctimas, Consumidor y Asuntos Jurisdiccionales.
 P.D. para la Coordinación de la Gestión de Personerías Locales y sus Personerías Locales adscritas</v>
      </c>
      <c r="P32" s="902">
        <f>5+3</f>
        <v>8</v>
      </c>
      <c r="Q32" s="902">
        <v>18</v>
      </c>
      <c r="R32" s="902">
        <f>5+11</f>
        <v>16</v>
      </c>
      <c r="S32" s="902">
        <v>16</v>
      </c>
      <c r="T32" s="902">
        <f>5+16</f>
        <v>21</v>
      </c>
      <c r="U32" s="902">
        <v>54</v>
      </c>
      <c r="V32" s="53">
        <f t="shared" si="2"/>
        <v>45</v>
      </c>
      <c r="W32" s="53">
        <f t="shared" si="2"/>
        <v>88</v>
      </c>
      <c r="X32" s="902">
        <f>5+16</f>
        <v>21</v>
      </c>
      <c r="Y32" s="902"/>
      <c r="Z32" s="902">
        <f>5+16</f>
        <v>21</v>
      </c>
      <c r="AA32" s="902"/>
      <c r="AB32" s="902">
        <f>5+17</f>
        <v>22</v>
      </c>
      <c r="AC32" s="1005"/>
      <c r="AD32" s="53">
        <f t="shared" si="3"/>
        <v>64</v>
      </c>
      <c r="AE32" s="53">
        <f t="shared" si="3"/>
        <v>0</v>
      </c>
      <c r="AF32" s="902">
        <f>5+16</f>
        <v>21</v>
      </c>
      <c r="AG32" s="902"/>
      <c r="AH32" s="902">
        <f>5+14</f>
        <v>19</v>
      </c>
      <c r="AI32" s="902"/>
      <c r="AJ32" s="902">
        <f>5+12</f>
        <v>17</v>
      </c>
      <c r="AK32" s="1005"/>
      <c r="AL32" s="53">
        <f t="shared" si="4"/>
        <v>57</v>
      </c>
      <c r="AM32" s="53">
        <f t="shared" si="4"/>
        <v>0</v>
      </c>
      <c r="AN32" s="902">
        <f>5+12</f>
        <v>17</v>
      </c>
      <c r="AO32" s="902"/>
      <c r="AP32" s="902">
        <f>5+9</f>
        <v>14</v>
      </c>
      <c r="AQ32" s="902"/>
      <c r="AR32" s="902">
        <f>5+6</f>
        <v>11</v>
      </c>
      <c r="AS32" s="902"/>
      <c r="AT32" s="53">
        <f t="shared" si="5"/>
        <v>42</v>
      </c>
      <c r="AU32" s="53">
        <f t="shared" si="5"/>
        <v>0</v>
      </c>
      <c r="AV32" s="252">
        <f t="shared" si="6"/>
        <v>208</v>
      </c>
      <c r="AW32" s="81">
        <f t="shared" si="7"/>
        <v>88</v>
      </c>
      <c r="AX32" s="1053">
        <f t="shared" si="8"/>
        <v>88</v>
      </c>
      <c r="AY32" s="1053">
        <f t="shared" si="9"/>
        <v>88</v>
      </c>
      <c r="AZ32" s="1053">
        <f t="shared" si="10"/>
        <v>88</v>
      </c>
      <c r="BA32" s="319">
        <f t="shared" si="32"/>
        <v>0.42307692307692307</v>
      </c>
      <c r="BB32" s="319">
        <f t="shared" si="33"/>
        <v>0.42307692307692307</v>
      </c>
      <c r="BC32" s="319">
        <f t="shared" si="34"/>
        <v>0.42307692307692307</v>
      </c>
      <c r="BD32" s="319">
        <f t="shared" si="35"/>
        <v>0.42307692307692307</v>
      </c>
      <c r="BE32" s="346">
        <f t="shared" si="28"/>
        <v>0.12359550561797752</v>
      </c>
      <c r="BF32" s="1056">
        <f t="shared" si="43"/>
        <v>0.12359550561797752</v>
      </c>
      <c r="BG32" s="1056">
        <f t="shared" si="44"/>
        <v>0.12359550561797752</v>
      </c>
      <c r="BH32" s="1056">
        <f t="shared" si="44"/>
        <v>0.12359550561797752</v>
      </c>
    </row>
    <row r="33" spans="2:60" ht="102" customHeight="1">
      <c r="B33" s="1708"/>
      <c r="C33" s="1493" t="str">
        <f>+'01-FR-03 POA INSTITUCIONAL'!C30</f>
        <v>1.3. Construir e Implementar 35 estrategias que permitan incrementar la oferta y cobertura de los servicios prestados por la Entidad.</v>
      </c>
      <c r="D33" s="306" t="str">
        <f>+'01-FR-03 POA INSTITUCIONAL'!D30</f>
        <v>1.3.1 Realizar 20 actividades que permitan el acercamiento de la Entidad a la Comunidad.</v>
      </c>
      <c r="E33" s="52">
        <f>+'01-FR-03 POA INSTITUCIONAL'!E30</f>
        <v>0.56000000000000005</v>
      </c>
      <c r="F33" s="139">
        <f>+'01-FR-03 POA INSTITUCIONAL'!F30</f>
        <v>20</v>
      </c>
      <c r="G33" s="139">
        <f>+'01-FR-03 POA INSTITUCIONAL'!L30</f>
        <v>8</v>
      </c>
      <c r="H33" s="140" t="str">
        <f>+'01-FR-03 POA INSTITUCIONAL'!G30</f>
        <v>S.I.</v>
      </c>
      <c r="I33" s="140" t="str">
        <f>+'01-FR-03 POA INSTITUCIONAL'!H30</f>
        <v>Actividades de acercamiento de la Entidad a la comunidad realizadas</v>
      </c>
      <c r="J33" s="140" t="s">
        <v>235</v>
      </c>
      <c r="K33" s="275" t="s">
        <v>219</v>
      </c>
      <c r="L33" s="1000" t="s">
        <v>1126</v>
      </c>
      <c r="M33" s="216" t="s">
        <v>201</v>
      </c>
      <c r="N33" s="216" t="s">
        <v>202</v>
      </c>
      <c r="O33" s="34" t="str">
        <f>+'01-FR-03 POA INSTITUCIONAL'!J30</f>
        <v>P.D. para la Coordinación del MP y DDHH y sus dependencias adscritas
 P.D. para la Coordinación de la Gestión de Personerías Locales y sus Personerías Locales adscritas</v>
      </c>
      <c r="P33" s="902">
        <f>0+0</f>
        <v>0</v>
      </c>
      <c r="Q33" s="902">
        <v>0</v>
      </c>
      <c r="R33" s="902">
        <f>0+0</f>
        <v>0</v>
      </c>
      <c r="S33" s="902">
        <v>0</v>
      </c>
      <c r="T33" s="902">
        <f>0+0</f>
        <v>0</v>
      </c>
      <c r="U33" s="902">
        <v>0</v>
      </c>
      <c r="V33" s="53">
        <f t="shared" si="2"/>
        <v>0</v>
      </c>
      <c r="W33" s="53">
        <f t="shared" si="2"/>
        <v>0</v>
      </c>
      <c r="X33" s="902">
        <v>1</v>
      </c>
      <c r="Y33" s="902"/>
      <c r="Z33" s="902">
        <v>0</v>
      </c>
      <c r="AA33" s="902"/>
      <c r="AB33" s="902">
        <v>1</v>
      </c>
      <c r="AC33" s="902"/>
      <c r="AD33" s="53">
        <f t="shared" si="3"/>
        <v>2</v>
      </c>
      <c r="AE33" s="53">
        <f t="shared" si="3"/>
        <v>0</v>
      </c>
      <c r="AF33" s="902">
        <v>1</v>
      </c>
      <c r="AG33" s="902"/>
      <c r="AH33" s="902">
        <f>1+1</f>
        <v>2</v>
      </c>
      <c r="AI33" s="902"/>
      <c r="AJ33" s="902">
        <f>1+1</f>
        <v>2</v>
      </c>
      <c r="AK33" s="1005"/>
      <c r="AL33" s="53">
        <f t="shared" si="4"/>
        <v>5</v>
      </c>
      <c r="AM33" s="53">
        <f t="shared" si="4"/>
        <v>0</v>
      </c>
      <c r="AN33" s="902">
        <v>1</v>
      </c>
      <c r="AO33" s="902"/>
      <c r="AP33" s="902">
        <f>0+0</f>
        <v>0</v>
      </c>
      <c r="AQ33" s="902"/>
      <c r="AR33" s="902">
        <f>0+0</f>
        <v>0</v>
      </c>
      <c r="AS33" s="902"/>
      <c r="AT33" s="53">
        <f t="shared" si="5"/>
        <v>1</v>
      </c>
      <c r="AU33" s="53">
        <f t="shared" si="5"/>
        <v>0</v>
      </c>
      <c r="AV33" s="252">
        <f t="shared" si="6"/>
        <v>8</v>
      </c>
      <c r="AW33" s="81">
        <f t="shared" si="7"/>
        <v>0</v>
      </c>
      <c r="AX33" s="1071">
        <f t="shared" si="8"/>
        <v>0</v>
      </c>
      <c r="AY33" s="1053">
        <f t="shared" si="9"/>
        <v>0</v>
      </c>
      <c r="AZ33" s="1053">
        <f t="shared" si="10"/>
        <v>0</v>
      </c>
      <c r="BA33" s="319">
        <f t="shared" si="32"/>
        <v>0</v>
      </c>
      <c r="BB33" s="319">
        <f t="shared" si="33"/>
        <v>0</v>
      </c>
      <c r="BC33" s="319">
        <f t="shared" si="34"/>
        <v>0</v>
      </c>
      <c r="BD33" s="319">
        <f t="shared" si="35"/>
        <v>0</v>
      </c>
      <c r="BE33" s="346">
        <f t="shared" si="28"/>
        <v>0</v>
      </c>
      <c r="BF33" s="1056">
        <f t="shared" si="43"/>
        <v>0</v>
      </c>
      <c r="BG33" s="1056">
        <f t="shared" si="44"/>
        <v>0</v>
      </c>
      <c r="BH33" s="1056">
        <f t="shared" si="44"/>
        <v>0</v>
      </c>
    </row>
    <row r="34" spans="2:60" ht="87.75" customHeight="1">
      <c r="B34" s="1708"/>
      <c r="C34" s="1494"/>
      <c r="D34" s="306" t="str">
        <f>+'01-FR-03 POA INSTITUCIONAL'!D31</f>
        <v>1.3.2 Incrementar la cobertura de los servicios que presta el proceso de Promoción y Defensa de Derechos, mediante la implementación de 11 acciones que propendan por el mejoramiento de los mismos.</v>
      </c>
      <c r="E34" s="52">
        <f>+'01-FR-03 POA INSTITUCIONAL'!E31</f>
        <v>0.31</v>
      </c>
      <c r="F34" s="139">
        <f>+'01-FR-03 POA INSTITUCIONAL'!F31</f>
        <v>11</v>
      </c>
      <c r="G34" s="139">
        <f>+'01-FR-03 POA INSTITUCIONAL'!L31</f>
        <v>3</v>
      </c>
      <c r="H34" s="140" t="str">
        <f>+'01-FR-03 POA INSTITUCIONAL'!G31</f>
        <v>S.I.</v>
      </c>
      <c r="I34" s="140" t="str">
        <f>+'01-FR-03 POA INSTITUCIONAL'!H31</f>
        <v>Acciones realizadas para incrementar la cobertura de los servicios</v>
      </c>
      <c r="J34" s="140" t="s">
        <v>241</v>
      </c>
      <c r="K34" s="275" t="s">
        <v>220</v>
      </c>
      <c r="L34" s="1000" t="s">
        <v>221</v>
      </c>
      <c r="M34" s="216" t="s">
        <v>201</v>
      </c>
      <c r="N34" s="216" t="s">
        <v>202</v>
      </c>
      <c r="O34" s="34" t="str">
        <f>+'01-FR-03 POA INSTITUCIONAL'!J31</f>
        <v>P.D. para la Coordinación del MP y DDHH y sus dependencias adscritas
 P.D. para la Coordinación de la Gestión de Personerías Locales y sus Personerías Locales adscritas</v>
      </c>
      <c r="P34" s="902">
        <f>0+0</f>
        <v>0</v>
      </c>
      <c r="Q34" s="902">
        <v>0</v>
      </c>
      <c r="R34" s="902">
        <f>0+0</f>
        <v>0</v>
      </c>
      <c r="S34" s="902">
        <v>0</v>
      </c>
      <c r="T34" s="902">
        <f>0+0</f>
        <v>0</v>
      </c>
      <c r="U34" s="902">
        <v>0</v>
      </c>
      <c r="V34" s="53">
        <f t="shared" si="2"/>
        <v>0</v>
      </c>
      <c r="W34" s="53">
        <f t="shared" si="2"/>
        <v>0</v>
      </c>
      <c r="X34" s="902">
        <f>0+0</f>
        <v>0</v>
      </c>
      <c r="Y34" s="902"/>
      <c r="Z34" s="902">
        <f>0+0</f>
        <v>0</v>
      </c>
      <c r="AA34" s="902"/>
      <c r="AB34" s="902">
        <f>0+0</f>
        <v>0</v>
      </c>
      <c r="AC34" s="902"/>
      <c r="AD34" s="53">
        <f t="shared" si="3"/>
        <v>0</v>
      </c>
      <c r="AE34" s="53">
        <f t="shared" si="3"/>
        <v>0</v>
      </c>
      <c r="AF34" s="902">
        <f>0+0</f>
        <v>0</v>
      </c>
      <c r="AG34" s="902"/>
      <c r="AH34" s="902">
        <f>1+2</f>
        <v>3</v>
      </c>
      <c r="AI34" s="902"/>
      <c r="AJ34" s="902">
        <f>0+0</f>
        <v>0</v>
      </c>
      <c r="AK34" s="1005"/>
      <c r="AL34" s="53">
        <f t="shared" si="4"/>
        <v>3</v>
      </c>
      <c r="AM34" s="53">
        <f t="shared" si="4"/>
        <v>0</v>
      </c>
      <c r="AN34" s="902">
        <f>0+0</f>
        <v>0</v>
      </c>
      <c r="AO34" s="902"/>
      <c r="AP34" s="902">
        <f>0+0</f>
        <v>0</v>
      </c>
      <c r="AQ34" s="902"/>
      <c r="AR34" s="902">
        <f>0+0</f>
        <v>0</v>
      </c>
      <c r="AS34" s="902"/>
      <c r="AT34" s="53">
        <f t="shared" si="5"/>
        <v>0</v>
      </c>
      <c r="AU34" s="53">
        <f t="shared" si="5"/>
        <v>0</v>
      </c>
      <c r="AV34" s="252">
        <f t="shared" si="6"/>
        <v>3</v>
      </c>
      <c r="AW34" s="81">
        <f t="shared" si="7"/>
        <v>0</v>
      </c>
      <c r="AX34" s="1053">
        <f t="shared" si="8"/>
        <v>0</v>
      </c>
      <c r="AY34" s="1053">
        <f t="shared" si="9"/>
        <v>0</v>
      </c>
      <c r="AZ34" s="1053">
        <f t="shared" si="10"/>
        <v>0</v>
      </c>
      <c r="BA34" s="319">
        <f t="shared" si="32"/>
        <v>0</v>
      </c>
      <c r="BB34" s="319">
        <f t="shared" si="33"/>
        <v>0</v>
      </c>
      <c r="BC34" s="319">
        <f t="shared" si="34"/>
        <v>0</v>
      </c>
      <c r="BD34" s="319">
        <f t="shared" si="35"/>
        <v>0</v>
      </c>
      <c r="BE34" s="346">
        <f t="shared" si="28"/>
        <v>0</v>
      </c>
      <c r="BF34" s="1056">
        <f t="shared" si="43"/>
        <v>0</v>
      </c>
      <c r="BG34" s="1056">
        <f t="shared" si="44"/>
        <v>0</v>
      </c>
      <c r="BH34" s="1056">
        <f t="shared" si="44"/>
        <v>0</v>
      </c>
    </row>
    <row r="35" spans="2:60" ht="81" customHeight="1">
      <c r="B35" s="1708"/>
      <c r="C35" s="1494"/>
      <c r="D35" s="306" t="str">
        <f>+'01-FR-03 POA INSTITUCIONAL'!D32</f>
        <v>1.3.3 Implementar 4 herramientas para la promoción y prevención a infracciones del Derecho Internacional Humanitario en el Distrito Capital</v>
      </c>
      <c r="E35" s="52">
        <f>+'01-FR-03 POA INSTITUCIONAL'!E32</f>
        <v>0.11</v>
      </c>
      <c r="F35" s="139">
        <f>+'01-FR-03 POA INSTITUCIONAL'!F32</f>
        <v>4</v>
      </c>
      <c r="G35" s="139">
        <f>+'01-FR-03 POA INSTITUCIONAL'!L32</f>
        <v>1</v>
      </c>
      <c r="H35" s="140" t="str">
        <f>+'01-FR-03 POA INSTITUCIONAL'!G32</f>
        <v>S.I.</v>
      </c>
      <c r="I35" s="140" t="str">
        <f>+'01-FR-03 POA INSTITUCIONAL'!H32</f>
        <v>Herramientas de promoción y prevención a infracciones del Derecho Internacional Humanitario implementadas</v>
      </c>
      <c r="J35" s="140" t="s">
        <v>242</v>
      </c>
      <c r="K35" s="275" t="s">
        <v>222</v>
      </c>
      <c r="L35" s="1000" t="s">
        <v>223</v>
      </c>
      <c r="M35" s="216" t="s">
        <v>201</v>
      </c>
      <c r="N35" s="216" t="s">
        <v>202</v>
      </c>
      <c r="O35" s="34" t="str">
        <f>+'01-FR-03 POA INSTITUCIONAL'!J32</f>
        <v>P.D. para la Coordinación del MP y DDHH y sus dependencias adscritas
 P.D. para la Coordinación de la Gestión de Personerías Locales y sus Personerías Locales adscritas</v>
      </c>
      <c r="P35" s="902">
        <v>0</v>
      </c>
      <c r="Q35" s="902">
        <v>0</v>
      </c>
      <c r="R35" s="902">
        <v>0</v>
      </c>
      <c r="S35" s="902">
        <v>0</v>
      </c>
      <c r="T35" s="902">
        <v>0</v>
      </c>
      <c r="U35" s="902">
        <v>0</v>
      </c>
      <c r="V35" s="53">
        <f t="shared" si="2"/>
        <v>0</v>
      </c>
      <c r="W35" s="53">
        <f t="shared" si="2"/>
        <v>0</v>
      </c>
      <c r="X35" s="902">
        <v>0</v>
      </c>
      <c r="Y35" s="902"/>
      <c r="Z35" s="902">
        <v>0</v>
      </c>
      <c r="AA35" s="902"/>
      <c r="AB35" s="902">
        <v>0</v>
      </c>
      <c r="AC35" s="902"/>
      <c r="AD35" s="53">
        <f t="shared" si="3"/>
        <v>0</v>
      </c>
      <c r="AE35" s="53">
        <f t="shared" si="3"/>
        <v>0</v>
      </c>
      <c r="AF35" s="902">
        <v>0</v>
      </c>
      <c r="AG35" s="902"/>
      <c r="AH35" s="902">
        <v>0</v>
      </c>
      <c r="AI35" s="902"/>
      <c r="AJ35" s="1005">
        <v>0</v>
      </c>
      <c r="AK35" s="1005"/>
      <c r="AL35" s="53">
        <f t="shared" si="4"/>
        <v>0</v>
      </c>
      <c r="AM35" s="53">
        <f t="shared" si="4"/>
        <v>0</v>
      </c>
      <c r="AN35" s="902">
        <v>0</v>
      </c>
      <c r="AO35" s="902"/>
      <c r="AP35" s="902">
        <f>0.5+0.5</f>
        <v>1</v>
      </c>
      <c r="AQ35" s="902"/>
      <c r="AR35" s="902">
        <v>0</v>
      </c>
      <c r="AS35" s="902"/>
      <c r="AT35" s="53">
        <f t="shared" si="5"/>
        <v>1</v>
      </c>
      <c r="AU35" s="53">
        <f t="shared" si="5"/>
        <v>0</v>
      </c>
      <c r="AV35" s="252">
        <f t="shared" si="6"/>
        <v>1</v>
      </c>
      <c r="AW35" s="81">
        <f t="shared" si="7"/>
        <v>0</v>
      </c>
      <c r="AX35" s="1053">
        <f t="shared" si="8"/>
        <v>0</v>
      </c>
      <c r="AY35" s="1053">
        <f t="shared" si="9"/>
        <v>0</v>
      </c>
      <c r="AZ35" s="1053">
        <f t="shared" si="10"/>
        <v>0</v>
      </c>
      <c r="BA35" s="319">
        <f t="shared" si="32"/>
        <v>0</v>
      </c>
      <c r="BB35" s="319">
        <f t="shared" si="33"/>
        <v>0</v>
      </c>
      <c r="BC35" s="319">
        <f t="shared" si="34"/>
        <v>0</v>
      </c>
      <c r="BD35" s="319">
        <f t="shared" si="35"/>
        <v>0</v>
      </c>
      <c r="BE35" s="346">
        <f t="shared" si="28"/>
        <v>0</v>
      </c>
      <c r="BF35" s="1056">
        <f t="shared" si="43"/>
        <v>0</v>
      </c>
      <c r="BG35" s="1056">
        <f t="shared" si="44"/>
        <v>0</v>
      </c>
      <c r="BH35" s="1056">
        <f t="shared" si="44"/>
        <v>0</v>
      </c>
    </row>
    <row r="36" spans="2:60" ht="22.8">
      <c r="B36" s="1560" t="s">
        <v>681</v>
      </c>
      <c r="C36" s="1561"/>
      <c r="D36" s="1561"/>
      <c r="E36" s="1561"/>
      <c r="F36" s="1561"/>
      <c r="G36" s="1561"/>
      <c r="H36" s="1561"/>
      <c r="I36" s="1561"/>
      <c r="J36" s="1561"/>
      <c r="K36" s="1561"/>
      <c r="L36" s="1561"/>
      <c r="M36" s="1561"/>
      <c r="N36" s="1561"/>
      <c r="O36" s="1561"/>
      <c r="P36" s="1561"/>
      <c r="Q36" s="1561"/>
      <c r="R36" s="1561"/>
      <c r="S36" s="1561"/>
      <c r="T36" s="1561"/>
      <c r="U36" s="1561"/>
      <c r="V36" s="1561"/>
      <c r="W36" s="1561"/>
      <c r="X36" s="1561"/>
      <c r="Y36" s="1561"/>
      <c r="Z36" s="1561"/>
      <c r="AA36" s="1561"/>
      <c r="AB36" s="1561"/>
      <c r="AC36" s="1561"/>
      <c r="AD36" s="1561"/>
      <c r="AE36" s="1561"/>
      <c r="AF36" s="1561"/>
      <c r="AG36" s="1561"/>
      <c r="AH36" s="1561"/>
      <c r="AI36" s="1561"/>
      <c r="AJ36" s="1561"/>
      <c r="AK36" s="1561"/>
      <c r="AL36" s="1561"/>
      <c r="AM36" s="1561"/>
      <c r="AN36" s="1561"/>
      <c r="AO36" s="1561"/>
      <c r="AP36" s="1561"/>
      <c r="AQ36" s="1561"/>
      <c r="AR36" s="1561"/>
      <c r="AS36" s="1561"/>
      <c r="AT36" s="1561"/>
      <c r="AU36" s="1561"/>
      <c r="AV36" s="1561"/>
      <c r="AW36" s="1644"/>
      <c r="AX36" s="1709" t="s">
        <v>19</v>
      </c>
      <c r="AY36" s="1709"/>
      <c r="AZ36" s="1709"/>
      <c r="BA36" s="70">
        <f>AVERAGE(BA16:BA35)</f>
        <v>0.21303351448593516</v>
      </c>
      <c r="BB36" s="70">
        <f>AVERAGE(BB16:BB35)</f>
        <v>0.21303351448593516</v>
      </c>
      <c r="BC36" s="70">
        <f>AVERAGE(BC16:BC35)</f>
        <v>0.21302035659119833</v>
      </c>
      <c r="BD36" s="70">
        <f>AVERAGE(BD16:BD35)</f>
        <v>0.21303351448593516</v>
      </c>
      <c r="BE36" s="1652"/>
      <c r="BF36" s="1653"/>
      <c r="BG36" s="1653"/>
      <c r="BH36" s="1654"/>
    </row>
    <row r="37" spans="2:60">
      <c r="B37" s="1553"/>
      <c r="C37" s="1553"/>
      <c r="D37" s="1553"/>
      <c r="E37" s="1553"/>
      <c r="F37" s="1553"/>
      <c r="G37" s="1553"/>
      <c r="H37" s="239"/>
      <c r="I37" s="240"/>
      <c r="J37" s="240"/>
      <c r="K37" s="240"/>
      <c r="L37" s="240"/>
      <c r="M37" s="240"/>
      <c r="N37" s="240"/>
      <c r="O37" s="240"/>
    </row>
    <row r="38" spans="2:60">
      <c r="B38" s="240"/>
      <c r="C38" s="240"/>
      <c r="D38" s="1624"/>
      <c r="E38" s="1624"/>
      <c r="F38" s="1624"/>
      <c r="G38" s="1624"/>
      <c r="H38" s="1624"/>
      <c r="I38" s="1624"/>
      <c r="J38" s="1624"/>
      <c r="K38" s="1624"/>
      <c r="L38" s="1624"/>
      <c r="M38" s="1624"/>
      <c r="N38" s="1624"/>
      <c r="O38" s="1624"/>
    </row>
    <row r="39" spans="2:60" ht="30" customHeight="1">
      <c r="B39" s="77" t="s">
        <v>26</v>
      </c>
      <c r="C39" s="241">
        <v>44224</v>
      </c>
      <c r="D39" s="242"/>
      <c r="E39" s="1625" t="s">
        <v>50</v>
      </c>
      <c r="F39" s="1701" t="s">
        <v>1113</v>
      </c>
      <c r="G39" s="1702"/>
      <c r="H39" s="1702"/>
      <c r="I39" s="1702"/>
      <c r="J39" s="1703"/>
      <c r="K39" s="243"/>
      <c r="L39" s="1633"/>
      <c r="M39" s="1633"/>
      <c r="N39" s="1633"/>
      <c r="O39" s="1634"/>
    </row>
    <row r="40" spans="2:60" ht="40.200000000000003" customHeight="1">
      <c r="B40" s="240"/>
      <c r="C40" s="240"/>
      <c r="D40" s="243"/>
      <c r="E40" s="1625"/>
      <c r="F40" s="1704"/>
      <c r="G40" s="1705"/>
      <c r="H40" s="1705"/>
      <c r="I40" s="1705"/>
      <c r="J40" s="1706"/>
      <c r="K40" s="240"/>
      <c r="L40" s="240"/>
      <c r="M40" s="240"/>
      <c r="N40" s="240"/>
      <c r="O40" s="240"/>
    </row>
    <row r="41" spans="2:60" ht="31.5" customHeight="1">
      <c r="B41" s="77" t="s">
        <v>49</v>
      </c>
      <c r="C41" s="80">
        <v>44581</v>
      </c>
      <c r="D41" s="240"/>
      <c r="E41" s="240"/>
      <c r="F41" s="240"/>
      <c r="K41" s="240"/>
      <c r="L41" s="240"/>
      <c r="M41" s="240"/>
      <c r="N41" s="240"/>
      <c r="O41" s="240"/>
    </row>
    <row r="42" spans="2:60">
      <c r="B42" s="240"/>
      <c r="C42" s="240"/>
      <c r="D42" s="240"/>
      <c r="E42" s="240"/>
      <c r="F42" s="240"/>
      <c r="K42" s="240"/>
      <c r="L42" s="240"/>
      <c r="M42" s="240"/>
      <c r="N42" s="240"/>
      <c r="O42" s="240"/>
    </row>
    <row r="43" spans="2:60" ht="15" customHeight="1">
      <c r="B43" s="606" t="s">
        <v>924</v>
      </c>
      <c r="C43" s="240"/>
      <c r="D43" s="240"/>
      <c r="E43" s="240"/>
      <c r="F43" s="240"/>
      <c r="G43" s="239"/>
      <c r="H43" s="239"/>
      <c r="I43" s="1632"/>
      <c r="J43" s="1632"/>
      <c r="K43" s="1632"/>
      <c r="L43" s="1632"/>
      <c r="M43" s="244"/>
      <c r="N43" s="244"/>
      <c r="O43" s="244"/>
    </row>
    <row r="44" spans="2:60" ht="15" customHeight="1">
      <c r="B44" s="240"/>
      <c r="C44" s="240"/>
      <c r="D44" s="240"/>
      <c r="E44" s="240"/>
      <c r="F44" s="240"/>
      <c r="G44" s="239"/>
      <c r="H44" s="239"/>
      <c r="I44" s="240"/>
      <c r="J44" s="240"/>
      <c r="K44" s="245"/>
      <c r="L44" s="240"/>
      <c r="M44" s="240"/>
      <c r="N44" s="240"/>
      <c r="O44" s="240"/>
    </row>
    <row r="45" spans="2:60" ht="15" customHeight="1">
      <c r="B45" s="240"/>
      <c r="C45" s="240"/>
      <c r="D45" s="240"/>
      <c r="E45" s="240"/>
      <c r="F45" s="240"/>
      <c r="G45" s="239"/>
      <c r="H45" s="239"/>
      <c r="I45" s="1632"/>
      <c r="J45" s="1632"/>
      <c r="K45" s="1632"/>
      <c r="L45" s="1632"/>
      <c r="M45" s="244"/>
      <c r="N45" s="244"/>
      <c r="O45" s="244"/>
    </row>
    <row r="46" spans="2:60" ht="15" customHeight="1">
      <c r="B46" s="240"/>
      <c r="C46" s="240"/>
      <c r="D46" s="240"/>
      <c r="E46" s="240"/>
      <c r="F46" s="240"/>
      <c r="G46" s="239"/>
      <c r="H46" s="239"/>
      <c r="I46" s="240"/>
      <c r="J46" s="240"/>
      <c r="K46" s="245"/>
      <c r="L46" s="240"/>
      <c r="M46" s="240"/>
      <c r="N46" s="240"/>
      <c r="O46" s="240"/>
    </row>
    <row r="47" spans="2:60" ht="15" customHeight="1">
      <c r="B47" s="240"/>
      <c r="C47" s="240"/>
      <c r="D47" s="240"/>
      <c r="E47" s="240"/>
      <c r="F47" s="240"/>
      <c r="G47" s="239"/>
      <c r="H47" s="239"/>
      <c r="I47" s="1632"/>
      <c r="J47" s="1632"/>
      <c r="K47" s="1632"/>
      <c r="L47" s="1632"/>
      <c r="M47" s="244"/>
      <c r="N47" s="244"/>
      <c r="O47" s="244"/>
    </row>
  </sheetData>
  <sheetProtection algorithmName="SHA-512" hashValue="WinTLfR8Mqn1Ug/tMO0vyhnQQLefngqIUzzB+S0zi4pQnRiC2UABkoin+n6qyfz/PrUHKoccNlLbfOP26uB8uA==" saltValue="8j+BPJw/ZjScNmfP5l7rjw==" spinCount="100000" sheet="1" objects="1" scenarios="1"/>
  <mergeCells count="73">
    <mergeCell ref="BE36:BH36"/>
    <mergeCell ref="I12:I15"/>
    <mergeCell ref="J12:J15"/>
    <mergeCell ref="K12:K15"/>
    <mergeCell ref="L12:L15"/>
    <mergeCell ref="AV12:AV15"/>
    <mergeCell ref="AW12:AZ12"/>
    <mergeCell ref="BA12:BD12"/>
    <mergeCell ref="BB13:BB15"/>
    <mergeCell ref="AX36:AZ36"/>
    <mergeCell ref="C9:D9"/>
    <mergeCell ref="C10:D10"/>
    <mergeCell ref="F12:F15"/>
    <mergeCell ref="B12:B15"/>
    <mergeCell ref="C12:C15"/>
    <mergeCell ref="D12:D15"/>
    <mergeCell ref="B2:B6"/>
    <mergeCell ref="C2:BF6"/>
    <mergeCell ref="AZ13:AZ15"/>
    <mergeCell ref="BA13:BA15"/>
    <mergeCell ref="P12:AU12"/>
    <mergeCell ref="BD13:BD15"/>
    <mergeCell ref="AB14:AC14"/>
    <mergeCell ref="AP14:AQ14"/>
    <mergeCell ref="AR14:AS14"/>
    <mergeCell ref="AT14:AU14"/>
    <mergeCell ref="AF14:AG14"/>
    <mergeCell ref="AH14:AI14"/>
    <mergeCell ref="AJ14:AK14"/>
    <mergeCell ref="AL14:AM14"/>
    <mergeCell ref="AN14:AO14"/>
    <mergeCell ref="BC13:BC15"/>
    <mergeCell ref="BG6:BH6"/>
    <mergeCell ref="AW7:BA7"/>
    <mergeCell ref="C8:D8"/>
    <mergeCell ref="BE13:BE15"/>
    <mergeCell ref="BF13:BF15"/>
    <mergeCell ref="BG13:BG15"/>
    <mergeCell ref="BH13:BH15"/>
    <mergeCell ref="M12:M15"/>
    <mergeCell ref="BE12:BH12"/>
    <mergeCell ref="P13:W13"/>
    <mergeCell ref="X13:AE13"/>
    <mergeCell ref="AF13:AM13"/>
    <mergeCell ref="AN13:AU13"/>
    <mergeCell ref="AW13:AW15"/>
    <mergeCell ref="AX13:AX15"/>
    <mergeCell ref="AY13:AY15"/>
    <mergeCell ref="B16:B35"/>
    <mergeCell ref="C16:C26"/>
    <mergeCell ref="C27:C32"/>
    <mergeCell ref="C33:C35"/>
    <mergeCell ref="AD14:AE14"/>
    <mergeCell ref="N12:N15"/>
    <mergeCell ref="O12:O15"/>
    <mergeCell ref="H12:H15"/>
    <mergeCell ref="Z14:AA14"/>
    <mergeCell ref="P14:Q14"/>
    <mergeCell ref="R14:S14"/>
    <mergeCell ref="T14:U14"/>
    <mergeCell ref="V14:W14"/>
    <mergeCell ref="X14:Y14"/>
    <mergeCell ref="G12:G15"/>
    <mergeCell ref="E12:E15"/>
    <mergeCell ref="I45:L45"/>
    <mergeCell ref="I47:L47"/>
    <mergeCell ref="B37:G37"/>
    <mergeCell ref="B36:AW36"/>
    <mergeCell ref="D38:O38"/>
    <mergeCell ref="E39:E40"/>
    <mergeCell ref="L39:O39"/>
    <mergeCell ref="F39:J40"/>
    <mergeCell ref="I43:L43"/>
  </mergeCells>
  <conditionalFormatting sqref="BA16:BD35">
    <cfRule type="cellIs" dxfId="50" priority="1" operator="greaterThan">
      <formula>1</formula>
    </cfRule>
    <cfRule type="cellIs" dxfId="49" priority="17" operator="between">
      <formula>0.8</formula>
      <formula>1</formula>
    </cfRule>
    <cfRule type="cellIs" dxfId="48" priority="18" operator="between">
      <formula>0.61</formula>
      <formula>0.79</formula>
    </cfRule>
    <cfRule type="cellIs" dxfId="47" priority="19" operator="between">
      <formula>0</formula>
      <formula>0.6</formula>
    </cfRule>
  </conditionalFormatting>
  <dataValidations disablePrompts="1" count="1">
    <dataValidation allowBlank="1" showInputMessage="1" showErrorMessage="1" prompt="Transcriba de manera exacta el objetivo definido en la caracterización del proceso." sqref="C9:D9" xr:uid="{C3F358FF-BDE5-419F-9658-C89E504678AD}"/>
  </dataValidations>
  <pageMargins left="0.70866141732283472" right="0.70866141732283472" top="0.74803149606299213" bottom="0.74803149606299213" header="0.31496062992125984" footer="0.31496062992125984"/>
  <pageSetup paperSize="5" scale="28" orientation="landscape" r:id="rId1"/>
  <colBreaks count="2" manualBreakCount="2">
    <brk id="15" max="1048575" man="1"/>
    <brk id="30" max="47"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0426A-CC2B-473E-A965-C4058C4DD095}">
  <sheetPr>
    <tabColor rgb="FF66FF33"/>
  </sheetPr>
  <dimension ref="B1:BI34"/>
  <sheetViews>
    <sheetView showGridLines="0" zoomScale="60" zoomScaleNormal="60" workbookViewId="0">
      <selection activeCell="C10" sqref="C10:D10"/>
    </sheetView>
  </sheetViews>
  <sheetFormatPr baseColWidth="10" defaultColWidth="17.33203125" defaultRowHeight="15" customHeight="1"/>
  <cols>
    <col min="1" max="1" width="4.33203125" style="135" customWidth="1"/>
    <col min="2" max="2" width="50.44140625" style="133" customWidth="1"/>
    <col min="3" max="3" width="31.44140625" style="133" customWidth="1"/>
    <col min="4" max="4" width="49.6640625" style="133" customWidth="1"/>
    <col min="5" max="6" width="27.5546875" style="133" customWidth="1"/>
    <col min="7" max="7" width="29.33203125" style="134" customWidth="1"/>
    <col min="8" max="8" width="27.109375" style="134" customWidth="1"/>
    <col min="9" max="9" width="28.88671875" style="133" customWidth="1"/>
    <col min="10" max="10" width="31.88671875" style="133" customWidth="1"/>
    <col min="11" max="11" width="55.88671875" style="133" customWidth="1"/>
    <col min="12" max="12" width="48.44140625" style="133" customWidth="1"/>
    <col min="13" max="14" width="28.5546875" style="133" customWidth="1"/>
    <col min="15" max="15" width="50" style="133" customWidth="1"/>
    <col min="16" max="23" width="15.88671875" style="135" customWidth="1"/>
    <col min="24" max="24" width="14" style="135" bestFit="1" customWidth="1"/>
    <col min="25" max="25" width="12" style="135" bestFit="1" customWidth="1"/>
    <col min="26" max="26" width="14" style="135" bestFit="1" customWidth="1"/>
    <col min="27" max="27" width="12" style="135" bestFit="1" customWidth="1"/>
    <col min="28" max="28" width="14" style="135" bestFit="1" customWidth="1"/>
    <col min="29" max="29" width="12" style="135" bestFit="1" customWidth="1"/>
    <col min="30" max="31" width="15.44140625" style="135" customWidth="1"/>
    <col min="32" max="32" width="14" style="135" bestFit="1" customWidth="1"/>
    <col min="33" max="33" width="12" style="135" bestFit="1" customWidth="1"/>
    <col min="34" max="34" width="14" style="135" bestFit="1" customWidth="1"/>
    <col min="35" max="35" width="12" style="135" bestFit="1" customWidth="1"/>
    <col min="36" max="36" width="14" style="135" bestFit="1" customWidth="1"/>
    <col min="37" max="37" width="12" style="135" bestFit="1" customWidth="1"/>
    <col min="38" max="39" width="14.5546875" style="135" customWidth="1"/>
    <col min="40" max="40" width="14" style="135" bestFit="1" customWidth="1"/>
    <col min="41" max="41" width="12" style="135" bestFit="1" customWidth="1"/>
    <col min="42" max="42" width="14" style="135" bestFit="1" customWidth="1"/>
    <col min="43" max="43" width="12" style="135" bestFit="1" customWidth="1"/>
    <col min="44" max="44" width="14" style="135" bestFit="1" customWidth="1"/>
    <col min="45" max="45" width="12" style="135" bestFit="1" customWidth="1"/>
    <col min="46" max="47" width="15.33203125" style="135" customWidth="1"/>
    <col min="48" max="48" width="22.109375" style="135" customWidth="1"/>
    <col min="49" max="51" width="16" style="135" bestFit="1" customWidth="1"/>
    <col min="52" max="52" width="14.33203125" style="135" bestFit="1" customWidth="1"/>
    <col min="53" max="58" width="16" style="135" bestFit="1" customWidth="1"/>
    <col min="59" max="59" width="19.33203125" style="135" bestFit="1" customWidth="1"/>
    <col min="60" max="60" width="16" style="135" bestFit="1" customWidth="1"/>
    <col min="61" max="16384" width="17.33203125" style="135"/>
  </cols>
  <sheetData>
    <row r="1" spans="2:61" ht="15" customHeight="1" thickBot="1"/>
    <row r="2" spans="2:61" ht="16.5" customHeight="1">
      <c r="B2" s="1575" t="s">
        <v>686</v>
      </c>
      <c r="C2" s="1600" t="s">
        <v>118</v>
      </c>
      <c r="D2" s="1601"/>
      <c r="E2" s="1601"/>
      <c r="F2" s="1601"/>
      <c r="G2" s="1601"/>
      <c r="H2" s="1601"/>
      <c r="I2" s="1601"/>
      <c r="J2" s="1601"/>
      <c r="K2" s="1601"/>
      <c r="L2" s="1601"/>
      <c r="M2" s="1601"/>
      <c r="N2" s="1601"/>
      <c r="O2" s="1601"/>
      <c r="P2" s="1601"/>
      <c r="Q2" s="1601"/>
      <c r="R2" s="1601"/>
      <c r="S2" s="1601"/>
      <c r="T2" s="1601"/>
      <c r="U2" s="1601"/>
      <c r="V2" s="1601"/>
      <c r="W2" s="1601"/>
      <c r="X2" s="1601"/>
      <c r="Y2" s="1601"/>
      <c r="Z2" s="1601"/>
      <c r="AA2" s="1601"/>
      <c r="AB2" s="1601"/>
      <c r="AC2" s="1601"/>
      <c r="AD2" s="1601"/>
      <c r="AE2" s="1601"/>
      <c r="AF2" s="1601"/>
      <c r="AG2" s="1601"/>
      <c r="AH2" s="1601"/>
      <c r="AI2" s="1601"/>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2"/>
      <c r="BG2" s="230" t="s">
        <v>31</v>
      </c>
      <c r="BH2" s="231"/>
    </row>
    <row r="3" spans="2:61" ht="16.5" customHeight="1">
      <c r="B3" s="1576"/>
      <c r="C3" s="1603"/>
      <c r="D3" s="1604"/>
      <c r="E3" s="1604"/>
      <c r="F3" s="1604"/>
      <c r="G3" s="1604"/>
      <c r="H3" s="1604"/>
      <c r="I3" s="1604"/>
      <c r="J3" s="1604"/>
      <c r="K3" s="1604"/>
      <c r="L3" s="1604"/>
      <c r="M3" s="1604"/>
      <c r="N3" s="1604"/>
      <c r="O3" s="1604"/>
      <c r="P3" s="1604"/>
      <c r="Q3" s="1604"/>
      <c r="R3" s="1604"/>
      <c r="S3" s="1604"/>
      <c r="T3" s="1604"/>
      <c r="U3" s="1604"/>
      <c r="V3" s="1604"/>
      <c r="W3" s="1604"/>
      <c r="X3" s="1604"/>
      <c r="Y3" s="1604"/>
      <c r="Z3" s="1604"/>
      <c r="AA3" s="1604"/>
      <c r="AB3" s="1604"/>
      <c r="AC3" s="1604"/>
      <c r="AD3" s="1604"/>
      <c r="AE3" s="1604"/>
      <c r="AF3" s="1604"/>
      <c r="AG3" s="1604"/>
      <c r="AH3" s="1604"/>
      <c r="AI3" s="1604"/>
      <c r="AJ3" s="1604"/>
      <c r="AK3" s="1604"/>
      <c r="AL3" s="1604"/>
      <c r="AM3" s="1604"/>
      <c r="AN3" s="1604"/>
      <c r="AO3" s="1604"/>
      <c r="AP3" s="1604"/>
      <c r="AQ3" s="1604"/>
      <c r="AR3" s="1604"/>
      <c r="AS3" s="1604"/>
      <c r="AT3" s="1604"/>
      <c r="AU3" s="1604"/>
      <c r="AV3" s="1604"/>
      <c r="AW3" s="1604"/>
      <c r="AX3" s="1604"/>
      <c r="AY3" s="1604"/>
      <c r="AZ3" s="1604"/>
      <c r="BA3" s="1604"/>
      <c r="BB3" s="1604"/>
      <c r="BC3" s="1604"/>
      <c r="BD3" s="1604"/>
      <c r="BE3" s="1604"/>
      <c r="BF3" s="1605"/>
      <c r="BG3" s="209" t="s">
        <v>28</v>
      </c>
      <c r="BH3" s="28" t="s">
        <v>29</v>
      </c>
    </row>
    <row r="4" spans="2:61" ht="16.5" customHeight="1">
      <c r="B4" s="1576"/>
      <c r="C4" s="1603"/>
      <c r="D4" s="1604"/>
      <c r="E4" s="1604"/>
      <c r="F4" s="1604"/>
      <c r="G4" s="1604"/>
      <c r="H4" s="1604"/>
      <c r="I4" s="1604"/>
      <c r="J4" s="1604"/>
      <c r="K4" s="1604"/>
      <c r="L4" s="1604"/>
      <c r="M4" s="1604"/>
      <c r="N4" s="1604"/>
      <c r="O4" s="1604"/>
      <c r="P4" s="1604"/>
      <c r="Q4" s="1604"/>
      <c r="R4" s="1604"/>
      <c r="S4" s="1604"/>
      <c r="T4" s="1604"/>
      <c r="U4" s="1604"/>
      <c r="V4" s="1604"/>
      <c r="W4" s="1604"/>
      <c r="X4" s="1604"/>
      <c r="Y4" s="1604"/>
      <c r="Z4" s="1604"/>
      <c r="AA4" s="1604"/>
      <c r="AB4" s="1604"/>
      <c r="AC4" s="1604"/>
      <c r="AD4" s="1604"/>
      <c r="AE4" s="1604"/>
      <c r="AF4" s="1604"/>
      <c r="AG4" s="1604"/>
      <c r="AH4" s="1604"/>
      <c r="AI4" s="1604"/>
      <c r="AJ4" s="1604"/>
      <c r="AK4" s="1604"/>
      <c r="AL4" s="1604"/>
      <c r="AM4" s="1604"/>
      <c r="AN4" s="1604"/>
      <c r="AO4" s="1604"/>
      <c r="AP4" s="1604"/>
      <c r="AQ4" s="1604"/>
      <c r="AR4" s="1604"/>
      <c r="AS4" s="1604"/>
      <c r="AT4" s="1604"/>
      <c r="AU4" s="1604"/>
      <c r="AV4" s="1604"/>
      <c r="AW4" s="1604"/>
      <c r="AX4" s="1604"/>
      <c r="AY4" s="1604"/>
      <c r="AZ4" s="1604"/>
      <c r="BA4" s="1604"/>
      <c r="BB4" s="1604"/>
      <c r="BC4" s="1604"/>
      <c r="BD4" s="1604"/>
      <c r="BE4" s="1604"/>
      <c r="BF4" s="1605"/>
      <c r="BG4" s="210">
        <v>5</v>
      </c>
      <c r="BH4" s="30" t="s">
        <v>657</v>
      </c>
    </row>
    <row r="5" spans="2:61" ht="16.5" customHeight="1">
      <c r="B5" s="1576"/>
      <c r="C5" s="1603"/>
      <c r="D5" s="1604"/>
      <c r="E5" s="1604"/>
      <c r="F5" s="1604"/>
      <c r="G5" s="1604"/>
      <c r="H5" s="1604"/>
      <c r="I5" s="1604"/>
      <c r="J5" s="1604"/>
      <c r="K5" s="1604"/>
      <c r="L5" s="1604"/>
      <c r="M5" s="1604"/>
      <c r="N5" s="1604"/>
      <c r="O5" s="1604"/>
      <c r="P5" s="1604"/>
      <c r="Q5" s="1604"/>
      <c r="R5" s="1604"/>
      <c r="S5" s="1604"/>
      <c r="T5" s="1604"/>
      <c r="U5" s="1604"/>
      <c r="V5" s="1604"/>
      <c r="W5" s="1604"/>
      <c r="X5" s="1604"/>
      <c r="Y5" s="1604"/>
      <c r="Z5" s="1604"/>
      <c r="AA5" s="1604"/>
      <c r="AB5" s="1604"/>
      <c r="AC5" s="1604"/>
      <c r="AD5" s="1604"/>
      <c r="AE5" s="1604"/>
      <c r="AF5" s="1604"/>
      <c r="AG5" s="1604"/>
      <c r="AH5" s="1604"/>
      <c r="AI5" s="1604"/>
      <c r="AJ5" s="1604"/>
      <c r="AK5" s="1604"/>
      <c r="AL5" s="1604"/>
      <c r="AM5" s="1604"/>
      <c r="AN5" s="1604"/>
      <c r="AO5" s="1604"/>
      <c r="AP5" s="1604"/>
      <c r="AQ5" s="1604"/>
      <c r="AR5" s="1604"/>
      <c r="AS5" s="1604"/>
      <c r="AT5" s="1604"/>
      <c r="AU5" s="1604"/>
      <c r="AV5" s="1604"/>
      <c r="AW5" s="1604"/>
      <c r="AX5" s="1604"/>
      <c r="AY5" s="1604"/>
      <c r="AZ5" s="1604"/>
      <c r="BA5" s="1604"/>
      <c r="BB5" s="1604"/>
      <c r="BC5" s="1604"/>
      <c r="BD5" s="1604"/>
      <c r="BE5" s="1604"/>
      <c r="BF5" s="1605"/>
      <c r="BG5" s="211" t="s">
        <v>30</v>
      </c>
      <c r="BH5" s="212"/>
    </row>
    <row r="6" spans="2:61" ht="16.5" customHeight="1" thickBot="1">
      <c r="B6" s="1577"/>
      <c r="C6" s="1606"/>
      <c r="D6" s="1607"/>
      <c r="E6" s="1607"/>
      <c r="F6" s="1607"/>
      <c r="G6" s="1607"/>
      <c r="H6" s="1607"/>
      <c r="I6" s="1607"/>
      <c r="J6" s="1607"/>
      <c r="K6" s="1607"/>
      <c r="L6" s="1607"/>
      <c r="M6" s="1607"/>
      <c r="N6" s="1607"/>
      <c r="O6" s="1607"/>
      <c r="P6" s="1607"/>
      <c r="Q6" s="1607"/>
      <c r="R6" s="1607"/>
      <c r="S6" s="1607"/>
      <c r="T6" s="1607"/>
      <c r="U6" s="1607"/>
      <c r="V6" s="1607"/>
      <c r="W6" s="1607"/>
      <c r="X6" s="1607"/>
      <c r="Y6" s="1607"/>
      <c r="Z6" s="1607"/>
      <c r="AA6" s="1607"/>
      <c r="AB6" s="1607"/>
      <c r="AC6" s="1607"/>
      <c r="AD6" s="1607"/>
      <c r="AE6" s="1607"/>
      <c r="AF6" s="1607"/>
      <c r="AG6" s="1607"/>
      <c r="AH6" s="1607"/>
      <c r="AI6" s="1607"/>
      <c r="AJ6" s="1607"/>
      <c r="AK6" s="1607"/>
      <c r="AL6" s="1607"/>
      <c r="AM6" s="1607"/>
      <c r="AN6" s="1607"/>
      <c r="AO6" s="1607"/>
      <c r="AP6" s="1607"/>
      <c r="AQ6" s="1607"/>
      <c r="AR6" s="1607"/>
      <c r="AS6" s="1607"/>
      <c r="AT6" s="1607"/>
      <c r="AU6" s="1607"/>
      <c r="AV6" s="1607"/>
      <c r="AW6" s="1607"/>
      <c r="AX6" s="1607"/>
      <c r="AY6" s="1607"/>
      <c r="AZ6" s="1607"/>
      <c r="BA6" s="1607"/>
      <c r="BB6" s="1607"/>
      <c r="BC6" s="1607"/>
      <c r="BD6" s="1607"/>
      <c r="BE6" s="1607"/>
      <c r="BF6" s="1608"/>
      <c r="BG6" s="1566">
        <v>44306</v>
      </c>
      <c r="BH6" s="1567"/>
    </row>
    <row r="7" spans="2:61" ht="19.5" customHeight="1">
      <c r="B7" s="136"/>
      <c r="C7" s="136"/>
      <c r="D7" s="136"/>
      <c r="E7" s="136"/>
      <c r="F7" s="136"/>
      <c r="G7" s="137"/>
      <c r="H7" s="137"/>
      <c r="I7" s="136"/>
      <c r="J7" s="136"/>
      <c r="K7" s="136"/>
      <c r="L7" s="136"/>
      <c r="M7" s="136"/>
      <c r="N7" s="136"/>
      <c r="O7" s="136"/>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589"/>
      <c r="AX7" s="1633"/>
      <c r="AY7" s="1633"/>
      <c r="AZ7" s="1633"/>
      <c r="BA7" s="1591"/>
      <c r="BB7" s="232"/>
      <c r="BC7" s="232"/>
      <c r="BD7" s="232"/>
      <c r="BE7" s="138"/>
      <c r="BF7" s="138"/>
    </row>
    <row r="8" spans="2:61" ht="28.5" customHeight="1">
      <c r="B8" s="213" t="s">
        <v>45</v>
      </c>
      <c r="C8" s="1651" t="s">
        <v>89</v>
      </c>
      <c r="D8" s="1651"/>
      <c r="E8" s="214"/>
      <c r="F8" s="214"/>
      <c r="G8" s="214"/>
      <c r="H8" s="214"/>
      <c r="I8" s="214"/>
      <c r="J8" s="214"/>
      <c r="K8" s="214"/>
      <c r="L8" s="214"/>
      <c r="M8" s="214"/>
      <c r="N8" s="214"/>
      <c r="O8" s="214"/>
      <c r="AW8" s="232"/>
      <c r="AX8" s="232"/>
      <c r="AY8" s="232"/>
      <c r="AZ8" s="232"/>
      <c r="BA8" s="232"/>
      <c r="BB8" s="232"/>
      <c r="BC8" s="232"/>
      <c r="BD8" s="232"/>
    </row>
    <row r="9" spans="2:61" ht="98.25" customHeight="1">
      <c r="B9" s="213" t="s">
        <v>34</v>
      </c>
      <c r="C9" s="1645" t="s">
        <v>277</v>
      </c>
      <c r="D9" s="1646"/>
      <c r="E9" s="214"/>
      <c r="F9" s="214"/>
      <c r="G9" s="214"/>
      <c r="H9" s="214"/>
      <c r="I9" s="214"/>
      <c r="J9" s="214"/>
      <c r="K9" s="214"/>
      <c r="L9" s="214"/>
      <c r="M9" s="214"/>
      <c r="N9" s="214"/>
      <c r="O9" s="214"/>
      <c r="AW9" s="232"/>
      <c r="AX9" s="232"/>
      <c r="AY9" s="232"/>
      <c r="AZ9" s="232"/>
      <c r="BA9" s="232"/>
      <c r="BB9" s="232"/>
      <c r="BC9" s="232"/>
      <c r="BD9" s="232"/>
    </row>
    <row r="10" spans="2:61" ht="30" customHeight="1">
      <c r="B10" s="213" t="s">
        <v>101</v>
      </c>
      <c r="C10" s="1612">
        <v>2022</v>
      </c>
      <c r="D10" s="1613"/>
      <c r="E10" s="214"/>
      <c r="F10" s="214"/>
      <c r="G10" s="214"/>
      <c r="H10" s="214"/>
      <c r="I10" s="214"/>
      <c r="J10" s="214"/>
      <c r="K10" s="214"/>
      <c r="L10" s="214"/>
      <c r="M10" s="214"/>
      <c r="N10" s="214"/>
      <c r="O10" s="214"/>
      <c r="AW10" s="232"/>
      <c r="AX10" s="232"/>
      <c r="AY10" s="232"/>
      <c r="AZ10" s="232"/>
      <c r="BA10" s="232"/>
      <c r="BB10" s="232"/>
      <c r="BC10" s="232"/>
      <c r="BD10" s="232"/>
    </row>
    <row r="11" spans="2:61" ht="14.25" customHeight="1">
      <c r="B11" s="136"/>
      <c r="C11" s="136"/>
      <c r="D11" s="136"/>
      <c r="E11" s="136"/>
      <c r="F11" s="136"/>
      <c r="G11" s="137"/>
      <c r="H11" s="137"/>
      <c r="I11" s="136"/>
      <c r="J11" s="136"/>
      <c r="K11" s="136"/>
      <c r="L11" s="136"/>
      <c r="M11" s="136"/>
      <c r="N11" s="136"/>
      <c r="O11" s="136"/>
      <c r="AW11" s="232"/>
      <c r="AX11" s="232"/>
      <c r="AY11" s="232"/>
      <c r="AZ11" s="232"/>
      <c r="BA11" s="232"/>
      <c r="BB11" s="232"/>
      <c r="BC11" s="232"/>
      <c r="BD11" s="232"/>
    </row>
    <row r="12" spans="2:61" ht="33" customHeight="1">
      <c r="B12" s="1476" t="s">
        <v>0</v>
      </c>
      <c r="C12" s="1476" t="s">
        <v>52</v>
      </c>
      <c r="D12" s="1302" t="s">
        <v>711</v>
      </c>
      <c r="E12" s="1476" t="s">
        <v>61</v>
      </c>
      <c r="F12" s="1302" t="s">
        <v>682</v>
      </c>
      <c r="G12" s="1476" t="s">
        <v>58</v>
      </c>
      <c r="H12" s="1476" t="s">
        <v>25</v>
      </c>
      <c r="I12" s="1476" t="s">
        <v>60</v>
      </c>
      <c r="J12" s="1476" t="s">
        <v>39</v>
      </c>
      <c r="K12" s="1476" t="s">
        <v>36</v>
      </c>
      <c r="L12" s="1476" t="s">
        <v>20</v>
      </c>
      <c r="M12" s="1476" t="s">
        <v>51</v>
      </c>
      <c r="N12" s="1476" t="s">
        <v>40</v>
      </c>
      <c r="O12" s="1476" t="s">
        <v>42</v>
      </c>
      <c r="P12" s="1528" t="s">
        <v>112</v>
      </c>
      <c r="Q12" s="1528"/>
      <c r="R12" s="1528"/>
      <c r="S12" s="1528"/>
      <c r="T12" s="1528"/>
      <c r="U12" s="1528"/>
      <c r="V12" s="1528"/>
      <c r="W12" s="1528"/>
      <c r="X12" s="1528"/>
      <c r="Y12" s="1528"/>
      <c r="Z12" s="1528"/>
      <c r="AA12" s="1528"/>
      <c r="AB12" s="1528"/>
      <c r="AC12" s="1528"/>
      <c r="AD12" s="1528"/>
      <c r="AE12" s="1528"/>
      <c r="AF12" s="1528"/>
      <c r="AG12" s="1528"/>
      <c r="AH12" s="1528"/>
      <c r="AI12" s="1528"/>
      <c r="AJ12" s="1528"/>
      <c r="AK12" s="1528"/>
      <c r="AL12" s="1528"/>
      <c r="AM12" s="1528"/>
      <c r="AN12" s="1528"/>
      <c r="AO12" s="1528"/>
      <c r="AP12" s="1528"/>
      <c r="AQ12" s="1528"/>
      <c r="AR12" s="1528"/>
      <c r="AS12" s="1528"/>
      <c r="AT12" s="1528"/>
      <c r="AU12" s="1528"/>
      <c r="AV12" s="1592" t="s">
        <v>255</v>
      </c>
      <c r="AW12" s="1594" t="s">
        <v>683</v>
      </c>
      <c r="AX12" s="1595"/>
      <c r="AY12" s="1595"/>
      <c r="AZ12" s="1596"/>
      <c r="BA12" s="1583" t="s">
        <v>684</v>
      </c>
      <c r="BB12" s="1584"/>
      <c r="BC12" s="1584"/>
      <c r="BD12" s="1585"/>
      <c r="BE12" s="1618" t="s">
        <v>685</v>
      </c>
      <c r="BF12" s="1619"/>
      <c r="BG12" s="1619"/>
      <c r="BH12" s="1620"/>
    </row>
    <row r="13" spans="2:61" ht="21.75" customHeight="1">
      <c r="B13" s="1476"/>
      <c r="C13" s="1476"/>
      <c r="D13" s="1302"/>
      <c r="E13" s="1476"/>
      <c r="F13" s="1302"/>
      <c r="G13" s="1476"/>
      <c r="H13" s="1476"/>
      <c r="I13" s="1476"/>
      <c r="J13" s="1476"/>
      <c r="K13" s="1476"/>
      <c r="L13" s="1476"/>
      <c r="M13" s="1476"/>
      <c r="N13" s="1476"/>
      <c r="O13" s="1476"/>
      <c r="P13" s="1593" t="s">
        <v>21</v>
      </c>
      <c r="Q13" s="1593"/>
      <c r="R13" s="1593"/>
      <c r="S13" s="1593"/>
      <c r="T13" s="1593"/>
      <c r="U13" s="1593"/>
      <c r="V13" s="1593"/>
      <c r="W13" s="1593"/>
      <c r="X13" s="1593" t="s">
        <v>22</v>
      </c>
      <c r="Y13" s="1593"/>
      <c r="Z13" s="1593"/>
      <c r="AA13" s="1593"/>
      <c r="AB13" s="1593"/>
      <c r="AC13" s="1593"/>
      <c r="AD13" s="1593"/>
      <c r="AE13" s="1593"/>
      <c r="AF13" s="1593" t="s">
        <v>23</v>
      </c>
      <c r="AG13" s="1593"/>
      <c r="AH13" s="1593"/>
      <c r="AI13" s="1593"/>
      <c r="AJ13" s="1593"/>
      <c r="AK13" s="1593"/>
      <c r="AL13" s="1593"/>
      <c r="AM13" s="1593"/>
      <c r="AN13" s="1593" t="s">
        <v>24</v>
      </c>
      <c r="AO13" s="1593"/>
      <c r="AP13" s="1593"/>
      <c r="AQ13" s="1593"/>
      <c r="AR13" s="1593"/>
      <c r="AS13" s="1593"/>
      <c r="AT13" s="1593"/>
      <c r="AU13" s="1593"/>
      <c r="AV13" s="1592"/>
      <c r="AW13" s="1597" t="s">
        <v>256</v>
      </c>
      <c r="AX13" s="1597" t="s">
        <v>257</v>
      </c>
      <c r="AY13" s="1597" t="s">
        <v>258</v>
      </c>
      <c r="AZ13" s="1597" t="s">
        <v>259</v>
      </c>
      <c r="BA13" s="1586" t="s">
        <v>260</v>
      </c>
      <c r="BB13" s="1586" t="s">
        <v>257</v>
      </c>
      <c r="BC13" s="1586" t="s">
        <v>261</v>
      </c>
      <c r="BD13" s="1586" t="s">
        <v>262</v>
      </c>
      <c r="BE13" s="1580" t="s">
        <v>260</v>
      </c>
      <c r="BF13" s="1580" t="s">
        <v>257</v>
      </c>
      <c r="BG13" s="1580" t="s">
        <v>261</v>
      </c>
      <c r="BH13" s="1580" t="s">
        <v>262</v>
      </c>
    </row>
    <row r="14" spans="2:61" ht="21.75" customHeight="1">
      <c r="B14" s="1476"/>
      <c r="C14" s="1476"/>
      <c r="D14" s="1302"/>
      <c r="E14" s="1476"/>
      <c r="F14" s="1302"/>
      <c r="G14" s="1476"/>
      <c r="H14" s="1476"/>
      <c r="I14" s="1476"/>
      <c r="J14" s="1476"/>
      <c r="K14" s="1476"/>
      <c r="L14" s="1476"/>
      <c r="M14" s="1476"/>
      <c r="N14" s="1476"/>
      <c r="O14" s="1476"/>
      <c r="P14" s="1641" t="s">
        <v>5</v>
      </c>
      <c r="Q14" s="1641"/>
      <c r="R14" s="1641" t="s">
        <v>6</v>
      </c>
      <c r="S14" s="1641"/>
      <c r="T14" s="1641" t="s">
        <v>7</v>
      </c>
      <c r="U14" s="1641"/>
      <c r="V14" s="1528" t="s">
        <v>8</v>
      </c>
      <c r="W14" s="1528"/>
      <c r="X14" s="1641" t="s">
        <v>27</v>
      </c>
      <c r="Y14" s="1641"/>
      <c r="Z14" s="1641" t="s">
        <v>9</v>
      </c>
      <c r="AA14" s="1641"/>
      <c r="AB14" s="1641" t="s">
        <v>10</v>
      </c>
      <c r="AC14" s="1641"/>
      <c r="AD14" s="1528" t="s">
        <v>8</v>
      </c>
      <c r="AE14" s="1528"/>
      <c r="AF14" s="1641" t="s">
        <v>11</v>
      </c>
      <c r="AG14" s="1641"/>
      <c r="AH14" s="1641" t="s">
        <v>12</v>
      </c>
      <c r="AI14" s="1641"/>
      <c r="AJ14" s="1641" t="s">
        <v>13</v>
      </c>
      <c r="AK14" s="1641"/>
      <c r="AL14" s="1528" t="s">
        <v>8</v>
      </c>
      <c r="AM14" s="1528"/>
      <c r="AN14" s="1641" t="s">
        <v>14</v>
      </c>
      <c r="AO14" s="1641"/>
      <c r="AP14" s="1641" t="s">
        <v>15</v>
      </c>
      <c r="AQ14" s="1641"/>
      <c r="AR14" s="1641" t="s">
        <v>16</v>
      </c>
      <c r="AS14" s="1641"/>
      <c r="AT14" s="1528" t="s">
        <v>8</v>
      </c>
      <c r="AU14" s="1528"/>
      <c r="AV14" s="1592"/>
      <c r="AW14" s="1598"/>
      <c r="AX14" s="1598"/>
      <c r="AY14" s="1598"/>
      <c r="AZ14" s="1598"/>
      <c r="BA14" s="1587"/>
      <c r="BB14" s="1587"/>
      <c r="BC14" s="1587"/>
      <c r="BD14" s="1587"/>
      <c r="BE14" s="1581"/>
      <c r="BF14" s="1581"/>
      <c r="BG14" s="1581"/>
      <c r="BH14" s="1581"/>
    </row>
    <row r="15" spans="2:61" ht="21.75" customHeight="1">
      <c r="B15" s="1476"/>
      <c r="C15" s="1476"/>
      <c r="D15" s="1302"/>
      <c r="E15" s="1476"/>
      <c r="F15" s="1302"/>
      <c r="G15" s="1476"/>
      <c r="H15" s="1476"/>
      <c r="I15" s="1476"/>
      <c r="J15" s="1476"/>
      <c r="K15" s="1476"/>
      <c r="L15" s="1476"/>
      <c r="M15" s="1476"/>
      <c r="N15" s="1476"/>
      <c r="O15" s="1476"/>
      <c r="P15" s="233" t="s">
        <v>17</v>
      </c>
      <c r="Q15" s="234" t="s">
        <v>18</v>
      </c>
      <c r="R15" s="233" t="s">
        <v>17</v>
      </c>
      <c r="S15" s="234" t="s">
        <v>18</v>
      </c>
      <c r="T15" s="233" t="s">
        <v>17</v>
      </c>
      <c r="U15" s="234" t="s">
        <v>18</v>
      </c>
      <c r="V15" s="75" t="s">
        <v>17</v>
      </c>
      <c r="W15" s="76" t="s">
        <v>18</v>
      </c>
      <c r="X15" s="233" t="s">
        <v>17</v>
      </c>
      <c r="Y15" s="234" t="s">
        <v>18</v>
      </c>
      <c r="Z15" s="233" t="s">
        <v>17</v>
      </c>
      <c r="AA15" s="234" t="s">
        <v>18</v>
      </c>
      <c r="AB15" s="233" t="s">
        <v>17</v>
      </c>
      <c r="AC15" s="234" t="s">
        <v>18</v>
      </c>
      <c r="AD15" s="75" t="s">
        <v>17</v>
      </c>
      <c r="AE15" s="76" t="s">
        <v>18</v>
      </c>
      <c r="AF15" s="233" t="s">
        <v>17</v>
      </c>
      <c r="AG15" s="234" t="s">
        <v>18</v>
      </c>
      <c r="AH15" s="233" t="s">
        <v>17</v>
      </c>
      <c r="AI15" s="234" t="s">
        <v>18</v>
      </c>
      <c r="AJ15" s="233" t="s">
        <v>17</v>
      </c>
      <c r="AK15" s="234" t="s">
        <v>18</v>
      </c>
      <c r="AL15" s="75" t="s">
        <v>17</v>
      </c>
      <c r="AM15" s="76" t="s">
        <v>18</v>
      </c>
      <c r="AN15" s="233" t="s">
        <v>17</v>
      </c>
      <c r="AO15" s="234" t="s">
        <v>18</v>
      </c>
      <c r="AP15" s="233" t="s">
        <v>17</v>
      </c>
      <c r="AQ15" s="234" t="s">
        <v>18</v>
      </c>
      <c r="AR15" s="233" t="s">
        <v>17</v>
      </c>
      <c r="AS15" s="234" t="s">
        <v>18</v>
      </c>
      <c r="AT15" s="75" t="s">
        <v>17</v>
      </c>
      <c r="AU15" s="76" t="s">
        <v>18</v>
      </c>
      <c r="AV15" s="1592"/>
      <c r="AW15" s="1599"/>
      <c r="AX15" s="1599"/>
      <c r="AY15" s="1599"/>
      <c r="AZ15" s="1599"/>
      <c r="BA15" s="1588"/>
      <c r="BB15" s="1588"/>
      <c r="BC15" s="1588"/>
      <c r="BD15" s="1588"/>
      <c r="BE15" s="1582"/>
      <c r="BF15" s="1582"/>
      <c r="BG15" s="1582"/>
      <c r="BH15" s="1582"/>
    </row>
    <row r="16" spans="2:61" ht="186" customHeight="1">
      <c r="B16" s="1616" t="str">
        <f>+'01-FR-03 POA INSTITUCIONAL'!B33</f>
        <v>2. Realizar acciones de prevención y control a la Función Pública, en el marco del cumplimiento del Plan de Desarrollo, con énfasis en los Derechos e intereses colectivos.</v>
      </c>
      <c r="C16" s="1616" t="str">
        <f>+'01-FR-03 POA INSTITUCIONAL'!C33</f>
        <v>2.1. Realizar 22 acciones de prevención y control a la función pública en medio ambiente, agua, protección y bienestar animal y desarrollo urbano.</v>
      </c>
      <c r="D16" s="31" t="str">
        <f>+'01-FR-03 POA INSTITUCIONAL'!D33</f>
        <v>2.1.1 Realizar 16 informes en los cuales se evalúen las políticas ambientales, el manejo de recursos hídricos, protección y bienestar animal y desarrollo urbano en el Distrito Capital.</v>
      </c>
      <c r="E16" s="52">
        <f>+'01-FR-03 POA INSTITUCIONAL'!E33</f>
        <v>0.72727272727272696</v>
      </c>
      <c r="F16" s="172">
        <f>+'01-FR-03 POA INSTITUCIONAL'!F33</f>
        <v>16</v>
      </c>
      <c r="G16" s="172">
        <f>+'01-FR-03 POA INSTITUCIONAL'!L33</f>
        <v>7</v>
      </c>
      <c r="H16" s="140" t="str">
        <f>+'01-FR-03 POA INSTITUCIONAL'!G33</f>
        <v>S.I.</v>
      </c>
      <c r="I16" s="140" t="str">
        <f>+'01-FR-03 POA INSTITUCIONAL'!H33</f>
        <v>Informes realizados en temas específicos.</v>
      </c>
      <c r="J16" s="140" t="s">
        <v>666</v>
      </c>
      <c r="K16" s="443" t="s">
        <v>263</v>
      </c>
      <c r="L16" s="217" t="s">
        <v>1128</v>
      </c>
      <c r="M16" s="216" t="s">
        <v>264</v>
      </c>
      <c r="N16" s="216" t="s">
        <v>265</v>
      </c>
      <c r="O16" s="253" t="str">
        <f>+'01-FR-03 POA INSTITUCIONAL'!J33</f>
        <v xml:space="preserve">Personería Delegada para la Coordinación de Prevención y Control a la Función Pública y sus Personerías Delegadas.
Personería Delegada para la Coordinación de Gestión de las Personerías Locales y sus Personerías Locales. </v>
      </c>
      <c r="P16" s="1006">
        <v>0</v>
      </c>
      <c r="Q16" s="1006">
        <v>0</v>
      </c>
      <c r="R16" s="1006">
        <v>0</v>
      </c>
      <c r="S16" s="1006">
        <v>0</v>
      </c>
      <c r="T16" s="1006">
        <v>0</v>
      </c>
      <c r="U16" s="1007">
        <v>0</v>
      </c>
      <c r="V16" s="41">
        <f>P16+R16+T16</f>
        <v>0</v>
      </c>
      <c r="W16" s="41">
        <f>Q16+S16+U16</f>
        <v>0</v>
      </c>
      <c r="X16" s="1006">
        <v>0</v>
      </c>
      <c r="Y16" s="1006"/>
      <c r="Z16" s="1006">
        <v>1</v>
      </c>
      <c r="AA16" s="1006"/>
      <c r="AB16" s="1006">
        <v>1</v>
      </c>
      <c r="AC16" s="1006"/>
      <c r="AD16" s="41">
        <f>X16+Z16+AB16</f>
        <v>2</v>
      </c>
      <c r="AE16" s="41">
        <f>Y16+AA16+AC16</f>
        <v>0</v>
      </c>
      <c r="AF16" s="1006">
        <v>1</v>
      </c>
      <c r="AG16" s="1006"/>
      <c r="AH16" s="1006">
        <v>1</v>
      </c>
      <c r="AI16" s="1006"/>
      <c r="AJ16" s="1007">
        <v>1</v>
      </c>
      <c r="AK16" s="1007"/>
      <c r="AL16" s="41">
        <f>AF16+AH16+AJ16</f>
        <v>3</v>
      </c>
      <c r="AM16" s="41">
        <f>AG16+AI16+AK16</f>
        <v>0</v>
      </c>
      <c r="AN16" s="1006">
        <v>1</v>
      </c>
      <c r="AO16" s="1006"/>
      <c r="AP16" s="1006">
        <v>1</v>
      </c>
      <c r="AQ16" s="1006"/>
      <c r="AR16" s="1006">
        <v>0</v>
      </c>
      <c r="AS16" s="1006"/>
      <c r="AT16" s="41">
        <f>AN16+AP16+AR16</f>
        <v>2</v>
      </c>
      <c r="AU16" s="41">
        <f>AO16+AQ16+AS16</f>
        <v>0</v>
      </c>
      <c r="AV16" s="25">
        <f>V16+AD16+AL16+AT16</f>
        <v>7</v>
      </c>
      <c r="AW16" s="81">
        <f>+W16</f>
        <v>0</v>
      </c>
      <c r="AX16" s="1053">
        <f>+W16+AE16</f>
        <v>0</v>
      </c>
      <c r="AY16" s="1053">
        <f>+W16+AE16+AM16</f>
        <v>0</v>
      </c>
      <c r="AZ16" s="1053">
        <f>+W16+AE16+AM16+AU16</f>
        <v>0</v>
      </c>
      <c r="BA16" s="42">
        <f>IF(AND(AW16&gt;0,$AV16&gt;0),AW16/$AV16,0)</f>
        <v>0</v>
      </c>
      <c r="BB16" s="42">
        <f t="shared" ref="BB16:BD22" si="0">IF(AND(AX16&gt;0,$AV16&gt;0),AX16/$AV16,0)</f>
        <v>0</v>
      </c>
      <c r="BC16" s="42">
        <f t="shared" si="0"/>
        <v>0</v>
      </c>
      <c r="BD16" s="42">
        <f t="shared" si="0"/>
        <v>0</v>
      </c>
      <c r="BE16" s="308">
        <f>(IF(AND(AW16&gt;0,$F16&gt;0),AW16/$F16,0))</f>
        <v>0</v>
      </c>
      <c r="BF16" s="1055">
        <f t="shared" ref="BF16:BH16" si="1">(IF(AND(AX16&gt;0,$F16&gt;0),AX16/$F16,0))</f>
        <v>0</v>
      </c>
      <c r="BG16" s="1055">
        <f t="shared" si="1"/>
        <v>0</v>
      </c>
      <c r="BH16" s="1055">
        <f t="shared" si="1"/>
        <v>0</v>
      </c>
      <c r="BI16" s="254"/>
    </row>
    <row r="17" spans="2:61" ht="135" customHeight="1">
      <c r="B17" s="1617"/>
      <c r="C17" s="1643"/>
      <c r="D17" s="31" t="str">
        <f>+'01-FR-03 POA INSTITUCIONAL'!D34</f>
        <v>2.1.2 Realizar 6 informes de seguimiento a los resultados de las acciones de prevención y control a la función pública en los cuales se evaluaron las políticas ambientales, el manejo de recursos hídricos, protección y bienestar animal y desarrollo urbano, en el Distrito Capital</v>
      </c>
      <c r="E17" s="52">
        <f>+'01-FR-03 POA INSTITUCIONAL'!E34</f>
        <v>0.27272727272727298</v>
      </c>
      <c r="F17" s="172">
        <f>+'01-FR-03 POA INSTITUCIONAL'!F34</f>
        <v>6</v>
      </c>
      <c r="G17" s="172">
        <f>+'01-FR-03 POA INSTITUCIONAL'!L34</f>
        <v>1</v>
      </c>
      <c r="H17" s="140" t="str">
        <f>+'01-FR-03 POA INSTITUCIONAL'!G34</f>
        <v>S.I.</v>
      </c>
      <c r="I17" s="140" t="str">
        <f>+'01-FR-03 POA INSTITUCIONAL'!H34</f>
        <v>Informes de seguimientos realizados en temas específicos.</v>
      </c>
      <c r="J17" s="140" t="s">
        <v>667</v>
      </c>
      <c r="K17" s="443" t="s">
        <v>266</v>
      </c>
      <c r="L17" s="217" t="s">
        <v>274</v>
      </c>
      <c r="M17" s="216" t="s">
        <v>264</v>
      </c>
      <c r="N17" s="216" t="s">
        <v>265</v>
      </c>
      <c r="O17" s="253" t="str">
        <f>+'01-FR-03 POA INSTITUCIONAL'!J34</f>
        <v xml:space="preserve">Personería Delegada para la Coordinación de Prevención y Control a la Función Pública y sus Personerías Delegadas.
Personería Delegada para la Coordinación de Gestión de las Personerías Locales y sus Personerías Locales. </v>
      </c>
      <c r="P17" s="1006">
        <v>0</v>
      </c>
      <c r="Q17" s="1006">
        <v>0</v>
      </c>
      <c r="R17" s="1006">
        <v>0</v>
      </c>
      <c r="S17" s="1006">
        <v>0</v>
      </c>
      <c r="T17" s="1006">
        <v>0</v>
      </c>
      <c r="U17" s="1007">
        <v>0</v>
      </c>
      <c r="V17" s="41">
        <f t="shared" ref="V17:W22" si="2">P17+R17+T17</f>
        <v>0</v>
      </c>
      <c r="W17" s="41">
        <f t="shared" si="2"/>
        <v>0</v>
      </c>
      <c r="X17" s="1006">
        <v>0</v>
      </c>
      <c r="Y17" s="1006"/>
      <c r="Z17" s="1006">
        <v>0</v>
      </c>
      <c r="AA17" s="1006"/>
      <c r="AB17" s="1006">
        <v>0</v>
      </c>
      <c r="AC17" s="1006"/>
      <c r="AD17" s="41">
        <f t="shared" ref="AD17:AE22" si="3">X17+Z17+AB17</f>
        <v>0</v>
      </c>
      <c r="AE17" s="41">
        <f t="shared" si="3"/>
        <v>0</v>
      </c>
      <c r="AF17" s="1006">
        <v>1</v>
      </c>
      <c r="AG17" s="1006"/>
      <c r="AH17" s="1006">
        <v>0</v>
      </c>
      <c r="AI17" s="1006"/>
      <c r="AJ17" s="1007">
        <v>0</v>
      </c>
      <c r="AK17" s="1007"/>
      <c r="AL17" s="41">
        <f t="shared" ref="AL17:AM22" si="4">AF17+AH17+AJ17</f>
        <v>1</v>
      </c>
      <c r="AM17" s="41">
        <f t="shared" si="4"/>
        <v>0</v>
      </c>
      <c r="AN17" s="1006">
        <v>0</v>
      </c>
      <c r="AO17" s="1006"/>
      <c r="AP17" s="1006">
        <v>0</v>
      </c>
      <c r="AQ17" s="1006"/>
      <c r="AR17" s="1006">
        <v>0</v>
      </c>
      <c r="AS17" s="1006"/>
      <c r="AT17" s="41">
        <f t="shared" ref="AT17:AU22" si="5">AN17+AP17+AR17</f>
        <v>0</v>
      </c>
      <c r="AU17" s="41">
        <f t="shared" si="5"/>
        <v>0</v>
      </c>
      <c r="AV17" s="25">
        <f t="shared" ref="AV17:AV22" si="6">V17+AD17+AL17+AT17</f>
        <v>1</v>
      </c>
      <c r="AW17" s="81">
        <f t="shared" ref="AW17:AW22" si="7">+W17</f>
        <v>0</v>
      </c>
      <c r="AX17" s="1053">
        <f t="shared" ref="AX17:AX22" si="8">+W17+AE17</f>
        <v>0</v>
      </c>
      <c r="AY17" s="1053">
        <f t="shared" ref="AY17:AY22" si="9">+W17+AE17+AM17</f>
        <v>0</v>
      </c>
      <c r="AZ17" s="1053">
        <f t="shared" ref="AZ17:AZ22" si="10">+W17+AE17+AM17+AU17</f>
        <v>0</v>
      </c>
      <c r="BA17" s="42">
        <f>IF(AND(AW17&gt;0,AV17&gt;0),AW17/AV17,0)</f>
        <v>0</v>
      </c>
      <c r="BB17" s="42">
        <f t="shared" si="0"/>
        <v>0</v>
      </c>
      <c r="BC17" s="42">
        <f t="shared" si="0"/>
        <v>0</v>
      </c>
      <c r="BD17" s="42">
        <f t="shared" si="0"/>
        <v>0</v>
      </c>
      <c r="BE17" s="308">
        <f t="shared" ref="BE17:BE19" si="11">(IF(AND(AW17&gt;0,$F17&gt;0),AW17/$F17,0))</f>
        <v>0</v>
      </c>
      <c r="BF17" s="1055">
        <f t="shared" ref="BF17:BF19" si="12">(IF(AND(AX17&gt;0,$F17&gt;0),AX17/$F17,0))</f>
        <v>0</v>
      </c>
      <c r="BG17" s="1055">
        <f t="shared" ref="BG17:BG19" si="13">(IF(AND(AY17&gt;0,$F17&gt;0),AY17/$F17,0))</f>
        <v>0</v>
      </c>
      <c r="BH17" s="1055">
        <f t="shared" ref="BH17:BH19" si="14">(IF(AND(AZ17&gt;0,$F17&gt;0),AZ17/$F17,0))</f>
        <v>0</v>
      </c>
      <c r="BI17" s="254"/>
    </row>
    <row r="18" spans="2:61" ht="126" customHeight="1">
      <c r="B18" s="1617"/>
      <c r="C18" s="1616" t="str">
        <f>+'01-FR-03 POA INSTITUCIONAL'!C35</f>
        <v>2.2. Fortalecer la moralidad publica realizando  952 acciones de prevención y control a la función pública.</v>
      </c>
      <c r="D18" s="31" t="str">
        <f>+'01-FR-03 POA INSTITUCIONAL'!D35</f>
        <v>2.2.1 Realizar 817 acciones de prevención y control a la función pública para fortalecer la moralidad pública.</v>
      </c>
      <c r="E18" s="52">
        <f>+'01-FR-03 POA INSTITUCIONAL'!E35</f>
        <v>0.92840909090909096</v>
      </c>
      <c r="F18" s="172">
        <f>+'01-FR-03 POA INSTITUCIONAL'!F35</f>
        <v>817</v>
      </c>
      <c r="G18" s="172">
        <f>+'01-FR-03 POA INSTITUCIONAL'!L35</f>
        <v>286</v>
      </c>
      <c r="H18" s="140" t="str">
        <f>+'01-FR-03 POA INSTITUCIONAL'!G35</f>
        <v>S.I.</v>
      </c>
      <c r="I18" s="140" t="str">
        <f>+'01-FR-03 POA INSTITUCIONAL'!H35</f>
        <v>Acciones de Prevención y Control a la Función Pública realizadas, con informe.</v>
      </c>
      <c r="J18" s="140" t="s">
        <v>668</v>
      </c>
      <c r="K18" s="443" t="s">
        <v>267</v>
      </c>
      <c r="L18" s="217" t="s">
        <v>1129</v>
      </c>
      <c r="M18" s="216" t="s">
        <v>264</v>
      </c>
      <c r="N18" s="216" t="s">
        <v>265</v>
      </c>
      <c r="O18" s="253" t="str">
        <f>+'01-FR-03 POA INSTITUCIONAL'!J35</f>
        <v xml:space="preserve">Personería Delegada para la Coordinación de Prevención y Control a la Función Pública y sus Personerías Delegadas.
Personería Delegada para la Coordinación de Gestión de las Personerías Locales y sus Personerías Locales. </v>
      </c>
      <c r="P18" s="1008">
        <v>0</v>
      </c>
      <c r="Q18" s="1008">
        <v>0</v>
      </c>
      <c r="R18" s="1008">
        <f>0+20</f>
        <v>20</v>
      </c>
      <c r="S18" s="1008">
        <v>0</v>
      </c>
      <c r="T18" s="1008">
        <f>1+20</f>
        <v>21</v>
      </c>
      <c r="U18" s="1008">
        <v>16</v>
      </c>
      <c r="V18" s="41">
        <f t="shared" si="2"/>
        <v>41</v>
      </c>
      <c r="W18" s="41">
        <f t="shared" si="2"/>
        <v>16</v>
      </c>
      <c r="X18" s="1008">
        <f>8+20</f>
        <v>28</v>
      </c>
      <c r="Y18" s="1008"/>
      <c r="Z18" s="1008">
        <f>12+20</f>
        <v>32</v>
      </c>
      <c r="AA18" s="1008"/>
      <c r="AB18" s="1008">
        <f>17+0</f>
        <v>17</v>
      </c>
      <c r="AC18" s="1008"/>
      <c r="AD18" s="41">
        <f t="shared" si="3"/>
        <v>77</v>
      </c>
      <c r="AE18" s="41">
        <f t="shared" si="3"/>
        <v>0</v>
      </c>
      <c r="AF18" s="1008">
        <f>18+20</f>
        <v>38</v>
      </c>
      <c r="AG18" s="1008"/>
      <c r="AH18" s="1008">
        <f>18+20</f>
        <v>38</v>
      </c>
      <c r="AI18" s="1008"/>
      <c r="AJ18" s="1008">
        <f>18+20</f>
        <v>38</v>
      </c>
      <c r="AK18" s="1008"/>
      <c r="AL18" s="41">
        <f t="shared" si="4"/>
        <v>114</v>
      </c>
      <c r="AM18" s="41">
        <f t="shared" si="4"/>
        <v>0</v>
      </c>
      <c r="AN18" s="1008">
        <f>18+20</f>
        <v>38</v>
      </c>
      <c r="AO18" s="1008"/>
      <c r="AP18" s="1008">
        <f>16+0</f>
        <v>16</v>
      </c>
      <c r="AQ18" s="1008"/>
      <c r="AR18" s="1008">
        <v>0</v>
      </c>
      <c r="AS18" s="1008"/>
      <c r="AT18" s="41">
        <f t="shared" si="5"/>
        <v>54</v>
      </c>
      <c r="AU18" s="41">
        <f t="shared" si="5"/>
        <v>0</v>
      </c>
      <c r="AV18" s="25">
        <f t="shared" si="6"/>
        <v>286</v>
      </c>
      <c r="AW18" s="81">
        <f t="shared" si="7"/>
        <v>16</v>
      </c>
      <c r="AX18" s="1053">
        <f t="shared" si="8"/>
        <v>16</v>
      </c>
      <c r="AY18" s="1053">
        <f t="shared" si="9"/>
        <v>16</v>
      </c>
      <c r="AZ18" s="1053">
        <f t="shared" si="10"/>
        <v>16</v>
      </c>
      <c r="BA18" s="319">
        <f t="shared" ref="BA18:BA22" si="15">IF(AND(AW18&gt;0,AV18&gt;0),AW18/AV18,0)</f>
        <v>5.5944055944055944E-2</v>
      </c>
      <c r="BB18" s="319">
        <f t="shared" si="0"/>
        <v>5.5944055944055944E-2</v>
      </c>
      <c r="BC18" s="319">
        <f t="shared" si="0"/>
        <v>5.5944055944055944E-2</v>
      </c>
      <c r="BD18" s="319">
        <f t="shared" si="0"/>
        <v>5.5944055944055944E-2</v>
      </c>
      <c r="BE18" s="308">
        <f t="shared" si="11"/>
        <v>1.9583843329253364E-2</v>
      </c>
      <c r="BF18" s="1055">
        <f t="shared" si="12"/>
        <v>1.9583843329253364E-2</v>
      </c>
      <c r="BG18" s="1055">
        <f t="shared" si="13"/>
        <v>1.9583843329253364E-2</v>
      </c>
      <c r="BH18" s="1055">
        <f t="shared" si="14"/>
        <v>1.9583843329253364E-2</v>
      </c>
      <c r="BI18" s="254"/>
    </row>
    <row r="19" spans="2:61" ht="105.6" customHeight="1">
      <c r="B19" s="1617"/>
      <c r="C19" s="1643"/>
      <c r="D19" s="31" t="str">
        <f>+'01-FR-03 POA INSTITUCIONAL'!D36</f>
        <v>2.2.2 Realizar 135 acciones de prevención y control a la función pública - seguimientos, para fortalecer la moralidad pública en el Distrito Capital.</v>
      </c>
      <c r="E19" s="52">
        <f>+'01-FR-03 POA INSTITUCIONAL'!E36</f>
        <v>0.15340909090909091</v>
      </c>
      <c r="F19" s="172">
        <f>+'01-FR-03 POA INSTITUCIONAL'!F36</f>
        <v>135</v>
      </c>
      <c r="G19" s="172">
        <f>+'01-FR-03 POA INSTITUCIONAL'!L36</f>
        <v>67</v>
      </c>
      <c r="H19" s="140" t="str">
        <f>+'01-FR-03 POA INSTITUCIONAL'!G36</f>
        <v>S.I.</v>
      </c>
      <c r="I19" s="140" t="str">
        <f>+'01-FR-03 POA INSTITUCIONAL'!H36</f>
        <v>Seguimientos realizados sobre acciones previas, con informe</v>
      </c>
      <c r="J19" s="140" t="s">
        <v>669</v>
      </c>
      <c r="K19" s="443" t="s">
        <v>268</v>
      </c>
      <c r="L19" s="217" t="s">
        <v>1130</v>
      </c>
      <c r="M19" s="216" t="s">
        <v>264</v>
      </c>
      <c r="N19" s="216" t="s">
        <v>265</v>
      </c>
      <c r="O19" s="253" t="str">
        <f>+'01-FR-03 POA INSTITUCIONAL'!J36</f>
        <v xml:space="preserve">Personería Delegada para la Coordinación de Prevención y Control a la Función Pública y sus Personerías Delegadas.
Personería Delegada para la Coordinación de Gestión de las Personerías Locales y sus Personerías Locales. </v>
      </c>
      <c r="P19" s="1008">
        <f>0+0</f>
        <v>0</v>
      </c>
      <c r="Q19" s="1008">
        <v>0</v>
      </c>
      <c r="R19" s="1008">
        <f>0+0</f>
        <v>0</v>
      </c>
      <c r="S19" s="1008">
        <v>0</v>
      </c>
      <c r="T19" s="1008">
        <f>1+0</f>
        <v>1</v>
      </c>
      <c r="U19" s="1008">
        <v>2</v>
      </c>
      <c r="V19" s="41">
        <f t="shared" si="2"/>
        <v>1</v>
      </c>
      <c r="W19" s="41">
        <f t="shared" si="2"/>
        <v>2</v>
      </c>
      <c r="X19" s="1008">
        <f>3+0</f>
        <v>3</v>
      </c>
      <c r="Y19" s="1008"/>
      <c r="Z19" s="1008">
        <f>9+0</f>
        <v>9</v>
      </c>
      <c r="AA19" s="1008"/>
      <c r="AB19" s="1008">
        <f>8+0</f>
        <v>8</v>
      </c>
      <c r="AC19" s="1008"/>
      <c r="AD19" s="41">
        <f t="shared" si="3"/>
        <v>20</v>
      </c>
      <c r="AE19" s="41">
        <f t="shared" si="3"/>
        <v>0</v>
      </c>
      <c r="AF19" s="1008">
        <f>4+20</f>
        <v>24</v>
      </c>
      <c r="AG19" s="1008"/>
      <c r="AH19" s="1008">
        <f>1+0</f>
        <v>1</v>
      </c>
      <c r="AI19" s="1008"/>
      <c r="AJ19" s="1008">
        <f>1+20</f>
        <v>21</v>
      </c>
      <c r="AK19" s="1008"/>
      <c r="AL19" s="41">
        <f t="shared" si="4"/>
        <v>46</v>
      </c>
      <c r="AM19" s="41">
        <f t="shared" si="4"/>
        <v>0</v>
      </c>
      <c r="AN19" s="1008">
        <f>0+0</f>
        <v>0</v>
      </c>
      <c r="AO19" s="1008"/>
      <c r="AP19" s="1008">
        <f>0+0</f>
        <v>0</v>
      </c>
      <c r="AQ19" s="1008"/>
      <c r="AR19" s="1008">
        <f>0+0</f>
        <v>0</v>
      </c>
      <c r="AS19" s="1008"/>
      <c r="AT19" s="41">
        <f t="shared" si="5"/>
        <v>0</v>
      </c>
      <c r="AU19" s="41">
        <f t="shared" si="5"/>
        <v>0</v>
      </c>
      <c r="AV19" s="25">
        <f t="shared" si="6"/>
        <v>67</v>
      </c>
      <c r="AW19" s="81">
        <f t="shared" si="7"/>
        <v>2</v>
      </c>
      <c r="AX19" s="1053">
        <f t="shared" si="8"/>
        <v>2</v>
      </c>
      <c r="AY19" s="1053">
        <f t="shared" si="9"/>
        <v>2</v>
      </c>
      <c r="AZ19" s="1053">
        <f t="shared" si="10"/>
        <v>2</v>
      </c>
      <c r="BA19" s="42">
        <f t="shared" si="15"/>
        <v>2.9850746268656716E-2</v>
      </c>
      <c r="BB19" s="42">
        <f t="shared" si="0"/>
        <v>2.9850746268656716E-2</v>
      </c>
      <c r="BC19" s="42">
        <f t="shared" si="0"/>
        <v>2.9850746268656716E-2</v>
      </c>
      <c r="BD19" s="42">
        <f t="shared" si="0"/>
        <v>2.9850746268656716E-2</v>
      </c>
      <c r="BE19" s="308">
        <f t="shared" si="11"/>
        <v>1.4814814814814815E-2</v>
      </c>
      <c r="BF19" s="1055">
        <f t="shared" si="12"/>
        <v>1.4814814814814815E-2</v>
      </c>
      <c r="BG19" s="1055">
        <f t="shared" si="13"/>
        <v>1.4814814814814815E-2</v>
      </c>
      <c r="BH19" s="1055">
        <f t="shared" si="14"/>
        <v>1.4814814814814815E-2</v>
      </c>
      <c r="BI19" s="254"/>
    </row>
    <row r="20" spans="2:61" ht="322.5" customHeight="1">
      <c r="B20" s="1617"/>
      <c r="C20" s="1616" t="str">
        <f>+'01-FR-03 POA INSTITUCIONAL'!C37</f>
        <v>2.3. Fortalecer 320 espacios de participación ciudadana en la Personería de Bogotá</v>
      </c>
      <c r="D20" s="31" t="str">
        <f>+'01-FR-03 POA INSTITUCIONAL'!D37</f>
        <v>2.3.1 Realizar 60 audiencias públicas y/o mesas de trabajo, las cuales permitan la participación ciudadana, con énfasis en los Derechos e intereses colectivos.</v>
      </c>
      <c r="E20" s="52">
        <f>+'01-FR-03 POA INSTITUCIONAL'!E37</f>
        <v>0.20338983050847459</v>
      </c>
      <c r="F20" s="172">
        <f>+'01-FR-03 POA INSTITUCIONAL'!F37</f>
        <v>60</v>
      </c>
      <c r="G20" s="172">
        <f>+'01-FR-03 POA INSTITUCIONAL'!L37</f>
        <v>21</v>
      </c>
      <c r="H20" s="140">
        <f>+'01-FR-03 POA INSTITUCIONAL'!G37</f>
        <v>75</v>
      </c>
      <c r="I20" s="140" t="str">
        <f>+'01-FR-03 POA INSTITUCIONAL'!H37</f>
        <v>Audiencias públicas y/o mesas de trabajo realizadas.</v>
      </c>
      <c r="J20" s="140" t="s">
        <v>269</v>
      </c>
      <c r="K20" s="443" t="s">
        <v>270</v>
      </c>
      <c r="L20" s="217" t="s">
        <v>1131</v>
      </c>
      <c r="M20" s="216" t="s">
        <v>264</v>
      </c>
      <c r="N20" s="216" t="s">
        <v>265</v>
      </c>
      <c r="O20" s="253" t="str">
        <f>+'01-FR-03 POA INSTITUCIONAL'!J37</f>
        <v>Personería Delegada para la Coordinación de Prevención y Control a la Función Pública y sus Personerías Delegadas.</v>
      </c>
      <c r="P20" s="1006">
        <v>0</v>
      </c>
      <c r="Q20" s="1006">
        <v>0</v>
      </c>
      <c r="R20" s="1006">
        <v>0</v>
      </c>
      <c r="S20" s="1006">
        <v>0</v>
      </c>
      <c r="T20" s="1006">
        <v>2</v>
      </c>
      <c r="U20" s="1007">
        <v>0</v>
      </c>
      <c r="V20" s="41">
        <f t="shared" si="2"/>
        <v>2</v>
      </c>
      <c r="W20" s="41">
        <f t="shared" si="2"/>
        <v>0</v>
      </c>
      <c r="X20" s="1006">
        <v>2</v>
      </c>
      <c r="Y20" s="1006"/>
      <c r="Z20" s="1006">
        <v>2</v>
      </c>
      <c r="AA20" s="1006"/>
      <c r="AB20" s="1006">
        <v>2</v>
      </c>
      <c r="AC20" s="1006"/>
      <c r="AD20" s="41">
        <f t="shared" si="3"/>
        <v>6</v>
      </c>
      <c r="AE20" s="41">
        <f t="shared" si="3"/>
        <v>0</v>
      </c>
      <c r="AF20" s="1006">
        <v>2</v>
      </c>
      <c r="AG20" s="1006"/>
      <c r="AH20" s="1006">
        <v>2</v>
      </c>
      <c r="AI20" s="1006"/>
      <c r="AJ20" s="1007">
        <v>2</v>
      </c>
      <c r="AK20" s="1007"/>
      <c r="AL20" s="41">
        <f t="shared" si="4"/>
        <v>6</v>
      </c>
      <c r="AM20" s="41">
        <f t="shared" si="4"/>
        <v>0</v>
      </c>
      <c r="AN20" s="1006">
        <v>3</v>
      </c>
      <c r="AO20" s="1006"/>
      <c r="AP20" s="1006">
        <v>3</v>
      </c>
      <c r="AQ20" s="1006"/>
      <c r="AR20" s="1006">
        <v>1</v>
      </c>
      <c r="AS20" s="1006"/>
      <c r="AT20" s="41">
        <f t="shared" si="5"/>
        <v>7</v>
      </c>
      <c r="AU20" s="41">
        <f t="shared" si="5"/>
        <v>0</v>
      </c>
      <c r="AV20" s="25">
        <f t="shared" si="6"/>
        <v>21</v>
      </c>
      <c r="AW20" s="81">
        <f t="shared" si="7"/>
        <v>0</v>
      </c>
      <c r="AX20" s="1053">
        <f t="shared" si="8"/>
        <v>0</v>
      </c>
      <c r="AY20" s="1053">
        <f t="shared" si="9"/>
        <v>0</v>
      </c>
      <c r="AZ20" s="1053">
        <f t="shared" si="10"/>
        <v>0</v>
      </c>
      <c r="BA20" s="42">
        <f t="shared" si="15"/>
        <v>0</v>
      </c>
      <c r="BB20" s="42">
        <f t="shared" si="0"/>
        <v>0</v>
      </c>
      <c r="BC20" s="42">
        <f t="shared" si="0"/>
        <v>0</v>
      </c>
      <c r="BD20" s="42">
        <f t="shared" si="0"/>
        <v>0</v>
      </c>
      <c r="BE20" s="308">
        <f t="shared" ref="BE20:BE22" si="16">(IF(AND(AW20&gt;0,$F20&gt;0),AW20/$F20,0))</f>
        <v>0</v>
      </c>
      <c r="BF20" s="1055">
        <f t="shared" ref="BF20:BF22" si="17">(IF(AND(AX20&gt;0,$F20&gt;0),AX20/$F20,0))</f>
        <v>0</v>
      </c>
      <c r="BG20" s="1055">
        <f t="shared" ref="BG20:BG22" si="18">(IF(AND(AY20&gt;0,$F20&gt;0),AY20/$F20,0))</f>
        <v>0</v>
      </c>
      <c r="BH20" s="1055">
        <f t="shared" ref="BH20:BH22" si="19">(IF(AND(AZ20&gt;0,$F20&gt;0),AZ20/$F20,0))</f>
        <v>0</v>
      </c>
      <c r="BI20" s="254"/>
    </row>
    <row r="21" spans="2:61" ht="171" customHeight="1">
      <c r="B21" s="1617"/>
      <c r="C21" s="1617"/>
      <c r="D21" s="31" t="str">
        <f>+'01-FR-03 POA INSTITUCIONAL'!D38</f>
        <v>2.3.2 Realizar 160 acompañamientos a los ciudadanos que intervienen en los diferentes espacios de participación ciudadana.</v>
      </c>
      <c r="E21" s="52">
        <f>+'01-FR-03 POA INSTITUCIONAL'!E38</f>
        <v>0.5423728813559322</v>
      </c>
      <c r="F21" s="172">
        <f>+'01-FR-03 POA INSTITUCIONAL'!F38</f>
        <v>160</v>
      </c>
      <c r="G21" s="172">
        <f>+'01-FR-03 POA INSTITUCIONAL'!L38</f>
        <v>60</v>
      </c>
      <c r="H21" s="140" t="str">
        <f>+'01-FR-03 POA INSTITUCIONAL'!G38</f>
        <v>S.I.</v>
      </c>
      <c r="I21" s="140" t="str">
        <f>+'01-FR-03 POA INSTITUCIONAL'!H38</f>
        <v>Acompañamientos a los ciudadanos realizados.</v>
      </c>
      <c r="J21" s="140" t="s">
        <v>271</v>
      </c>
      <c r="K21" s="443" t="s">
        <v>272</v>
      </c>
      <c r="L21" s="217" t="s">
        <v>1132</v>
      </c>
      <c r="M21" s="216" t="s">
        <v>264</v>
      </c>
      <c r="N21" s="216" t="s">
        <v>265</v>
      </c>
      <c r="O21" s="253" t="str">
        <f>+'01-FR-03 POA INSTITUCIONAL'!J38</f>
        <v xml:space="preserve">Personería Delegada para la Coordinación de Gestión de las Personerías Locales y sus Personerías Locales. </v>
      </c>
      <c r="P21" s="1006">
        <v>0</v>
      </c>
      <c r="Q21" s="1006">
        <v>5</v>
      </c>
      <c r="R21" s="1006">
        <f>0+6</f>
        <v>6</v>
      </c>
      <c r="S21" s="1006">
        <v>3</v>
      </c>
      <c r="T21" s="1006">
        <f>0+6</f>
        <v>6</v>
      </c>
      <c r="U21" s="1007">
        <v>10</v>
      </c>
      <c r="V21" s="41">
        <f t="shared" si="2"/>
        <v>12</v>
      </c>
      <c r="W21" s="41">
        <f t="shared" si="2"/>
        <v>18</v>
      </c>
      <c r="X21" s="1006">
        <f>0+6</f>
        <v>6</v>
      </c>
      <c r="Y21" s="1006"/>
      <c r="Z21" s="1006">
        <f>0+6</f>
        <v>6</v>
      </c>
      <c r="AA21" s="1006"/>
      <c r="AB21" s="1006">
        <f>0+6</f>
        <v>6</v>
      </c>
      <c r="AC21" s="1006"/>
      <c r="AD21" s="41">
        <f t="shared" si="3"/>
        <v>18</v>
      </c>
      <c r="AE21" s="41">
        <f t="shared" si="3"/>
        <v>0</v>
      </c>
      <c r="AF21" s="1006">
        <f>0+6</f>
        <v>6</v>
      </c>
      <c r="AG21" s="1006"/>
      <c r="AH21" s="1006">
        <f>0+6</f>
        <v>6</v>
      </c>
      <c r="AI21" s="1006"/>
      <c r="AJ21" s="1006">
        <f>0+6</f>
        <v>6</v>
      </c>
      <c r="AK21" s="1007"/>
      <c r="AL21" s="41">
        <f t="shared" si="4"/>
        <v>18</v>
      </c>
      <c r="AM21" s="41">
        <f t="shared" si="4"/>
        <v>0</v>
      </c>
      <c r="AN21" s="1006">
        <f>0+6</f>
        <v>6</v>
      </c>
      <c r="AO21" s="1006"/>
      <c r="AP21" s="1006">
        <f>0+6</f>
        <v>6</v>
      </c>
      <c r="AQ21" s="1006"/>
      <c r="AR21" s="1006">
        <v>0</v>
      </c>
      <c r="AS21" s="1006"/>
      <c r="AT21" s="41">
        <f t="shared" si="5"/>
        <v>12</v>
      </c>
      <c r="AU21" s="41">
        <f t="shared" si="5"/>
        <v>0</v>
      </c>
      <c r="AV21" s="25">
        <f t="shared" si="6"/>
        <v>60</v>
      </c>
      <c r="AW21" s="81">
        <f t="shared" si="7"/>
        <v>18</v>
      </c>
      <c r="AX21" s="1053">
        <f t="shared" si="8"/>
        <v>18</v>
      </c>
      <c r="AY21" s="1053">
        <f t="shared" si="9"/>
        <v>18</v>
      </c>
      <c r="AZ21" s="1053">
        <f t="shared" si="10"/>
        <v>18</v>
      </c>
      <c r="BA21" s="42">
        <f t="shared" si="15"/>
        <v>0.3</v>
      </c>
      <c r="BB21" s="42">
        <f t="shared" si="0"/>
        <v>0.3</v>
      </c>
      <c r="BC21" s="42">
        <f t="shared" si="0"/>
        <v>0.3</v>
      </c>
      <c r="BD21" s="42">
        <f t="shared" si="0"/>
        <v>0.3</v>
      </c>
      <c r="BE21" s="308">
        <f t="shared" si="16"/>
        <v>0.1125</v>
      </c>
      <c r="BF21" s="1055">
        <f t="shared" si="17"/>
        <v>0.1125</v>
      </c>
      <c r="BG21" s="1055">
        <f t="shared" si="18"/>
        <v>0.1125</v>
      </c>
      <c r="BH21" s="1055">
        <f t="shared" si="19"/>
        <v>0.1125</v>
      </c>
      <c r="BI21" s="254"/>
    </row>
    <row r="22" spans="2:61" ht="177" customHeight="1">
      <c r="B22" s="1643"/>
      <c r="C22" s="1643"/>
      <c r="D22" s="31" t="str">
        <f>+'01-FR-03 POA INSTITUCIONAL'!D39</f>
        <v>2.3.3 Realizar 100 espacios de diálogo con las personas para retroalimentar las actividades de participación ciudadana</v>
      </c>
      <c r="E22" s="52">
        <f>+'01-FR-03 POA INSTITUCIONAL'!E39</f>
        <v>0.33898305084745761</v>
      </c>
      <c r="F22" s="172">
        <f>+'01-FR-03 POA INSTITUCIONAL'!F39</f>
        <v>100</v>
      </c>
      <c r="G22" s="172">
        <f>+'01-FR-03 POA INSTITUCIONAL'!L39</f>
        <v>30</v>
      </c>
      <c r="H22" s="140" t="str">
        <f>+'01-FR-03 POA INSTITUCIONAL'!G39</f>
        <v>S.I.</v>
      </c>
      <c r="I22" s="140" t="str">
        <f>+'01-FR-03 POA INSTITUCIONAL'!H39</f>
        <v>Espacios de dialogo realizados.</v>
      </c>
      <c r="J22" s="140" t="s">
        <v>670</v>
      </c>
      <c r="K22" s="443" t="s">
        <v>273</v>
      </c>
      <c r="L22" s="217" t="s">
        <v>1133</v>
      </c>
      <c r="M22" s="216" t="s">
        <v>264</v>
      </c>
      <c r="N22" s="216" t="s">
        <v>265</v>
      </c>
      <c r="O22" s="253" t="str">
        <f>+'01-FR-03 POA INSTITUCIONAL'!J39</f>
        <v>Personería Delegada para la Coordinación de Gestión de las Personerías Locales y sus Personerías Locales. 
Personería Delegada para la Coordinación de Prevención y Control a la Función Pública y sus Personerías Delegadas.</v>
      </c>
      <c r="P22" s="1006">
        <v>0</v>
      </c>
      <c r="Q22" s="1006">
        <v>0</v>
      </c>
      <c r="R22" s="1006">
        <v>3</v>
      </c>
      <c r="S22" s="1006">
        <v>2</v>
      </c>
      <c r="T22" s="1006">
        <v>3</v>
      </c>
      <c r="U22" s="1007">
        <v>11</v>
      </c>
      <c r="V22" s="41">
        <f t="shared" si="2"/>
        <v>6</v>
      </c>
      <c r="W22" s="41">
        <f t="shared" si="2"/>
        <v>13</v>
      </c>
      <c r="X22" s="1006">
        <v>3</v>
      </c>
      <c r="Y22" s="1006"/>
      <c r="Z22" s="1006">
        <v>3</v>
      </c>
      <c r="AA22" s="1006"/>
      <c r="AB22" s="1006">
        <v>3</v>
      </c>
      <c r="AC22" s="1006"/>
      <c r="AD22" s="41">
        <f t="shared" si="3"/>
        <v>9</v>
      </c>
      <c r="AE22" s="41">
        <f t="shared" si="3"/>
        <v>0</v>
      </c>
      <c r="AF22" s="1006">
        <v>3</v>
      </c>
      <c r="AG22" s="1006"/>
      <c r="AH22" s="1006">
        <v>3</v>
      </c>
      <c r="AI22" s="1006"/>
      <c r="AJ22" s="1007">
        <v>3</v>
      </c>
      <c r="AK22" s="1007"/>
      <c r="AL22" s="41">
        <f t="shared" si="4"/>
        <v>9</v>
      </c>
      <c r="AM22" s="41">
        <f t="shared" si="4"/>
        <v>0</v>
      </c>
      <c r="AN22" s="1006">
        <v>3</v>
      </c>
      <c r="AO22" s="1006"/>
      <c r="AP22" s="1006">
        <v>3</v>
      </c>
      <c r="AQ22" s="1006"/>
      <c r="AR22" s="1006">
        <v>0</v>
      </c>
      <c r="AS22" s="1006"/>
      <c r="AT22" s="41">
        <f t="shared" si="5"/>
        <v>6</v>
      </c>
      <c r="AU22" s="41">
        <f t="shared" si="5"/>
        <v>0</v>
      </c>
      <c r="AV22" s="25">
        <f t="shared" si="6"/>
        <v>30</v>
      </c>
      <c r="AW22" s="81">
        <f t="shared" si="7"/>
        <v>13</v>
      </c>
      <c r="AX22" s="1053">
        <f t="shared" si="8"/>
        <v>13</v>
      </c>
      <c r="AY22" s="1053">
        <f t="shared" si="9"/>
        <v>13</v>
      </c>
      <c r="AZ22" s="1053">
        <f t="shared" si="10"/>
        <v>13</v>
      </c>
      <c r="BA22" s="42">
        <f t="shared" si="15"/>
        <v>0.43333333333333335</v>
      </c>
      <c r="BB22" s="42">
        <f t="shared" si="0"/>
        <v>0.43333333333333335</v>
      </c>
      <c r="BC22" s="42">
        <f t="shared" si="0"/>
        <v>0.43333333333333335</v>
      </c>
      <c r="BD22" s="42">
        <f t="shared" si="0"/>
        <v>0.43333333333333335</v>
      </c>
      <c r="BE22" s="308">
        <f t="shared" si="16"/>
        <v>0.13</v>
      </c>
      <c r="BF22" s="1055">
        <f t="shared" si="17"/>
        <v>0.13</v>
      </c>
      <c r="BG22" s="1055">
        <f t="shared" si="18"/>
        <v>0.13</v>
      </c>
      <c r="BH22" s="1055">
        <f t="shared" si="19"/>
        <v>0.13</v>
      </c>
      <c r="BI22" s="254"/>
    </row>
    <row r="23" spans="2:61" ht="22.8">
      <c r="B23" s="1560"/>
      <c r="C23" s="1561"/>
      <c r="D23" s="1561"/>
      <c r="E23" s="1561"/>
      <c r="F23" s="1561"/>
      <c r="G23" s="1561"/>
      <c r="H23" s="1561"/>
      <c r="I23" s="1561"/>
      <c r="J23" s="1561"/>
      <c r="K23" s="1561"/>
      <c r="L23" s="1561"/>
      <c r="M23" s="1561"/>
      <c r="N23" s="1561"/>
      <c r="O23" s="1561"/>
      <c r="P23" s="1561"/>
      <c r="Q23" s="1561"/>
      <c r="R23" s="1561"/>
      <c r="S23" s="1561"/>
      <c r="T23" s="1561"/>
      <c r="U23" s="1561"/>
      <c r="V23" s="1561"/>
      <c r="W23" s="1561"/>
      <c r="X23" s="1561"/>
      <c r="Y23" s="1561"/>
      <c r="Z23" s="1561"/>
      <c r="AA23" s="1561"/>
      <c r="AB23" s="1561"/>
      <c r="AC23" s="1561"/>
      <c r="AD23" s="1561"/>
      <c r="AE23" s="1561"/>
      <c r="AF23" s="1561"/>
      <c r="AG23" s="1561"/>
      <c r="AH23" s="1561"/>
      <c r="AI23" s="1561"/>
      <c r="AJ23" s="1561"/>
      <c r="AK23" s="1561"/>
      <c r="AL23" s="1561"/>
      <c r="AM23" s="1561"/>
      <c r="AN23" s="1561"/>
      <c r="AO23" s="1561"/>
      <c r="AP23" s="1561"/>
      <c r="AQ23" s="1561"/>
      <c r="AR23" s="1561"/>
      <c r="AS23" s="1561"/>
      <c r="AT23" s="1561"/>
      <c r="AU23" s="1561"/>
      <c r="AV23" s="1561"/>
      <c r="AW23" s="1644"/>
      <c r="AX23" s="1614" t="s">
        <v>19</v>
      </c>
      <c r="AY23" s="1642"/>
      <c r="AZ23" s="1642"/>
      <c r="BA23" s="70">
        <f t="shared" ref="BA23:BD23" si="20">AVERAGE(BA16:BA22)</f>
        <v>0.11701830507800658</v>
      </c>
      <c r="BB23" s="70">
        <f t="shared" si="20"/>
        <v>0.11701830507800658</v>
      </c>
      <c r="BC23" s="70">
        <f t="shared" si="20"/>
        <v>0.11701830507800658</v>
      </c>
      <c r="BD23" s="70">
        <f t="shared" si="20"/>
        <v>0.11701830507800658</v>
      </c>
      <c r="BE23" s="1652"/>
      <c r="BF23" s="1653"/>
      <c r="BG23" s="1653"/>
      <c r="BH23" s="1654"/>
    </row>
    <row r="24" spans="2:61">
      <c r="B24" s="1553"/>
      <c r="C24" s="1553"/>
      <c r="D24" s="1553"/>
      <c r="E24" s="1553"/>
      <c r="F24" s="1553"/>
      <c r="G24" s="1553"/>
      <c r="H24" s="239"/>
      <c r="I24" s="240"/>
      <c r="J24" s="240"/>
      <c r="K24" s="240"/>
      <c r="L24" s="240"/>
      <c r="M24" s="240"/>
      <c r="N24" s="240"/>
      <c r="O24" s="240"/>
    </row>
    <row r="25" spans="2:61">
      <c r="B25" s="240"/>
      <c r="C25" s="240"/>
      <c r="D25" s="1624"/>
      <c r="E25" s="1624"/>
      <c r="F25" s="1624"/>
      <c r="G25" s="1624"/>
      <c r="H25" s="1624"/>
      <c r="I25" s="1624"/>
      <c r="J25" s="1624"/>
      <c r="K25" s="1624"/>
      <c r="L25" s="1624"/>
      <c r="M25" s="1624"/>
      <c r="N25" s="1624"/>
      <c r="O25" s="1624"/>
    </row>
    <row r="26" spans="2:61" ht="38.25" customHeight="1">
      <c r="B26" s="77" t="s">
        <v>26</v>
      </c>
      <c r="C26" s="241">
        <v>44224</v>
      </c>
      <c r="D26" s="242"/>
      <c r="E26" s="1625" t="s">
        <v>50</v>
      </c>
      <c r="F26" s="1701" t="s">
        <v>1127</v>
      </c>
      <c r="G26" s="1702"/>
      <c r="H26" s="1702"/>
      <c r="I26" s="1702"/>
      <c r="J26" s="1703"/>
      <c r="K26" s="243"/>
      <c r="L26" s="1633"/>
      <c r="M26" s="1633"/>
      <c r="N26" s="1633"/>
      <c r="O26" s="1634"/>
    </row>
    <row r="27" spans="2:61" ht="32.25" customHeight="1">
      <c r="B27" s="240"/>
      <c r="C27" s="240"/>
      <c r="D27" s="243"/>
      <c r="E27" s="1625"/>
      <c r="F27" s="1704"/>
      <c r="G27" s="1705"/>
      <c r="H27" s="1705"/>
      <c r="I27" s="1705"/>
      <c r="J27" s="1706"/>
      <c r="K27" s="240"/>
      <c r="L27" s="240"/>
      <c r="M27" s="240"/>
      <c r="N27" s="240"/>
      <c r="O27" s="240"/>
    </row>
    <row r="28" spans="2:61" ht="31.5" customHeight="1">
      <c r="B28" s="77" t="s">
        <v>49</v>
      </c>
      <c r="C28" s="80">
        <v>44581</v>
      </c>
      <c r="D28" s="240"/>
      <c r="E28" s="240"/>
      <c r="F28" s="240"/>
      <c r="K28" s="240"/>
      <c r="L28" s="240"/>
      <c r="M28" s="240"/>
      <c r="N28" s="240"/>
      <c r="O28" s="240"/>
    </row>
    <row r="29" spans="2:61">
      <c r="B29" s="240"/>
      <c r="C29" s="240"/>
      <c r="D29" s="240"/>
      <c r="E29" s="240"/>
      <c r="F29" s="240"/>
      <c r="K29" s="240"/>
      <c r="L29" s="240"/>
      <c r="M29" s="240"/>
      <c r="N29" s="240"/>
      <c r="O29" s="240"/>
    </row>
    <row r="30" spans="2:61" ht="15" customHeight="1">
      <c r="B30" s="606" t="s">
        <v>924</v>
      </c>
      <c r="C30" s="240"/>
      <c r="D30" s="240"/>
      <c r="E30" s="240"/>
      <c r="F30" s="240"/>
      <c r="G30" s="239"/>
      <c r="H30" s="239"/>
      <c r="I30" s="1632"/>
      <c r="J30" s="1632"/>
      <c r="K30" s="1632"/>
      <c r="L30" s="1632"/>
      <c r="M30" s="244"/>
      <c r="N30" s="244"/>
      <c r="O30" s="244"/>
    </row>
    <row r="31" spans="2:61" ht="15" customHeight="1">
      <c r="B31" s="240"/>
      <c r="C31" s="240"/>
      <c r="D31" s="240"/>
      <c r="E31" s="240"/>
      <c r="F31" s="240"/>
      <c r="G31" s="239"/>
      <c r="H31" s="239"/>
      <c r="I31" s="240"/>
      <c r="J31" s="240"/>
      <c r="K31" s="245"/>
      <c r="L31" s="240"/>
      <c r="M31" s="240"/>
      <c r="N31" s="240"/>
      <c r="O31" s="240"/>
    </row>
    <row r="32" spans="2:61" ht="15" customHeight="1">
      <c r="B32" s="240"/>
      <c r="C32" s="240"/>
      <c r="D32" s="240"/>
      <c r="E32" s="240"/>
      <c r="F32" s="240"/>
      <c r="G32" s="239"/>
      <c r="H32" s="239"/>
      <c r="I32" s="1632"/>
      <c r="J32" s="1632"/>
      <c r="K32" s="1632"/>
      <c r="L32" s="1632"/>
      <c r="M32" s="244"/>
      <c r="N32" s="244"/>
      <c r="O32" s="244"/>
    </row>
    <row r="33" spans="2:15" ht="15" customHeight="1">
      <c r="B33" s="240"/>
      <c r="C33" s="240"/>
      <c r="D33" s="240"/>
      <c r="E33" s="240"/>
      <c r="F33" s="240"/>
      <c r="G33" s="239"/>
      <c r="H33" s="239"/>
      <c r="I33" s="240"/>
      <c r="J33" s="240"/>
      <c r="K33" s="245"/>
      <c r="L33" s="240"/>
      <c r="M33" s="240"/>
      <c r="N33" s="240"/>
      <c r="O33" s="240"/>
    </row>
    <row r="34" spans="2:15" ht="15" customHeight="1">
      <c r="B34" s="240"/>
      <c r="C34" s="240"/>
      <c r="D34" s="240"/>
      <c r="E34" s="240"/>
      <c r="F34" s="240"/>
      <c r="G34" s="239"/>
      <c r="H34" s="239"/>
      <c r="I34" s="1632"/>
      <c r="J34" s="1632"/>
      <c r="K34" s="1632"/>
      <c r="L34" s="1632"/>
      <c r="M34" s="244"/>
      <c r="N34" s="244"/>
      <c r="O34" s="244"/>
    </row>
  </sheetData>
  <sheetProtection algorithmName="SHA-512" hashValue="cSRUz68WKBl3mUDDwsY86l7kJKz3Riv4aKkX8Y/C3LOYrptv+j6lrtAqYDxQeGt3Fm7IaiUrPoWTJf+jGW/t+g==" saltValue="Ap/uzhq8WUH8TzMIxm831g==" spinCount="100000" sheet="1" objects="1" scenarios="1"/>
  <mergeCells count="73">
    <mergeCell ref="B2:B6"/>
    <mergeCell ref="B12:B15"/>
    <mergeCell ref="C12:C15"/>
    <mergeCell ref="D12:D15"/>
    <mergeCell ref="E12:E15"/>
    <mergeCell ref="C10:D10"/>
    <mergeCell ref="C2:BF6"/>
    <mergeCell ref="P13:W13"/>
    <mergeCell ref="AV12:AV15"/>
    <mergeCell ref="AW12:AZ12"/>
    <mergeCell ref="BA12:BD12"/>
    <mergeCell ref="BD13:BD15"/>
    <mergeCell ref="BE13:BE15"/>
    <mergeCell ref="BE12:BH12"/>
    <mergeCell ref="BF13:BF15"/>
    <mergeCell ref="BG13:BG15"/>
    <mergeCell ref="BH13:BH15"/>
    <mergeCell ref="T14:U14"/>
    <mergeCell ref="AJ14:AK14"/>
    <mergeCell ref="AL14:AM14"/>
    <mergeCell ref="H12:H15"/>
    <mergeCell ref="I12:I15"/>
    <mergeCell ref="J12:J15"/>
    <mergeCell ref="K12:K15"/>
    <mergeCell ref="AN14:AO14"/>
    <mergeCell ref="AP14:AQ14"/>
    <mergeCell ref="AX13:AX15"/>
    <mergeCell ref="AY13:AY15"/>
    <mergeCell ref="AZ13:AZ15"/>
    <mergeCell ref="BA13:BA15"/>
    <mergeCell ref="BB13:BB15"/>
    <mergeCell ref="BG6:BH6"/>
    <mergeCell ref="AW7:BA7"/>
    <mergeCell ref="C8:D8"/>
    <mergeCell ref="C9:D9"/>
    <mergeCell ref="X13:AE13"/>
    <mergeCell ref="AF13:AM13"/>
    <mergeCell ref="AN13:AU13"/>
    <mergeCell ref="O12:O15"/>
    <mergeCell ref="P12:AU12"/>
    <mergeCell ref="AR14:AS14"/>
    <mergeCell ref="AT14:AU14"/>
    <mergeCell ref="AD14:AE14"/>
    <mergeCell ref="AF14:AG14"/>
    <mergeCell ref="AH14:AI14"/>
    <mergeCell ref="BC13:BC15"/>
    <mergeCell ref="AW13:AW15"/>
    <mergeCell ref="B16:B22"/>
    <mergeCell ref="C16:C17"/>
    <mergeCell ref="C18:C19"/>
    <mergeCell ref="C20:C22"/>
    <mergeCell ref="AB14:AC14"/>
    <mergeCell ref="P14:Q14"/>
    <mergeCell ref="R14:S14"/>
    <mergeCell ref="G12:G15"/>
    <mergeCell ref="N12:N15"/>
    <mergeCell ref="L12:L15"/>
    <mergeCell ref="M12:M15"/>
    <mergeCell ref="V14:W14"/>
    <mergeCell ref="X14:Y14"/>
    <mergeCell ref="Z14:AA14"/>
    <mergeCell ref="F12:F15"/>
    <mergeCell ref="BE23:BH23"/>
    <mergeCell ref="I30:L30"/>
    <mergeCell ref="I32:L32"/>
    <mergeCell ref="I34:L34"/>
    <mergeCell ref="B24:G24"/>
    <mergeCell ref="B23:AW23"/>
    <mergeCell ref="AX23:AZ23"/>
    <mergeCell ref="D25:O25"/>
    <mergeCell ref="E26:E27"/>
    <mergeCell ref="L26:O26"/>
    <mergeCell ref="F26:J27"/>
  </mergeCells>
  <conditionalFormatting sqref="BA16:BD22">
    <cfRule type="cellIs" dxfId="46" priority="2" operator="between">
      <formula>0.8</formula>
      <formula>1</formula>
    </cfRule>
    <cfRule type="cellIs" dxfId="45" priority="3" operator="between">
      <formula>0.61</formula>
      <formula>0.79</formula>
    </cfRule>
    <cfRule type="cellIs" dxfId="44" priority="4" operator="between">
      <formula>0</formula>
      <formula>0.6</formula>
    </cfRule>
  </conditionalFormatting>
  <conditionalFormatting sqref="BA16:BD23">
    <cfRule type="cellIs" dxfId="43" priority="1" operator="greaterThan">
      <formula>1</formula>
    </cfRule>
  </conditionalFormatting>
  <dataValidations disablePrompts="1" count="1">
    <dataValidation allowBlank="1" showInputMessage="1" showErrorMessage="1" prompt="Transcriba de manera exacta el objetivo definido en la caracterización del proceso." sqref="C9:D9" xr:uid="{DC493C6A-03C5-48B0-ABDB-724B180F8C55}"/>
  </dataValidations>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592BE-3D85-40F3-AEB5-6A39AA30ABCD}">
  <sheetPr>
    <tabColor rgb="FF66FF33"/>
  </sheetPr>
  <dimension ref="B1:BH35"/>
  <sheetViews>
    <sheetView showGridLines="0" zoomScale="55" zoomScaleNormal="55" workbookViewId="0">
      <selection activeCell="C10" sqref="C10:D10"/>
    </sheetView>
  </sheetViews>
  <sheetFormatPr baseColWidth="10" defaultColWidth="17.33203125" defaultRowHeight="15" customHeight="1"/>
  <cols>
    <col min="1" max="1" width="4.33203125" style="135" customWidth="1"/>
    <col min="2" max="2" width="50.44140625" style="133" customWidth="1"/>
    <col min="3" max="3" width="31.44140625" style="133" customWidth="1"/>
    <col min="4" max="4" width="49.6640625" style="133" customWidth="1"/>
    <col min="5" max="6" width="27.5546875" style="133" customWidth="1"/>
    <col min="7" max="8" width="29.33203125" style="134" customWidth="1"/>
    <col min="9" max="9" width="36.44140625" style="133" customWidth="1"/>
    <col min="10" max="10" width="31.88671875" style="133" customWidth="1"/>
    <col min="11" max="11" width="55.88671875" style="133" customWidth="1"/>
    <col min="12" max="12" width="48.44140625" style="133" customWidth="1"/>
    <col min="13" max="14" width="28.5546875" style="133" customWidth="1"/>
    <col min="15" max="15" width="50" style="133" customWidth="1"/>
    <col min="16" max="47" width="15.88671875" style="135" customWidth="1"/>
    <col min="48" max="48" width="24.5546875" style="135" customWidth="1"/>
    <col min="49" max="49" width="22.88671875" style="135" customWidth="1"/>
    <col min="50" max="50" width="19.33203125" style="135" customWidth="1"/>
    <col min="51" max="51" width="18.44140625" style="135" customWidth="1"/>
    <col min="52" max="52" width="19.44140625" style="135" customWidth="1"/>
    <col min="53" max="53" width="23.33203125" style="135" customWidth="1"/>
    <col min="54" max="55" width="25.109375" style="135" customWidth="1"/>
    <col min="56" max="56" width="26.6640625" style="135" customWidth="1"/>
    <col min="57" max="57" width="26.33203125" style="135" customWidth="1"/>
    <col min="58" max="58" width="26.5546875" style="135" customWidth="1"/>
    <col min="59" max="59" width="26.33203125" style="135" customWidth="1"/>
    <col min="60" max="60" width="27.33203125" style="135" customWidth="1"/>
    <col min="61" max="16384" width="17.33203125" style="135"/>
  </cols>
  <sheetData>
    <row r="1" spans="2:60" ht="15.6" thickBot="1"/>
    <row r="2" spans="2:60" ht="15.6" customHeight="1">
      <c r="B2" s="1575" t="s">
        <v>686</v>
      </c>
      <c r="C2" s="1600" t="s">
        <v>118</v>
      </c>
      <c r="D2" s="1601"/>
      <c r="E2" s="1601"/>
      <c r="F2" s="1601"/>
      <c r="G2" s="1601"/>
      <c r="H2" s="1601"/>
      <c r="I2" s="1601"/>
      <c r="J2" s="1601"/>
      <c r="K2" s="1601"/>
      <c r="L2" s="1601"/>
      <c r="M2" s="1601"/>
      <c r="N2" s="1601"/>
      <c r="O2" s="1601"/>
      <c r="P2" s="1601"/>
      <c r="Q2" s="1601"/>
      <c r="R2" s="1601"/>
      <c r="S2" s="1601"/>
      <c r="T2" s="1601"/>
      <c r="U2" s="1601"/>
      <c r="V2" s="1601"/>
      <c r="W2" s="1601"/>
      <c r="X2" s="1601"/>
      <c r="Y2" s="1601"/>
      <c r="Z2" s="1601"/>
      <c r="AA2" s="1601"/>
      <c r="AB2" s="1601"/>
      <c r="AC2" s="1601"/>
      <c r="AD2" s="1601"/>
      <c r="AE2" s="1601"/>
      <c r="AF2" s="1601"/>
      <c r="AG2" s="1601"/>
      <c r="AH2" s="1601"/>
      <c r="AI2" s="1601"/>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2"/>
      <c r="BG2" s="230" t="s">
        <v>31</v>
      </c>
      <c r="BH2" s="231"/>
    </row>
    <row r="3" spans="2:60" ht="15.6" customHeight="1">
      <c r="B3" s="1576"/>
      <c r="C3" s="1603"/>
      <c r="D3" s="1604"/>
      <c r="E3" s="1604"/>
      <c r="F3" s="1604"/>
      <c r="G3" s="1604"/>
      <c r="H3" s="1604"/>
      <c r="I3" s="1604"/>
      <c r="J3" s="1604"/>
      <c r="K3" s="1604"/>
      <c r="L3" s="1604"/>
      <c r="M3" s="1604"/>
      <c r="N3" s="1604"/>
      <c r="O3" s="1604"/>
      <c r="P3" s="1604"/>
      <c r="Q3" s="1604"/>
      <c r="R3" s="1604"/>
      <c r="S3" s="1604"/>
      <c r="T3" s="1604"/>
      <c r="U3" s="1604"/>
      <c r="V3" s="1604"/>
      <c r="W3" s="1604"/>
      <c r="X3" s="1604"/>
      <c r="Y3" s="1604"/>
      <c r="Z3" s="1604"/>
      <c r="AA3" s="1604"/>
      <c r="AB3" s="1604"/>
      <c r="AC3" s="1604"/>
      <c r="AD3" s="1604"/>
      <c r="AE3" s="1604"/>
      <c r="AF3" s="1604"/>
      <c r="AG3" s="1604"/>
      <c r="AH3" s="1604"/>
      <c r="AI3" s="1604"/>
      <c r="AJ3" s="1604"/>
      <c r="AK3" s="1604"/>
      <c r="AL3" s="1604"/>
      <c r="AM3" s="1604"/>
      <c r="AN3" s="1604"/>
      <c r="AO3" s="1604"/>
      <c r="AP3" s="1604"/>
      <c r="AQ3" s="1604"/>
      <c r="AR3" s="1604"/>
      <c r="AS3" s="1604"/>
      <c r="AT3" s="1604"/>
      <c r="AU3" s="1604"/>
      <c r="AV3" s="1604"/>
      <c r="AW3" s="1604"/>
      <c r="AX3" s="1604"/>
      <c r="AY3" s="1604"/>
      <c r="AZ3" s="1604"/>
      <c r="BA3" s="1604"/>
      <c r="BB3" s="1604"/>
      <c r="BC3" s="1604"/>
      <c r="BD3" s="1604"/>
      <c r="BE3" s="1604"/>
      <c r="BF3" s="1605"/>
      <c r="BG3" s="209" t="s">
        <v>28</v>
      </c>
      <c r="BH3" s="28" t="s">
        <v>29</v>
      </c>
    </row>
    <row r="4" spans="2:60" ht="15" customHeight="1">
      <c r="B4" s="1576"/>
      <c r="C4" s="1603"/>
      <c r="D4" s="1604"/>
      <c r="E4" s="1604"/>
      <c r="F4" s="1604"/>
      <c r="G4" s="1604"/>
      <c r="H4" s="1604"/>
      <c r="I4" s="1604"/>
      <c r="J4" s="1604"/>
      <c r="K4" s="1604"/>
      <c r="L4" s="1604"/>
      <c r="M4" s="1604"/>
      <c r="N4" s="1604"/>
      <c r="O4" s="1604"/>
      <c r="P4" s="1604"/>
      <c r="Q4" s="1604"/>
      <c r="R4" s="1604"/>
      <c r="S4" s="1604"/>
      <c r="T4" s="1604"/>
      <c r="U4" s="1604"/>
      <c r="V4" s="1604"/>
      <c r="W4" s="1604"/>
      <c r="X4" s="1604"/>
      <c r="Y4" s="1604"/>
      <c r="Z4" s="1604"/>
      <c r="AA4" s="1604"/>
      <c r="AB4" s="1604"/>
      <c r="AC4" s="1604"/>
      <c r="AD4" s="1604"/>
      <c r="AE4" s="1604"/>
      <c r="AF4" s="1604"/>
      <c r="AG4" s="1604"/>
      <c r="AH4" s="1604"/>
      <c r="AI4" s="1604"/>
      <c r="AJ4" s="1604"/>
      <c r="AK4" s="1604"/>
      <c r="AL4" s="1604"/>
      <c r="AM4" s="1604"/>
      <c r="AN4" s="1604"/>
      <c r="AO4" s="1604"/>
      <c r="AP4" s="1604"/>
      <c r="AQ4" s="1604"/>
      <c r="AR4" s="1604"/>
      <c r="AS4" s="1604"/>
      <c r="AT4" s="1604"/>
      <c r="AU4" s="1604"/>
      <c r="AV4" s="1604"/>
      <c r="AW4" s="1604"/>
      <c r="AX4" s="1604"/>
      <c r="AY4" s="1604"/>
      <c r="AZ4" s="1604"/>
      <c r="BA4" s="1604"/>
      <c r="BB4" s="1604"/>
      <c r="BC4" s="1604"/>
      <c r="BD4" s="1604"/>
      <c r="BE4" s="1604"/>
      <c r="BF4" s="1605"/>
      <c r="BG4" s="210">
        <v>5</v>
      </c>
      <c r="BH4" s="30" t="s">
        <v>657</v>
      </c>
    </row>
    <row r="5" spans="2:60" ht="15.6" customHeight="1">
      <c r="B5" s="1576"/>
      <c r="C5" s="1603"/>
      <c r="D5" s="1604"/>
      <c r="E5" s="1604"/>
      <c r="F5" s="1604"/>
      <c r="G5" s="1604"/>
      <c r="H5" s="1604"/>
      <c r="I5" s="1604"/>
      <c r="J5" s="1604"/>
      <c r="K5" s="1604"/>
      <c r="L5" s="1604"/>
      <c r="M5" s="1604"/>
      <c r="N5" s="1604"/>
      <c r="O5" s="1604"/>
      <c r="P5" s="1604"/>
      <c r="Q5" s="1604"/>
      <c r="R5" s="1604"/>
      <c r="S5" s="1604"/>
      <c r="T5" s="1604"/>
      <c r="U5" s="1604"/>
      <c r="V5" s="1604"/>
      <c r="W5" s="1604"/>
      <c r="X5" s="1604"/>
      <c r="Y5" s="1604"/>
      <c r="Z5" s="1604"/>
      <c r="AA5" s="1604"/>
      <c r="AB5" s="1604"/>
      <c r="AC5" s="1604"/>
      <c r="AD5" s="1604"/>
      <c r="AE5" s="1604"/>
      <c r="AF5" s="1604"/>
      <c r="AG5" s="1604"/>
      <c r="AH5" s="1604"/>
      <c r="AI5" s="1604"/>
      <c r="AJ5" s="1604"/>
      <c r="AK5" s="1604"/>
      <c r="AL5" s="1604"/>
      <c r="AM5" s="1604"/>
      <c r="AN5" s="1604"/>
      <c r="AO5" s="1604"/>
      <c r="AP5" s="1604"/>
      <c r="AQ5" s="1604"/>
      <c r="AR5" s="1604"/>
      <c r="AS5" s="1604"/>
      <c r="AT5" s="1604"/>
      <c r="AU5" s="1604"/>
      <c r="AV5" s="1604"/>
      <c r="AW5" s="1604"/>
      <c r="AX5" s="1604"/>
      <c r="AY5" s="1604"/>
      <c r="AZ5" s="1604"/>
      <c r="BA5" s="1604"/>
      <c r="BB5" s="1604"/>
      <c r="BC5" s="1604"/>
      <c r="BD5" s="1604"/>
      <c r="BE5" s="1604"/>
      <c r="BF5" s="1605"/>
      <c r="BG5" s="211" t="s">
        <v>30</v>
      </c>
      <c r="BH5" s="212"/>
    </row>
    <row r="6" spans="2:60" ht="15.6" customHeight="1" thickBot="1">
      <c r="B6" s="1577"/>
      <c r="C6" s="1606"/>
      <c r="D6" s="1607"/>
      <c r="E6" s="1607"/>
      <c r="F6" s="1607"/>
      <c r="G6" s="1607"/>
      <c r="H6" s="1607"/>
      <c r="I6" s="1607"/>
      <c r="J6" s="1607"/>
      <c r="K6" s="1607"/>
      <c r="L6" s="1607"/>
      <c r="M6" s="1607"/>
      <c r="N6" s="1607"/>
      <c r="O6" s="1607"/>
      <c r="P6" s="1607"/>
      <c r="Q6" s="1607"/>
      <c r="R6" s="1607"/>
      <c r="S6" s="1607"/>
      <c r="T6" s="1607"/>
      <c r="U6" s="1607"/>
      <c r="V6" s="1607"/>
      <c r="W6" s="1607"/>
      <c r="X6" s="1607"/>
      <c r="Y6" s="1607"/>
      <c r="Z6" s="1607"/>
      <c r="AA6" s="1607"/>
      <c r="AB6" s="1607"/>
      <c r="AC6" s="1607"/>
      <c r="AD6" s="1607"/>
      <c r="AE6" s="1607"/>
      <c r="AF6" s="1607"/>
      <c r="AG6" s="1607"/>
      <c r="AH6" s="1607"/>
      <c r="AI6" s="1607"/>
      <c r="AJ6" s="1607"/>
      <c r="AK6" s="1607"/>
      <c r="AL6" s="1607"/>
      <c r="AM6" s="1607"/>
      <c r="AN6" s="1607"/>
      <c r="AO6" s="1607"/>
      <c r="AP6" s="1607"/>
      <c r="AQ6" s="1607"/>
      <c r="AR6" s="1607"/>
      <c r="AS6" s="1607"/>
      <c r="AT6" s="1607"/>
      <c r="AU6" s="1607"/>
      <c r="AV6" s="1607"/>
      <c r="AW6" s="1607"/>
      <c r="AX6" s="1607"/>
      <c r="AY6" s="1607"/>
      <c r="AZ6" s="1607"/>
      <c r="BA6" s="1607"/>
      <c r="BB6" s="1607"/>
      <c r="BC6" s="1607"/>
      <c r="BD6" s="1607"/>
      <c r="BE6" s="1607"/>
      <c r="BF6" s="1608"/>
      <c r="BG6" s="1566">
        <v>44306</v>
      </c>
      <c r="BH6" s="1567"/>
    </row>
    <row r="7" spans="2:60">
      <c r="B7" s="136"/>
      <c r="C7" s="136"/>
      <c r="D7" s="136"/>
      <c r="E7" s="136"/>
      <c r="F7" s="136"/>
      <c r="G7" s="137"/>
      <c r="H7" s="137"/>
      <c r="I7" s="136"/>
      <c r="J7" s="136"/>
      <c r="K7" s="136"/>
      <c r="L7" s="136"/>
      <c r="M7" s="136"/>
      <c r="N7" s="136"/>
      <c r="O7" s="136"/>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589"/>
      <c r="AX7" s="1633"/>
      <c r="AY7" s="1633"/>
      <c r="AZ7" s="1633"/>
      <c r="BA7" s="1591"/>
      <c r="BB7" s="232"/>
      <c r="BC7" s="232"/>
      <c r="BD7" s="232"/>
      <c r="BE7" s="138"/>
      <c r="BF7" s="138"/>
    </row>
    <row r="8" spans="2:60" ht="22.8">
      <c r="B8" s="213" t="s">
        <v>45</v>
      </c>
      <c r="C8" s="1710" t="s">
        <v>90</v>
      </c>
      <c r="D8" s="1710"/>
      <c r="E8" s="214"/>
      <c r="F8" s="214"/>
      <c r="G8" s="214"/>
      <c r="H8" s="214"/>
      <c r="I8" s="214"/>
      <c r="J8" s="214"/>
      <c r="K8" s="214"/>
      <c r="L8" s="214"/>
      <c r="M8" s="214"/>
      <c r="N8" s="214"/>
      <c r="O8" s="214"/>
      <c r="AW8" s="232"/>
      <c r="AX8" s="232"/>
      <c r="AY8" s="232"/>
      <c r="AZ8" s="232"/>
      <c r="BA8" s="232"/>
      <c r="BB8" s="232"/>
      <c r="BC8" s="232"/>
      <c r="BD8" s="232"/>
    </row>
    <row r="9" spans="2:60" ht="69.75" customHeight="1">
      <c r="B9" s="213" t="s">
        <v>34</v>
      </c>
      <c r="C9" s="1610" t="s">
        <v>321</v>
      </c>
      <c r="D9" s="1611"/>
      <c r="E9" s="214"/>
      <c r="F9" s="214"/>
      <c r="G9" s="214"/>
      <c r="H9" s="214"/>
      <c r="I9" s="214"/>
      <c r="J9" s="214"/>
      <c r="K9" s="214"/>
      <c r="L9" s="214"/>
      <c r="M9" s="214"/>
      <c r="N9" s="214"/>
      <c r="O9" s="214"/>
      <c r="AW9" s="232"/>
      <c r="AX9" s="232"/>
      <c r="AY9" s="232"/>
      <c r="AZ9" s="232"/>
      <c r="BA9" s="232"/>
      <c r="BB9" s="232"/>
      <c r="BC9" s="232"/>
      <c r="BD9" s="232"/>
    </row>
    <row r="10" spans="2:60" ht="24.6">
      <c r="B10" s="213" t="s">
        <v>101</v>
      </c>
      <c r="C10" s="1612">
        <v>2022</v>
      </c>
      <c r="D10" s="1613"/>
      <c r="E10" s="214"/>
      <c r="F10" s="214"/>
      <c r="G10" s="214"/>
      <c r="H10" s="214"/>
      <c r="I10" s="214"/>
      <c r="J10" s="214"/>
      <c r="K10" s="214"/>
      <c r="L10" s="214"/>
      <c r="M10" s="214"/>
      <c r="N10" s="214"/>
      <c r="O10" s="214"/>
      <c r="AW10" s="232"/>
      <c r="AX10" s="232"/>
      <c r="AY10" s="232"/>
      <c r="AZ10" s="232"/>
      <c r="BA10" s="232"/>
      <c r="BB10" s="232"/>
      <c r="BC10" s="232"/>
      <c r="BD10" s="232"/>
    </row>
    <row r="11" spans="2:60">
      <c r="B11" s="136"/>
      <c r="C11" s="136"/>
      <c r="D11" s="136"/>
      <c r="E11" s="136"/>
      <c r="F11" s="136"/>
      <c r="G11" s="137"/>
      <c r="H11" s="137"/>
      <c r="I11" s="136"/>
      <c r="J11" s="136"/>
      <c r="K11" s="136"/>
      <c r="L11" s="136"/>
      <c r="M11" s="136"/>
      <c r="N11" s="136"/>
      <c r="O11" s="136"/>
      <c r="AW11" s="232"/>
      <c r="AX11" s="232"/>
      <c r="AY11" s="232"/>
      <c r="AZ11" s="232"/>
      <c r="BA11" s="232"/>
      <c r="BB11" s="232"/>
      <c r="BC11" s="232"/>
      <c r="BD11" s="232"/>
    </row>
    <row r="12" spans="2:60" ht="21.6" customHeight="1">
      <c r="B12" s="1476" t="s">
        <v>0</v>
      </c>
      <c r="C12" s="1476" t="s">
        <v>52</v>
      </c>
      <c r="D12" s="1302" t="s">
        <v>711</v>
      </c>
      <c r="E12" s="1476" t="s">
        <v>61</v>
      </c>
      <c r="F12" s="1302" t="s">
        <v>682</v>
      </c>
      <c r="G12" s="1476" t="s">
        <v>58</v>
      </c>
      <c r="H12" s="1476" t="s">
        <v>25</v>
      </c>
      <c r="I12" s="1476" t="s">
        <v>60</v>
      </c>
      <c r="J12" s="1476" t="s">
        <v>39</v>
      </c>
      <c r="K12" s="1476" t="s">
        <v>36</v>
      </c>
      <c r="L12" s="1476" t="s">
        <v>20</v>
      </c>
      <c r="M12" s="1476" t="s">
        <v>51</v>
      </c>
      <c r="N12" s="1476" t="s">
        <v>40</v>
      </c>
      <c r="O12" s="1476" t="s">
        <v>42</v>
      </c>
      <c r="P12" s="1528" t="s">
        <v>112</v>
      </c>
      <c r="Q12" s="1528"/>
      <c r="R12" s="1528"/>
      <c r="S12" s="1528"/>
      <c r="T12" s="1528"/>
      <c r="U12" s="1528"/>
      <c r="V12" s="1528"/>
      <c r="W12" s="1528"/>
      <c r="X12" s="1528"/>
      <c r="Y12" s="1528"/>
      <c r="Z12" s="1528"/>
      <c r="AA12" s="1528"/>
      <c r="AB12" s="1528"/>
      <c r="AC12" s="1528"/>
      <c r="AD12" s="1528"/>
      <c r="AE12" s="1528"/>
      <c r="AF12" s="1528"/>
      <c r="AG12" s="1528"/>
      <c r="AH12" s="1528"/>
      <c r="AI12" s="1528"/>
      <c r="AJ12" s="1528"/>
      <c r="AK12" s="1528"/>
      <c r="AL12" s="1528"/>
      <c r="AM12" s="1528"/>
      <c r="AN12" s="1528"/>
      <c r="AO12" s="1528"/>
      <c r="AP12" s="1528"/>
      <c r="AQ12" s="1528"/>
      <c r="AR12" s="1528"/>
      <c r="AS12" s="1528"/>
      <c r="AT12" s="1528"/>
      <c r="AU12" s="1528"/>
      <c r="AV12" s="1592" t="s">
        <v>62</v>
      </c>
      <c r="AW12" s="1594" t="s">
        <v>683</v>
      </c>
      <c r="AX12" s="1595"/>
      <c r="AY12" s="1595"/>
      <c r="AZ12" s="1596"/>
      <c r="BA12" s="1583" t="s">
        <v>684</v>
      </c>
      <c r="BB12" s="1584"/>
      <c r="BC12" s="1584"/>
      <c r="BD12" s="1585"/>
      <c r="BE12" s="1618" t="s">
        <v>685</v>
      </c>
      <c r="BF12" s="1619"/>
      <c r="BG12" s="1619"/>
      <c r="BH12" s="1620"/>
    </row>
    <row r="13" spans="2:60" ht="15.6">
      <c r="B13" s="1476"/>
      <c r="C13" s="1476"/>
      <c r="D13" s="1302"/>
      <c r="E13" s="1476"/>
      <c r="F13" s="1302"/>
      <c r="G13" s="1476"/>
      <c r="H13" s="1476"/>
      <c r="I13" s="1476"/>
      <c r="J13" s="1476"/>
      <c r="K13" s="1476"/>
      <c r="L13" s="1476"/>
      <c r="M13" s="1476"/>
      <c r="N13" s="1476"/>
      <c r="O13" s="1476"/>
      <c r="P13" s="1593" t="s">
        <v>21</v>
      </c>
      <c r="Q13" s="1593"/>
      <c r="R13" s="1593"/>
      <c r="S13" s="1593"/>
      <c r="T13" s="1593"/>
      <c r="U13" s="1593"/>
      <c r="V13" s="1593"/>
      <c r="W13" s="1593"/>
      <c r="X13" s="1593" t="s">
        <v>22</v>
      </c>
      <c r="Y13" s="1593"/>
      <c r="Z13" s="1593"/>
      <c r="AA13" s="1593"/>
      <c r="AB13" s="1593"/>
      <c r="AC13" s="1593"/>
      <c r="AD13" s="1593"/>
      <c r="AE13" s="1593"/>
      <c r="AF13" s="1593" t="s">
        <v>23</v>
      </c>
      <c r="AG13" s="1593"/>
      <c r="AH13" s="1593"/>
      <c r="AI13" s="1593"/>
      <c r="AJ13" s="1593"/>
      <c r="AK13" s="1593"/>
      <c r="AL13" s="1593"/>
      <c r="AM13" s="1593"/>
      <c r="AN13" s="1593" t="s">
        <v>24</v>
      </c>
      <c r="AO13" s="1593"/>
      <c r="AP13" s="1593"/>
      <c r="AQ13" s="1593"/>
      <c r="AR13" s="1593"/>
      <c r="AS13" s="1593"/>
      <c r="AT13" s="1593"/>
      <c r="AU13" s="1593"/>
      <c r="AV13" s="1592"/>
      <c r="AW13" s="1597" t="s">
        <v>119</v>
      </c>
      <c r="AX13" s="1597" t="s">
        <v>22</v>
      </c>
      <c r="AY13" s="1597" t="s">
        <v>315</v>
      </c>
      <c r="AZ13" s="1597" t="s">
        <v>316</v>
      </c>
      <c r="BA13" s="1586" t="s">
        <v>119</v>
      </c>
      <c r="BB13" s="1586" t="s">
        <v>122</v>
      </c>
      <c r="BC13" s="1586" t="s">
        <v>123</v>
      </c>
      <c r="BD13" s="1586" t="s">
        <v>124</v>
      </c>
      <c r="BE13" s="1580" t="s">
        <v>21</v>
      </c>
      <c r="BF13" s="1580" t="s">
        <v>22</v>
      </c>
      <c r="BG13" s="1580" t="s">
        <v>23</v>
      </c>
      <c r="BH13" s="1580" t="s">
        <v>24</v>
      </c>
    </row>
    <row r="14" spans="2:60" ht="15.6">
      <c r="B14" s="1476"/>
      <c r="C14" s="1476"/>
      <c r="D14" s="1302"/>
      <c r="E14" s="1476"/>
      <c r="F14" s="1302"/>
      <c r="G14" s="1476"/>
      <c r="H14" s="1476"/>
      <c r="I14" s="1476"/>
      <c r="J14" s="1476"/>
      <c r="K14" s="1476"/>
      <c r="L14" s="1476"/>
      <c r="M14" s="1476"/>
      <c r="N14" s="1476"/>
      <c r="O14" s="1476"/>
      <c r="P14" s="1641" t="s">
        <v>5</v>
      </c>
      <c r="Q14" s="1641"/>
      <c r="R14" s="1641" t="s">
        <v>6</v>
      </c>
      <c r="S14" s="1641"/>
      <c r="T14" s="1641" t="s">
        <v>7</v>
      </c>
      <c r="U14" s="1641"/>
      <c r="V14" s="1528" t="s">
        <v>8</v>
      </c>
      <c r="W14" s="1528"/>
      <c r="X14" s="1641" t="s">
        <v>27</v>
      </c>
      <c r="Y14" s="1641"/>
      <c r="Z14" s="1641" t="s">
        <v>9</v>
      </c>
      <c r="AA14" s="1641"/>
      <c r="AB14" s="1641" t="s">
        <v>10</v>
      </c>
      <c r="AC14" s="1641"/>
      <c r="AD14" s="1528" t="s">
        <v>8</v>
      </c>
      <c r="AE14" s="1528"/>
      <c r="AF14" s="1641" t="s">
        <v>11</v>
      </c>
      <c r="AG14" s="1641"/>
      <c r="AH14" s="1641" t="s">
        <v>12</v>
      </c>
      <c r="AI14" s="1641"/>
      <c r="AJ14" s="1641" t="s">
        <v>13</v>
      </c>
      <c r="AK14" s="1641"/>
      <c r="AL14" s="1528" t="s">
        <v>8</v>
      </c>
      <c r="AM14" s="1528"/>
      <c r="AN14" s="1641" t="s">
        <v>14</v>
      </c>
      <c r="AO14" s="1641"/>
      <c r="AP14" s="1641" t="s">
        <v>15</v>
      </c>
      <c r="AQ14" s="1641"/>
      <c r="AR14" s="1641" t="s">
        <v>16</v>
      </c>
      <c r="AS14" s="1641"/>
      <c r="AT14" s="1528" t="s">
        <v>8</v>
      </c>
      <c r="AU14" s="1528"/>
      <c r="AV14" s="1592"/>
      <c r="AW14" s="1598"/>
      <c r="AX14" s="1598"/>
      <c r="AY14" s="1598"/>
      <c r="AZ14" s="1598"/>
      <c r="BA14" s="1587"/>
      <c r="BB14" s="1587"/>
      <c r="BC14" s="1587"/>
      <c r="BD14" s="1587"/>
      <c r="BE14" s="1581"/>
      <c r="BF14" s="1581"/>
      <c r="BG14" s="1581"/>
      <c r="BH14" s="1581"/>
    </row>
    <row r="15" spans="2:60" ht="13.2" customHeight="1">
      <c r="B15" s="1476"/>
      <c r="C15" s="1476"/>
      <c r="D15" s="1302"/>
      <c r="E15" s="1476"/>
      <c r="F15" s="1302"/>
      <c r="G15" s="1476"/>
      <c r="H15" s="1476"/>
      <c r="I15" s="1476"/>
      <c r="J15" s="1476"/>
      <c r="K15" s="1476"/>
      <c r="L15" s="1476"/>
      <c r="M15" s="1476"/>
      <c r="N15" s="1476"/>
      <c r="O15" s="1476"/>
      <c r="P15" s="233" t="s">
        <v>17</v>
      </c>
      <c r="Q15" s="234" t="s">
        <v>18</v>
      </c>
      <c r="R15" s="233" t="s">
        <v>17</v>
      </c>
      <c r="S15" s="234" t="s">
        <v>18</v>
      </c>
      <c r="T15" s="233" t="s">
        <v>17</v>
      </c>
      <c r="U15" s="234" t="s">
        <v>18</v>
      </c>
      <c r="V15" s="75" t="s">
        <v>17</v>
      </c>
      <c r="W15" s="76" t="s">
        <v>18</v>
      </c>
      <c r="X15" s="233" t="s">
        <v>17</v>
      </c>
      <c r="Y15" s="234" t="s">
        <v>18</v>
      </c>
      <c r="Z15" s="233" t="s">
        <v>17</v>
      </c>
      <c r="AA15" s="234" t="s">
        <v>18</v>
      </c>
      <c r="AB15" s="233" t="s">
        <v>17</v>
      </c>
      <c r="AC15" s="234" t="s">
        <v>18</v>
      </c>
      <c r="AD15" s="75" t="s">
        <v>17</v>
      </c>
      <c r="AE15" s="76" t="s">
        <v>18</v>
      </c>
      <c r="AF15" s="233" t="s">
        <v>17</v>
      </c>
      <c r="AG15" s="234" t="s">
        <v>18</v>
      </c>
      <c r="AH15" s="233" t="s">
        <v>17</v>
      </c>
      <c r="AI15" s="234" t="s">
        <v>18</v>
      </c>
      <c r="AJ15" s="233" t="s">
        <v>17</v>
      </c>
      <c r="AK15" s="234" t="s">
        <v>18</v>
      </c>
      <c r="AL15" s="75" t="s">
        <v>17</v>
      </c>
      <c r="AM15" s="76" t="s">
        <v>18</v>
      </c>
      <c r="AN15" s="233" t="s">
        <v>17</v>
      </c>
      <c r="AO15" s="234" t="s">
        <v>18</v>
      </c>
      <c r="AP15" s="233" t="s">
        <v>17</v>
      </c>
      <c r="AQ15" s="234" t="s">
        <v>18</v>
      </c>
      <c r="AR15" s="233" t="s">
        <v>17</v>
      </c>
      <c r="AS15" s="234" t="s">
        <v>18</v>
      </c>
      <c r="AT15" s="75" t="s">
        <v>17</v>
      </c>
      <c r="AU15" s="76" t="s">
        <v>18</v>
      </c>
      <c r="AV15" s="1592"/>
      <c r="AW15" s="1599"/>
      <c r="AX15" s="1599"/>
      <c r="AY15" s="1599"/>
      <c r="AZ15" s="1599"/>
      <c r="BA15" s="1588"/>
      <c r="BB15" s="1588"/>
      <c r="BC15" s="1588"/>
      <c r="BD15" s="1588"/>
      <c r="BE15" s="1582"/>
      <c r="BF15" s="1582"/>
      <c r="BG15" s="1582"/>
      <c r="BH15" s="1582"/>
    </row>
    <row r="16" spans="2:60" ht="90">
      <c r="B16" s="1616" t="str">
        <f>+'01-FR-03 POA INSTITUCIONAL'!B40</f>
        <v>3. Vigilar la conducta oficial de los(as) servidores(as) públicos(as) del Distrito Capital, mediante acciones preventivas y correctivas, que permitan un adecuado cumplimiento de los principios de la Función Pública</v>
      </c>
      <c r="C16" s="1616" t="str">
        <f>+'01-FR-03 POA INSTITUCIONAL'!C40</f>
        <v>3.1. Descongestionar 6.700 procesos disciplinarios con criterios de calidad, efectividad y garantía del debido proceso.</v>
      </c>
      <c r="D16" s="31" t="str">
        <f>+'01-FR-03 POA INSTITUCIONAL'!D40</f>
        <v xml:space="preserve">3.1.1 Identificar y decidir de fondo 6,700  procesos, priorizando aquellos que se encuentren con riesgo de prescripción y/o vencidos en su etapa procesal (indagación, investigación y juzgamiento). </v>
      </c>
      <c r="E16" s="52">
        <f>+'01-FR-03 POA INSTITUCIONAL'!E40</f>
        <v>0.8</v>
      </c>
      <c r="F16" s="256">
        <f>+'01-FR-03 POA INSTITUCIONAL'!F40</f>
        <v>6700</v>
      </c>
      <c r="G16" s="256">
        <f>+'01-FR-03 POA INSTITUCIONAL'!L40</f>
        <v>1800</v>
      </c>
      <c r="H16" s="256">
        <f>+'01-FR-03 POA INSTITUCIONAL'!G40</f>
        <v>6287</v>
      </c>
      <c r="I16" s="140" t="str">
        <f>+'01-FR-03 POA INSTITUCIONAL'!H40</f>
        <v>Procesos priorizados identificados y decididos de fondo</v>
      </c>
      <c r="J16" s="215" t="s">
        <v>305</v>
      </c>
      <c r="K16" s="443" t="s">
        <v>317</v>
      </c>
      <c r="L16" s="217" t="s">
        <v>294</v>
      </c>
      <c r="M16" s="217" t="s">
        <v>322</v>
      </c>
      <c r="N16" s="217" t="s">
        <v>312</v>
      </c>
      <c r="O16" s="82" t="str">
        <f>+'01-FR-03 POA INSTITUCIONAL'!J40</f>
        <v>Personería Delegada para la Coordinación de Potestad Disciplinaria</v>
      </c>
      <c r="P16" s="935">
        <v>80</v>
      </c>
      <c r="Q16" s="935">
        <v>78</v>
      </c>
      <c r="R16" s="935">
        <v>100</v>
      </c>
      <c r="S16" s="935">
        <v>81</v>
      </c>
      <c r="T16" s="935">
        <v>120</v>
      </c>
      <c r="U16" s="935">
        <v>159</v>
      </c>
      <c r="V16" s="67">
        <f>P16+R16+T16</f>
        <v>300</v>
      </c>
      <c r="W16" s="67">
        <f>Q16+S16+U16</f>
        <v>318</v>
      </c>
      <c r="X16" s="935">
        <v>150</v>
      </c>
      <c r="Y16" s="935"/>
      <c r="Z16" s="935">
        <v>170</v>
      </c>
      <c r="AA16" s="935"/>
      <c r="AB16" s="935">
        <v>170</v>
      </c>
      <c r="AC16" s="935"/>
      <c r="AD16" s="67">
        <f>X16+Z16+AB16</f>
        <v>490</v>
      </c>
      <c r="AE16" s="67">
        <f>Y16+AA16+AC16</f>
        <v>0</v>
      </c>
      <c r="AF16" s="935">
        <v>210</v>
      </c>
      <c r="AG16" s="935"/>
      <c r="AH16" s="935">
        <v>210</v>
      </c>
      <c r="AI16" s="935"/>
      <c r="AJ16" s="1014">
        <v>210</v>
      </c>
      <c r="AK16" s="1014"/>
      <c r="AL16" s="67">
        <f>AF16+AH16+AJ16</f>
        <v>630</v>
      </c>
      <c r="AM16" s="67">
        <f>AG16+AI16+AK16</f>
        <v>0</v>
      </c>
      <c r="AN16" s="935">
        <v>150</v>
      </c>
      <c r="AO16" s="935"/>
      <c r="AP16" s="935">
        <v>140</v>
      </c>
      <c r="AQ16" s="935"/>
      <c r="AR16" s="935">
        <v>90</v>
      </c>
      <c r="AS16" s="935"/>
      <c r="AT16" s="67">
        <f>AN16+AP16+AR16</f>
        <v>380</v>
      </c>
      <c r="AU16" s="67">
        <f>AO16+AQ16+AS16</f>
        <v>0</v>
      </c>
      <c r="AV16" s="237">
        <f>V16+AD16+AL16+AT16</f>
        <v>1800</v>
      </c>
      <c r="AW16" s="81">
        <f>+W16</f>
        <v>318</v>
      </c>
      <c r="AX16" s="1053">
        <f>+W16+AE16</f>
        <v>318</v>
      </c>
      <c r="AY16" s="1053">
        <f>+W16+AE16+AM16</f>
        <v>318</v>
      </c>
      <c r="AZ16" s="1053">
        <f>+W16+AE16+AM16+AU16</f>
        <v>318</v>
      </c>
      <c r="BA16" s="319">
        <f>IF(AND(AW16&gt;0,$AV16&gt;0),AW16/$AV16,0)</f>
        <v>0.17666666666666667</v>
      </c>
      <c r="BB16" s="319">
        <f t="shared" ref="BB16:BD23" si="0">IF(AND(AX16&gt;0,$AV16&gt;0),AX16/$AV16,0)</f>
        <v>0.17666666666666667</v>
      </c>
      <c r="BC16" s="319">
        <f t="shared" si="0"/>
        <v>0.17666666666666667</v>
      </c>
      <c r="BD16" s="319">
        <f t="shared" si="0"/>
        <v>0.17666666666666667</v>
      </c>
      <c r="BE16" s="346">
        <f>(IF(AND(AW16&gt;0,$F16&gt;0),AW16/$F16,0))</f>
        <v>4.7462686567164181E-2</v>
      </c>
      <c r="BF16" s="1056">
        <f t="shared" ref="BF16:BH16" si="1">(IF(AND(AX16&gt;0,$F16&gt;0),AX16/$F16,0))</f>
        <v>4.7462686567164181E-2</v>
      </c>
      <c r="BG16" s="1056">
        <f t="shared" ref="BG16:BG18" si="2">(IF(AND(AY16&gt;0,$F16&gt;0),AY16/$F16,0))</f>
        <v>4.7462686567164181E-2</v>
      </c>
      <c r="BH16" s="1056">
        <f t="shared" si="1"/>
        <v>4.7462686567164181E-2</v>
      </c>
    </row>
    <row r="17" spans="2:60" ht="90" customHeight="1">
      <c r="B17" s="1617"/>
      <c r="C17" s="1643"/>
      <c r="D17" s="31" t="str">
        <f>+'01-FR-03 POA INSTITUCIONAL'!D41</f>
        <v>3.1.2 Evaluar y dar impulso procesal al 100% las noticias disciplinarias (quejas) puestas en conocimiento de la Entidad.</v>
      </c>
      <c r="E17" s="52">
        <f>+'01-FR-03 POA INSTITUCIONAL'!E41</f>
        <v>0.2</v>
      </c>
      <c r="F17" s="174">
        <f>+'01-FR-03 POA INSTITUCIONAL'!F41</f>
        <v>1</v>
      </c>
      <c r="G17" s="174">
        <f>+'01-FR-03 POA INSTITUCIONAL'!L41</f>
        <v>1</v>
      </c>
      <c r="H17" s="174">
        <f>+'01-FR-03 POA INSTITUCIONAL'!G41</f>
        <v>0.98</v>
      </c>
      <c r="I17" s="140" t="str">
        <f>+'01-FR-03 POA INSTITUCIONAL'!H41</f>
        <v>Noticias disciplinarias  evaluadas y con impulso procesal</v>
      </c>
      <c r="J17" s="215" t="s">
        <v>313</v>
      </c>
      <c r="K17" s="443" t="s">
        <v>295</v>
      </c>
      <c r="L17" s="217" t="s">
        <v>296</v>
      </c>
      <c r="M17" s="217" t="s">
        <v>322</v>
      </c>
      <c r="N17" s="217" t="s">
        <v>312</v>
      </c>
      <c r="O17" s="82" t="str">
        <f>+'01-FR-03 POA INSTITUCIONAL'!J41</f>
        <v>Personería Delegada para la Coordinación de Potestad Disciplinaria</v>
      </c>
      <c r="P17" s="1009">
        <v>1</v>
      </c>
      <c r="Q17" s="1012">
        <v>0.88900000000000001</v>
      </c>
      <c r="R17" s="1009">
        <v>1</v>
      </c>
      <c r="S17" s="1012">
        <v>0.753</v>
      </c>
      <c r="T17" s="1009">
        <v>1</v>
      </c>
      <c r="U17" s="1012">
        <v>0.73</v>
      </c>
      <c r="V17" s="89">
        <f>AVERAGE(P17,R17,T17)</f>
        <v>1</v>
      </c>
      <c r="W17" s="1049">
        <f>IFERROR(AVERAGE(Q17,S17,U17),0)</f>
        <v>0.79066666666666663</v>
      </c>
      <c r="X17" s="1009">
        <v>1</v>
      </c>
      <c r="Y17" s="1068">
        <v>0</v>
      </c>
      <c r="Z17" s="1009">
        <v>1</v>
      </c>
      <c r="AA17" s="1068">
        <v>0</v>
      </c>
      <c r="AB17" s="1009">
        <v>1</v>
      </c>
      <c r="AC17" s="1068">
        <v>0</v>
      </c>
      <c r="AD17" s="89">
        <f>AVERAGE(X17,Z17,AB17)</f>
        <v>1</v>
      </c>
      <c r="AE17" s="318">
        <f>IFERROR(AVERAGE(Y17,AA17,AC17),0)</f>
        <v>0</v>
      </c>
      <c r="AF17" s="1009">
        <v>1</v>
      </c>
      <c r="AG17" s="1068">
        <v>0</v>
      </c>
      <c r="AH17" s="1009">
        <v>1</v>
      </c>
      <c r="AI17" s="1068">
        <v>0</v>
      </c>
      <c r="AJ17" s="1009">
        <v>1</v>
      </c>
      <c r="AK17" s="1068">
        <v>0</v>
      </c>
      <c r="AL17" s="89">
        <f>AVERAGE(AF17,AH17,AJ17)</f>
        <v>1</v>
      </c>
      <c r="AM17" s="89">
        <f>IFERROR(AVERAGE(AG17,AI17,AK17),0)</f>
        <v>0</v>
      </c>
      <c r="AN17" s="1009">
        <v>1</v>
      </c>
      <c r="AO17" s="1068">
        <v>0</v>
      </c>
      <c r="AP17" s="1009">
        <v>1</v>
      </c>
      <c r="AQ17" s="1068">
        <v>0</v>
      </c>
      <c r="AR17" s="1009">
        <v>1</v>
      </c>
      <c r="AS17" s="1068">
        <v>0</v>
      </c>
      <c r="AT17" s="89">
        <f>AVERAGE(AN17,AP17,AR17)</f>
        <v>1</v>
      </c>
      <c r="AU17" s="89">
        <f>IFERROR(AVERAGE(AO17,AQ17,AS17),0)</f>
        <v>0</v>
      </c>
      <c r="AV17" s="89">
        <f>AVERAGE(P17,R17,T17,X17,Z17,AB17,AF17,AH17,AJ17,AN17,AP17,AR17)</f>
        <v>1</v>
      </c>
      <c r="AW17" s="307">
        <f>IFERROR(IF(OR($AV$17="",$AV$17=0),0,ROUNDDOWN(AVERAGE($Q17,$S17,$U17),3)),0)</f>
        <v>0.79</v>
      </c>
      <c r="AX17" s="1057">
        <f>IFERROR(IF(OR($AV$17="",$AV$17=0),0,ROUNDDOWN(AVERAGE($Q17,$S17,$U17,$Y17,$AA17,$AC17),3)),0)</f>
        <v>0.39500000000000002</v>
      </c>
      <c r="AY17" s="1057">
        <f>IFERROR(IF(OR($AV$17="",$AV$17=0),0,ROUNDDOWN(AVERAGE($Q17,$S17,$U17,$Y17,$AA17,$AC17,$AG17,$AI17,$AK17),3)),0)</f>
        <v>0.26300000000000001</v>
      </c>
      <c r="AZ17" s="1057">
        <f>IFERROR(IF(OR($AV$17="",$AV$17=0),0,ROUNDDOWN(AVERAGE($Q17,$S17,$U17,$Y17,$AA17,$AC17,$AG17,$AI17,$AK17,$AO17,$AQ17,$AS17),3)),0)</f>
        <v>0.19700000000000001</v>
      </c>
      <c r="BA17" s="319">
        <f>IF(AND(AW17&gt;0,AV17&gt;0),AW17/AV17,0)*0.25</f>
        <v>0.19750000000000001</v>
      </c>
      <c r="BB17" s="319">
        <f>IF(AND(AX17&gt;0,$AV17&gt;0),AX17/$AV17,0)*0.5</f>
        <v>0.19750000000000001</v>
      </c>
      <c r="BC17" s="319">
        <f>IF(AND(AY17&gt;0,$AV17&gt;0),AY17/$AV17,0)*0.75</f>
        <v>0.19725000000000001</v>
      </c>
      <c r="BD17" s="319">
        <f>IF(AND(AZ17&gt;0,$AV17&gt;0),AZ17/$AV17,0)*1</f>
        <v>0.19700000000000001</v>
      </c>
      <c r="BE17" s="346">
        <f>((IF(AND(AW17&gt;0,$F17&gt;0),AW17/$F17,0))/4)*0.25</f>
        <v>4.9375000000000002E-2</v>
      </c>
      <c r="BF17" s="1056">
        <f>((IF(AND(AX17&gt;0,$F17&gt;0),AX17/$F17,0))/4)*0.5</f>
        <v>4.9375000000000002E-2</v>
      </c>
      <c r="BG17" s="1056">
        <f>((IF(AND(AY17&gt;0,$F17&gt;0),AY17/$F17,0))/4)*0.75</f>
        <v>4.9312500000000002E-2</v>
      </c>
      <c r="BH17" s="1056">
        <f>((IF(AND(AZ17&gt;0,$F17&gt;0),AZ17/$F17,0))/4)</f>
        <v>4.9250000000000002E-2</v>
      </c>
    </row>
    <row r="18" spans="2:60" ht="90" customHeight="1">
      <c r="B18" s="1617"/>
      <c r="C18" s="1616" t="str">
        <f>+'01-FR-03 POA INSTITUCIONAL'!C42</f>
        <v xml:space="preserve">3.2. Identificar el 100% de los hechos constitutivos de faltas disciplinarias para ejercer el poder preferente en las Oficinas de Control Interno Disciplinario, en temas de interés e impacto para el Distrito Capital. </v>
      </c>
      <c r="D18" s="31" t="str">
        <f>+'01-FR-03 POA INSTITUCIONAL'!D42</f>
        <v>3.2.1 Realizar una visita de seguimiento a las 51 Oficinas de Control Interno Disciplinario del Distrito e identificar hechos constitutivos de faltas relevantes en temas de interés e impacto en cada anualidad.</v>
      </c>
      <c r="E18" s="52">
        <f>+'01-FR-03 POA INSTITUCIONAL'!E42</f>
        <v>0.5</v>
      </c>
      <c r="F18" s="256">
        <f>+'01-FR-03 POA INSTITUCIONAL'!F42</f>
        <v>204</v>
      </c>
      <c r="G18" s="256">
        <f>+'01-FR-03 POA INSTITUCIONAL'!L42</f>
        <v>51</v>
      </c>
      <c r="H18" s="256">
        <f>+'01-FR-03 POA INSTITUCIONAL'!G42</f>
        <v>204</v>
      </c>
      <c r="I18" s="140" t="str">
        <f>+'01-FR-03 POA INSTITUCIONAL'!H42</f>
        <v>Visitas de seguimiento a Oficinas de Control Interno Disciplinario realizadas</v>
      </c>
      <c r="J18" s="215" t="s">
        <v>297</v>
      </c>
      <c r="K18" s="443" t="s">
        <v>318</v>
      </c>
      <c r="L18" s="217" t="s">
        <v>298</v>
      </c>
      <c r="M18" s="217" t="s">
        <v>322</v>
      </c>
      <c r="N18" s="217" t="s">
        <v>312</v>
      </c>
      <c r="O18" s="82" t="str">
        <f>+'01-FR-03 POA INSTITUCIONAL'!J42</f>
        <v>Personería Delegada para la Coordinación de Potestad Disciplinaria</v>
      </c>
      <c r="P18" s="935">
        <v>0</v>
      </c>
      <c r="Q18" s="935">
        <v>0</v>
      </c>
      <c r="R18" s="935">
        <v>0</v>
      </c>
      <c r="S18" s="935">
        <v>0</v>
      </c>
      <c r="T18" s="935">
        <v>0</v>
      </c>
      <c r="U18" s="935">
        <v>0</v>
      </c>
      <c r="V18" s="67">
        <f t="shared" ref="V18:W23" si="3">P18+R18+T18</f>
        <v>0</v>
      </c>
      <c r="W18" s="67">
        <f t="shared" si="3"/>
        <v>0</v>
      </c>
      <c r="X18" s="935">
        <v>10</v>
      </c>
      <c r="Y18" s="1069"/>
      <c r="Z18" s="935">
        <v>10</v>
      </c>
      <c r="AA18" s="1069"/>
      <c r="AB18" s="935">
        <v>10</v>
      </c>
      <c r="AC18" s="1069"/>
      <c r="AD18" s="67">
        <f t="shared" ref="AD18:AE23" si="4">X18+Z18+AB18</f>
        <v>30</v>
      </c>
      <c r="AE18" s="67">
        <f t="shared" si="4"/>
        <v>0</v>
      </c>
      <c r="AF18" s="935">
        <v>10</v>
      </c>
      <c r="AG18" s="1069"/>
      <c r="AH18" s="935">
        <v>11</v>
      </c>
      <c r="AI18" s="1069"/>
      <c r="AJ18" s="1014">
        <v>0</v>
      </c>
      <c r="AK18" s="1069"/>
      <c r="AL18" s="67">
        <f t="shared" ref="AL18:AM23" si="5">AF18+AH18+AJ18</f>
        <v>21</v>
      </c>
      <c r="AM18" s="67">
        <f t="shared" si="5"/>
        <v>0</v>
      </c>
      <c r="AN18" s="935">
        <v>0</v>
      </c>
      <c r="AO18" s="1069"/>
      <c r="AP18" s="935">
        <v>0</v>
      </c>
      <c r="AQ18" s="1069"/>
      <c r="AR18" s="935">
        <v>0</v>
      </c>
      <c r="AS18" s="1069"/>
      <c r="AT18" s="67">
        <f t="shared" ref="AT18:AU23" si="6">AN18+AP18+AR18</f>
        <v>0</v>
      </c>
      <c r="AU18" s="67">
        <f t="shared" si="6"/>
        <v>0</v>
      </c>
      <c r="AV18" s="237">
        <f t="shared" ref="AV18:AV23" si="7">V18+AD18+AL18+AT18</f>
        <v>51</v>
      </c>
      <c r="AW18" s="81">
        <f t="shared" ref="AW18:AW23" si="8">+W18</f>
        <v>0</v>
      </c>
      <c r="AX18" s="1053">
        <f t="shared" ref="AX18:AX23" si="9">+W18+AE18</f>
        <v>0</v>
      </c>
      <c r="AY18" s="1053">
        <f t="shared" ref="AY18:AY23" si="10">+W18+AE18+AM18</f>
        <v>0</v>
      </c>
      <c r="AZ18" s="1053">
        <f t="shared" ref="AZ18:AZ23" si="11">+W18+AE18+AM18+AU18</f>
        <v>0</v>
      </c>
      <c r="BA18" s="319">
        <f t="shared" ref="BA18:BA22" si="12">IF(AND(AW18&gt;0,AV18&gt;0),AW18/AV18,0)</f>
        <v>0</v>
      </c>
      <c r="BB18" s="319">
        <f t="shared" si="0"/>
        <v>0</v>
      </c>
      <c r="BC18" s="319">
        <f t="shared" si="0"/>
        <v>0</v>
      </c>
      <c r="BD18" s="319">
        <f t="shared" si="0"/>
        <v>0</v>
      </c>
      <c r="BE18" s="346">
        <f>(IF(AND(AW18&gt;0,$F18&gt;0),AW18/$F18,0))</f>
        <v>0</v>
      </c>
      <c r="BF18" s="1056">
        <f t="shared" ref="BF18" si="13">(IF(AND(AX18&gt;0,$F18&gt;0),AX18/$F18,0))</f>
        <v>0</v>
      </c>
      <c r="BG18" s="1056">
        <f t="shared" si="2"/>
        <v>0</v>
      </c>
      <c r="BH18" s="1056">
        <f t="shared" ref="BH18" si="14">(IF(AND(AZ18&gt;0,$F18&gt;0),AZ18/$F18,0))</f>
        <v>0</v>
      </c>
    </row>
    <row r="19" spans="2:60" ht="102" customHeight="1">
      <c r="B19" s="1617"/>
      <c r="C19" s="1643"/>
      <c r="D19" s="31" t="str">
        <f>+'01-FR-03 POA INSTITUCIONAL'!D43</f>
        <v>3.2.2 Asumir por competencia preferente el 100% de los procesos cuyos temas sean considerados de interés e impacto el Distrito Capital.</v>
      </c>
      <c r="E19" s="52">
        <f>+'01-FR-03 POA INSTITUCIONAL'!E43</f>
        <v>0.5</v>
      </c>
      <c r="F19" s="174">
        <f>+'01-FR-03 POA INSTITUCIONAL'!F43</f>
        <v>1</v>
      </c>
      <c r="G19" s="174">
        <f>+'01-FR-03 POA INSTITUCIONAL'!L43</f>
        <v>1</v>
      </c>
      <c r="H19" s="174">
        <f>+'01-FR-03 POA INSTITUCIONAL'!G43</f>
        <v>1</v>
      </c>
      <c r="I19" s="140" t="str">
        <f>+'01-FR-03 POA INSTITUCIONAL'!H43</f>
        <v>Procesos de interés e impacto asumidos por competencia</v>
      </c>
      <c r="J19" s="215" t="s">
        <v>665</v>
      </c>
      <c r="K19" s="443" t="s">
        <v>309</v>
      </c>
      <c r="L19" s="217" t="s">
        <v>314</v>
      </c>
      <c r="M19" s="217" t="s">
        <v>322</v>
      </c>
      <c r="N19" s="217" t="s">
        <v>312</v>
      </c>
      <c r="O19" s="82" t="str">
        <f>+'01-FR-03 POA INSTITUCIONAL'!J43</f>
        <v>Personería Delegada para la Coordinación de Potestad Disciplinaria</v>
      </c>
      <c r="P19" s="1009">
        <v>1</v>
      </c>
      <c r="Q19" s="999">
        <v>1</v>
      </c>
      <c r="R19" s="1009">
        <v>1</v>
      </c>
      <c r="S19" s="999">
        <v>1</v>
      </c>
      <c r="T19" s="1009">
        <v>1</v>
      </c>
      <c r="U19" s="1009">
        <v>1</v>
      </c>
      <c r="V19" s="89">
        <f>AVERAGE(P19,R19,T19)</f>
        <v>1</v>
      </c>
      <c r="W19" s="89">
        <f>IFERROR(AVERAGE(S19,U19),0)</f>
        <v>1</v>
      </c>
      <c r="X19" s="1009">
        <v>1</v>
      </c>
      <c r="Y19" s="1016">
        <v>0</v>
      </c>
      <c r="Z19" s="1009">
        <v>1</v>
      </c>
      <c r="AA19" s="1016">
        <v>0</v>
      </c>
      <c r="AB19" s="1009">
        <v>1</v>
      </c>
      <c r="AC19" s="1016">
        <v>0</v>
      </c>
      <c r="AD19" s="89">
        <f>AVERAGE(X19,Z19,AB19)</f>
        <v>1</v>
      </c>
      <c r="AE19" s="89">
        <f>IFERROR(AVERAGE(Y19,AA19,AC19),0)</f>
        <v>0</v>
      </c>
      <c r="AF19" s="1009">
        <v>1</v>
      </c>
      <c r="AG19" s="1016">
        <v>0</v>
      </c>
      <c r="AH19" s="1009">
        <v>1</v>
      </c>
      <c r="AI19" s="1016">
        <v>0</v>
      </c>
      <c r="AJ19" s="1009">
        <v>1</v>
      </c>
      <c r="AK19" s="1016">
        <v>0</v>
      </c>
      <c r="AL19" s="89">
        <f>AVERAGE(AF19,AH19,AJ19)</f>
        <v>1</v>
      </c>
      <c r="AM19" s="89">
        <f>IFERROR(AVERAGE(AG19,AI19,AK19),0)</f>
        <v>0</v>
      </c>
      <c r="AN19" s="1009">
        <v>1</v>
      </c>
      <c r="AO19" s="1016">
        <v>0</v>
      </c>
      <c r="AP19" s="1009">
        <v>1</v>
      </c>
      <c r="AQ19" s="1016">
        <v>0</v>
      </c>
      <c r="AR19" s="1009">
        <v>1</v>
      </c>
      <c r="AS19" s="1016">
        <v>0</v>
      </c>
      <c r="AT19" s="89">
        <f>AVERAGE(AN19,AP19,AR19)</f>
        <v>1</v>
      </c>
      <c r="AU19" s="89">
        <f>IFERROR(AVERAGE(AO19,AQ19,AS19),0)</f>
        <v>0</v>
      </c>
      <c r="AV19" s="89">
        <f>AVERAGE(X19,Z19,AB19,AF19,AH19,AJ19,AN19,AP19,AR19)</f>
        <v>1</v>
      </c>
      <c r="AW19" s="307">
        <f>IFERROR(IF(OR($AV$19="",$AV$19=0),0,ROUNDDOWN(AVERAGE($S19,$U19),3)),0)</f>
        <v>1</v>
      </c>
      <c r="AX19" s="1057">
        <f>IFERROR(IF(OR($AV$19="",$AV$19=0),0,ROUNDDOWN(AVERAGE($S19,$U19,$Y19,$AA19,$AC19),3)),0)</f>
        <v>0.4</v>
      </c>
      <c r="AY19" s="1057">
        <f>IFERROR(IF(OR($AV$19="",$AV$19=0),0,ROUNDDOWN(AVERAGE($S19,$U19,$Y19,$AA19,$AC19,$AG19,$AI19,$AK19),3)),0)</f>
        <v>0.25</v>
      </c>
      <c r="AZ19" s="1057">
        <f>IFERROR(IF(OR($AV$19="",$AV$19=0),0,ROUNDDOWN(AVERAGE($S19,$U19,$Y19,$AA19,$AC19,$AG19,$AI19,$AK19,$AO19,$AQ19,$AS19),3)),0)</f>
        <v>0.18099999999999999</v>
      </c>
      <c r="BA19" s="319">
        <f>IF(AND(AW19&gt;0,AV19&gt;0),AW19/AV19,0)*0.25</f>
        <v>0.25</v>
      </c>
      <c r="BB19" s="319">
        <f>IF(AND(AX19&gt;0,$AV19&gt;0),AX19/$AV19,0)*0.5</f>
        <v>0.2</v>
      </c>
      <c r="BC19" s="319">
        <f>IF(AND(AY19&gt;0,$AV19&gt;0),AY19/$AV19,0)*0.75</f>
        <v>0.1875</v>
      </c>
      <c r="BD19" s="319">
        <f>IF(AND(AZ19&gt;0,$AV19&gt;0),AZ19/$AV19,0)*1</f>
        <v>0.18099999999999999</v>
      </c>
      <c r="BE19" s="346">
        <f>((IF(AND(AW19&gt;0,$F19&gt;0),AW19/$F19,0))/4)*0.25</f>
        <v>6.25E-2</v>
      </c>
      <c r="BF19" s="1056">
        <f>((IF(AND(AX19&gt;0,$F19&gt;0),AX19/$F19,0))/4)*0.5</f>
        <v>0.05</v>
      </c>
      <c r="BG19" s="1056">
        <f>((IF(AND(AY19&gt;0,$F19&gt;0),AY19/$F19,0))/4)*0.75</f>
        <v>4.6875E-2</v>
      </c>
      <c r="BH19" s="1056">
        <f>((IF(AND(AZ19&gt;0,$F19&gt;0),AZ19/$F19,0))/4)</f>
        <v>4.5249999999999999E-2</v>
      </c>
    </row>
    <row r="20" spans="2:60" ht="161.4" customHeight="1">
      <c r="B20" s="1617"/>
      <c r="C20" s="31" t="str">
        <f>+'01-FR-03 POA INSTITUCIONAL'!C44</f>
        <v>3.3. Generar 8 escenarios que fortalezcan el conocimiento y las competencias del operador disciplinario, que apoya el cumplimiento de la labor misional, extendiendo el alcance a los jueces naturales en el Distrito Capital.</v>
      </c>
      <c r="D20" s="31" t="str">
        <f>+'01-FR-03 POA INSTITUCIONAL'!D44</f>
        <v>3.3.1 Generar 8 escenarios de intercambio de conocimiento con los(as) servidores(as) públicos(as) para fortalecer el conocimiento en la sustanciación de procesos disciplinarios en el Distrito Capital.</v>
      </c>
      <c r="E20" s="52">
        <f>+'01-FR-03 POA INSTITUCIONAL'!E44</f>
        <v>1</v>
      </c>
      <c r="F20" s="256">
        <f>+'01-FR-03 POA INSTITUCIONAL'!F44</f>
        <v>8</v>
      </c>
      <c r="G20" s="256">
        <f>+'01-FR-03 POA INSTITUCIONAL'!L44</f>
        <v>2</v>
      </c>
      <c r="H20" s="256">
        <f>+'01-FR-03 POA INSTITUCIONAL'!G44</f>
        <v>8</v>
      </c>
      <c r="I20" s="140" t="str">
        <f>+'01-FR-03 POA INSTITUCIONAL'!H44</f>
        <v>Escenarios de intercambio de conocimiento generados</v>
      </c>
      <c r="J20" s="215" t="s">
        <v>299</v>
      </c>
      <c r="K20" s="443" t="s">
        <v>310</v>
      </c>
      <c r="L20" s="217" t="s">
        <v>300</v>
      </c>
      <c r="M20" s="217" t="s">
        <v>322</v>
      </c>
      <c r="N20" s="217" t="s">
        <v>312</v>
      </c>
      <c r="O20" s="82" t="str">
        <f>+'01-FR-03 POA INSTITUCIONAL'!J44</f>
        <v>Personería Delegada para la Coordinación de Potestad Disciplinaria</v>
      </c>
      <c r="P20" s="935">
        <v>0</v>
      </c>
      <c r="Q20" s="935">
        <v>0</v>
      </c>
      <c r="R20" s="935">
        <v>0</v>
      </c>
      <c r="S20" s="935">
        <v>0</v>
      </c>
      <c r="T20" s="935">
        <v>0</v>
      </c>
      <c r="U20" s="935">
        <v>0</v>
      </c>
      <c r="V20" s="67">
        <f t="shared" si="3"/>
        <v>0</v>
      </c>
      <c r="W20" s="67">
        <f t="shared" si="3"/>
        <v>0</v>
      </c>
      <c r="X20" s="935">
        <v>0</v>
      </c>
      <c r="Y20" s="935"/>
      <c r="Z20" s="935">
        <v>0</v>
      </c>
      <c r="AA20" s="935"/>
      <c r="AB20" s="935">
        <v>0</v>
      </c>
      <c r="AC20" s="935"/>
      <c r="AD20" s="67">
        <f t="shared" si="4"/>
        <v>0</v>
      </c>
      <c r="AE20" s="67">
        <f t="shared" si="4"/>
        <v>0</v>
      </c>
      <c r="AF20" s="935">
        <v>0</v>
      </c>
      <c r="AG20" s="935"/>
      <c r="AH20" s="935">
        <v>1</v>
      </c>
      <c r="AI20" s="935"/>
      <c r="AJ20" s="1014">
        <v>0</v>
      </c>
      <c r="AK20" s="1014"/>
      <c r="AL20" s="67">
        <f t="shared" si="5"/>
        <v>1</v>
      </c>
      <c r="AM20" s="67">
        <f t="shared" si="5"/>
        <v>0</v>
      </c>
      <c r="AN20" s="935">
        <v>0</v>
      </c>
      <c r="AO20" s="935"/>
      <c r="AP20" s="935">
        <v>1</v>
      </c>
      <c r="AQ20" s="935"/>
      <c r="AR20" s="935">
        <v>0</v>
      </c>
      <c r="AS20" s="935"/>
      <c r="AT20" s="67">
        <f t="shared" si="6"/>
        <v>1</v>
      </c>
      <c r="AU20" s="67">
        <f t="shared" si="6"/>
        <v>0</v>
      </c>
      <c r="AV20" s="237">
        <f>V20+AD20+AL20+AT20</f>
        <v>2</v>
      </c>
      <c r="AW20" s="81">
        <f t="shared" si="8"/>
        <v>0</v>
      </c>
      <c r="AX20" s="1053">
        <f t="shared" si="9"/>
        <v>0</v>
      </c>
      <c r="AY20" s="1053">
        <f t="shared" si="10"/>
        <v>0</v>
      </c>
      <c r="AZ20" s="1053">
        <f t="shared" si="11"/>
        <v>0</v>
      </c>
      <c r="BA20" s="319">
        <f t="shared" si="12"/>
        <v>0</v>
      </c>
      <c r="BB20" s="319">
        <f t="shared" si="0"/>
        <v>0</v>
      </c>
      <c r="BC20" s="319">
        <f t="shared" si="0"/>
        <v>0</v>
      </c>
      <c r="BD20" s="319">
        <f t="shared" si="0"/>
        <v>0</v>
      </c>
      <c r="BE20" s="346">
        <f>(IF(AND(AW20&gt;0,$F20&gt;0),AW20/$F20,0))</f>
        <v>0</v>
      </c>
      <c r="BF20" s="1056">
        <f t="shared" ref="BF20:BF23" si="15">(IF(AND(AX20&gt;0,$F20&gt;0),AX20/$F20,0))</f>
        <v>0</v>
      </c>
      <c r="BG20" s="1056">
        <f t="shared" ref="BG20:BG23" si="16">(IF(AND(AY20&gt;0,$F20&gt;0),AY20/$F20,0))</f>
        <v>0</v>
      </c>
      <c r="BH20" s="1056">
        <f t="shared" ref="BH20:BH23" si="17">(IF(AND(AZ20&gt;0,$F20&gt;0),AZ20/$F20,0))</f>
        <v>0</v>
      </c>
    </row>
    <row r="21" spans="2:60" ht="90">
      <c r="B21" s="1617"/>
      <c r="C21" s="1616" t="str">
        <f>+'01-FR-03 POA INSTITUCIONAL'!C45</f>
        <v>3.4. Implementar al 100% tres soluciones informáticas propias para la ejecución y gestión de la Potestad Disciplinaria.</v>
      </c>
      <c r="D21" s="31" t="str">
        <f>+'01-FR-03 POA INSTITUCIONAL'!D45</f>
        <v>3.4.1 Implementar un sistema de comunicación efectiva y eficiente con las Oficinas de Control Interno del Distrito Capital.</v>
      </c>
      <c r="E21" s="52">
        <f>+'01-FR-03 POA INSTITUCIONAL'!E45</f>
        <v>0.2</v>
      </c>
      <c r="F21" s="256">
        <f>+'01-FR-03 POA INSTITUCIONAL'!F45</f>
        <v>1</v>
      </c>
      <c r="G21" s="257">
        <f>+'01-FR-03 POA INSTITUCIONAL'!L45</f>
        <v>0.5</v>
      </c>
      <c r="H21" s="256" t="str">
        <f>+'01-FR-03 POA INSTITUCIONAL'!G45</f>
        <v>S.I.</v>
      </c>
      <c r="I21" s="140" t="str">
        <f>+'01-FR-03 POA INSTITUCIONAL'!H45</f>
        <v xml:space="preserve">Sistema de Comunicación con las Oficinas de Control Interno Disciplinario implementado </v>
      </c>
      <c r="J21" s="215" t="s">
        <v>306</v>
      </c>
      <c r="K21" s="443" t="s">
        <v>311</v>
      </c>
      <c r="L21" s="217" t="s">
        <v>301</v>
      </c>
      <c r="M21" s="217" t="s">
        <v>322</v>
      </c>
      <c r="N21" s="217" t="s">
        <v>312</v>
      </c>
      <c r="O21" s="82" t="str">
        <f>+'01-FR-03 POA INSTITUCIONAL'!J45</f>
        <v>Personería Delegada para la Coordinación de Potestad Disciplinaria</v>
      </c>
      <c r="P21" s="1010">
        <v>0.05</v>
      </c>
      <c r="Q21" s="1010">
        <v>0.05</v>
      </c>
      <c r="R21" s="1010">
        <v>0.05</v>
      </c>
      <c r="S21" s="1010">
        <v>0.05</v>
      </c>
      <c r="T21" s="1010">
        <v>0.05</v>
      </c>
      <c r="U21" s="1010">
        <v>0.05</v>
      </c>
      <c r="V21" s="255">
        <f t="shared" si="3"/>
        <v>0.15000000000000002</v>
      </c>
      <c r="W21" s="255">
        <f t="shared" si="3"/>
        <v>0.15000000000000002</v>
      </c>
      <c r="X21" s="1010">
        <v>0.05</v>
      </c>
      <c r="Y21" s="1010"/>
      <c r="Z21" s="1010">
        <v>0.05</v>
      </c>
      <c r="AA21" s="1010"/>
      <c r="AB21" s="1010">
        <v>0.05</v>
      </c>
      <c r="AC21" s="1010"/>
      <c r="AD21" s="255">
        <f t="shared" si="4"/>
        <v>0.15000000000000002</v>
      </c>
      <c r="AE21" s="255">
        <f t="shared" si="4"/>
        <v>0</v>
      </c>
      <c r="AF21" s="1010">
        <v>0.05</v>
      </c>
      <c r="AG21" s="1010"/>
      <c r="AH21" s="1010">
        <v>0.05</v>
      </c>
      <c r="AI21" s="1010"/>
      <c r="AJ21" s="1010">
        <v>0.05</v>
      </c>
      <c r="AK21" s="1015"/>
      <c r="AL21" s="255">
        <f t="shared" si="5"/>
        <v>0.15000000000000002</v>
      </c>
      <c r="AM21" s="255">
        <f t="shared" si="5"/>
        <v>0</v>
      </c>
      <c r="AN21" s="1010">
        <v>0.05</v>
      </c>
      <c r="AO21" s="1010"/>
      <c r="AP21" s="1010">
        <v>0</v>
      </c>
      <c r="AQ21" s="1010"/>
      <c r="AR21" s="1010">
        <v>0</v>
      </c>
      <c r="AS21" s="1010"/>
      <c r="AT21" s="255">
        <f t="shared" si="6"/>
        <v>0.05</v>
      </c>
      <c r="AU21" s="255">
        <f t="shared" si="6"/>
        <v>0</v>
      </c>
      <c r="AV21" s="258">
        <f t="shared" si="7"/>
        <v>0.50000000000000011</v>
      </c>
      <c r="AW21" s="320">
        <f t="shared" si="8"/>
        <v>0.15000000000000002</v>
      </c>
      <c r="AX21" s="1052">
        <f t="shared" si="9"/>
        <v>0.15000000000000002</v>
      </c>
      <c r="AY21" s="1052">
        <f t="shared" si="10"/>
        <v>0.15000000000000002</v>
      </c>
      <c r="AZ21" s="1052">
        <f t="shared" si="11"/>
        <v>0.15000000000000002</v>
      </c>
      <c r="BA21" s="319">
        <f t="shared" si="12"/>
        <v>0.3</v>
      </c>
      <c r="BB21" s="319">
        <f t="shared" si="0"/>
        <v>0.3</v>
      </c>
      <c r="BC21" s="319">
        <f t="shared" si="0"/>
        <v>0.3</v>
      </c>
      <c r="BD21" s="319">
        <f t="shared" si="0"/>
        <v>0.3</v>
      </c>
      <c r="BE21" s="346">
        <f>(IF(AND(AW21&gt;0,$F21&gt;0),AW21/$F21,0))</f>
        <v>0.15000000000000002</v>
      </c>
      <c r="BF21" s="1056">
        <f t="shared" si="15"/>
        <v>0.15000000000000002</v>
      </c>
      <c r="BG21" s="1056">
        <f t="shared" si="16"/>
        <v>0.15000000000000002</v>
      </c>
      <c r="BH21" s="1056">
        <f t="shared" si="17"/>
        <v>0.15000000000000002</v>
      </c>
    </row>
    <row r="22" spans="2:60" ht="90">
      <c r="B22" s="1617"/>
      <c r="C22" s="1617"/>
      <c r="D22" s="31" t="str">
        <f>+'01-FR-03 POA INSTITUCIONAL'!D46</f>
        <v xml:space="preserve">3.4.2 Diseñar e implementar un sistema de información misional que generé el expediente electrónico  </v>
      </c>
      <c r="E22" s="52">
        <f>+'01-FR-03 POA INSTITUCIONAL'!E46</f>
        <v>0.7</v>
      </c>
      <c r="F22" s="256">
        <f>+'01-FR-03 POA INSTITUCIONAL'!F46</f>
        <v>1</v>
      </c>
      <c r="G22" s="257">
        <f>+'01-FR-03 POA INSTITUCIONAL'!L46</f>
        <v>0.4</v>
      </c>
      <c r="H22" s="256" t="str">
        <f>+'01-FR-03 POA INSTITUCIONAL'!G46</f>
        <v>S.I.</v>
      </c>
      <c r="I22" s="140" t="str">
        <f>+'01-FR-03 POA INSTITUCIONAL'!H46</f>
        <v xml:space="preserve">Sistema de información misional implementado </v>
      </c>
      <c r="J22" s="215" t="s">
        <v>307</v>
      </c>
      <c r="K22" s="443" t="s">
        <v>319</v>
      </c>
      <c r="L22" s="217" t="s">
        <v>301</v>
      </c>
      <c r="M22" s="217" t="s">
        <v>322</v>
      </c>
      <c r="N22" s="217" t="s">
        <v>312</v>
      </c>
      <c r="O22" s="82" t="str">
        <f>+'01-FR-03 POA INSTITUCIONAL'!J46</f>
        <v>Personería Delegada para la Coordinación de Potestad Disciplinaria</v>
      </c>
      <c r="P22" s="1011">
        <v>0</v>
      </c>
      <c r="Q22" s="1011">
        <v>0</v>
      </c>
      <c r="R22" s="1011">
        <v>0.02</v>
      </c>
      <c r="S22" s="1011">
        <v>0</v>
      </c>
      <c r="T22" s="1011">
        <v>0.03</v>
      </c>
      <c r="U22" s="1010">
        <v>0</v>
      </c>
      <c r="V22" s="255">
        <f t="shared" si="3"/>
        <v>0.05</v>
      </c>
      <c r="W22" s="255">
        <f t="shared" si="3"/>
        <v>0</v>
      </c>
      <c r="X22" s="1011">
        <v>0.03</v>
      </c>
      <c r="Y22" s="1010"/>
      <c r="Z22" s="1011">
        <v>0.03</v>
      </c>
      <c r="AA22" s="1010"/>
      <c r="AB22" s="1011">
        <v>0.05</v>
      </c>
      <c r="AC22" s="1010"/>
      <c r="AD22" s="255">
        <f t="shared" si="4"/>
        <v>0.11</v>
      </c>
      <c r="AE22" s="255">
        <f t="shared" si="4"/>
        <v>0</v>
      </c>
      <c r="AF22" s="1011">
        <v>0.05</v>
      </c>
      <c r="AG22" s="1010"/>
      <c r="AH22" s="1011">
        <v>0.05</v>
      </c>
      <c r="AI22" s="1010"/>
      <c r="AJ22" s="1011">
        <v>0.05</v>
      </c>
      <c r="AK22" s="1015"/>
      <c r="AL22" s="255">
        <f t="shared" si="5"/>
        <v>0.15000000000000002</v>
      </c>
      <c r="AM22" s="255">
        <f t="shared" si="5"/>
        <v>0</v>
      </c>
      <c r="AN22" s="1011">
        <v>0.05</v>
      </c>
      <c r="AO22" s="1010"/>
      <c r="AP22" s="1011">
        <v>0.04</v>
      </c>
      <c r="AQ22" s="1010"/>
      <c r="AR22" s="1010">
        <v>0</v>
      </c>
      <c r="AS22" s="1010"/>
      <c r="AT22" s="255">
        <f>AN22+AP22+AR22</f>
        <v>0.09</v>
      </c>
      <c r="AU22" s="255">
        <f t="shared" si="6"/>
        <v>0</v>
      </c>
      <c r="AV22" s="259">
        <f t="shared" si="7"/>
        <v>0.4</v>
      </c>
      <c r="AW22" s="320">
        <f t="shared" si="8"/>
        <v>0</v>
      </c>
      <c r="AX22" s="1052">
        <f t="shared" si="9"/>
        <v>0</v>
      </c>
      <c r="AY22" s="1052">
        <f t="shared" si="10"/>
        <v>0</v>
      </c>
      <c r="AZ22" s="1052">
        <f t="shared" si="11"/>
        <v>0</v>
      </c>
      <c r="BA22" s="319">
        <f t="shared" si="12"/>
        <v>0</v>
      </c>
      <c r="BB22" s="319">
        <f t="shared" si="0"/>
        <v>0</v>
      </c>
      <c r="BC22" s="319">
        <f t="shared" si="0"/>
        <v>0</v>
      </c>
      <c r="BD22" s="319">
        <f t="shared" si="0"/>
        <v>0</v>
      </c>
      <c r="BE22" s="346">
        <f>(IF(AND(AW22&gt;0,$F22&gt;0),AW22/$F22,0))</f>
        <v>0</v>
      </c>
      <c r="BF22" s="1056">
        <f t="shared" si="15"/>
        <v>0</v>
      </c>
      <c r="BG22" s="1056">
        <f t="shared" si="16"/>
        <v>0</v>
      </c>
      <c r="BH22" s="1056">
        <f t="shared" si="17"/>
        <v>0</v>
      </c>
    </row>
    <row r="23" spans="2:60" ht="90">
      <c r="B23" s="1617"/>
      <c r="C23" s="1643"/>
      <c r="D23" s="31" t="str">
        <f>+'01-FR-03 POA INSTITUCIONAL'!D47</f>
        <v xml:space="preserve">3.4.3 Diseñar e implementar una relatoría de las decisiones de fondo adoptadas en ejercicio de la potestad disciplinaria  </v>
      </c>
      <c r="E23" s="52">
        <f>+'01-FR-03 POA INSTITUCIONAL'!E47</f>
        <v>0.1</v>
      </c>
      <c r="F23" s="256">
        <f>+'01-FR-03 POA INSTITUCIONAL'!F47</f>
        <v>1</v>
      </c>
      <c r="G23" s="257">
        <f>+'01-FR-03 POA INSTITUCIONAL'!L47</f>
        <v>0.3</v>
      </c>
      <c r="H23" s="256" t="str">
        <f>+'01-FR-03 POA INSTITUCIONAL'!G47</f>
        <v>S.I.</v>
      </c>
      <c r="I23" s="140" t="str">
        <f>+'01-FR-03 POA INSTITUCIONAL'!H47</f>
        <v>Relatoría diseñada e implementada</v>
      </c>
      <c r="J23" s="215" t="s">
        <v>308</v>
      </c>
      <c r="K23" s="443" t="s">
        <v>320</v>
      </c>
      <c r="L23" s="217" t="s">
        <v>302</v>
      </c>
      <c r="M23" s="217" t="s">
        <v>322</v>
      </c>
      <c r="N23" s="217" t="s">
        <v>312</v>
      </c>
      <c r="O23" s="82" t="str">
        <f>+'01-FR-03 POA INSTITUCIONAL'!J47</f>
        <v>Personería Delegada para la Coordinación de Potestad Disciplinaria</v>
      </c>
      <c r="P23" s="1010">
        <v>0</v>
      </c>
      <c r="Q23" s="1010">
        <v>0</v>
      </c>
      <c r="R23" s="1011">
        <v>0.03</v>
      </c>
      <c r="S23" s="1010">
        <v>0.03</v>
      </c>
      <c r="T23" s="1011">
        <v>0.03</v>
      </c>
      <c r="U23" s="1010">
        <v>0.03</v>
      </c>
      <c r="V23" s="255">
        <f t="shared" si="3"/>
        <v>0.06</v>
      </c>
      <c r="W23" s="255">
        <f t="shared" si="3"/>
        <v>0.06</v>
      </c>
      <c r="X23" s="1011">
        <v>0.03</v>
      </c>
      <c r="Y23" s="1010"/>
      <c r="Z23" s="1011">
        <v>0.03</v>
      </c>
      <c r="AA23" s="1010"/>
      <c r="AB23" s="1011">
        <v>0.03</v>
      </c>
      <c r="AC23" s="1010"/>
      <c r="AD23" s="255">
        <f t="shared" si="4"/>
        <v>0.09</v>
      </c>
      <c r="AE23" s="255">
        <f t="shared" si="4"/>
        <v>0</v>
      </c>
      <c r="AF23" s="1011">
        <v>0.03</v>
      </c>
      <c r="AG23" s="1010"/>
      <c r="AH23" s="1011">
        <v>0.03</v>
      </c>
      <c r="AI23" s="1010"/>
      <c r="AJ23" s="1011">
        <v>0.03</v>
      </c>
      <c r="AK23" s="1015"/>
      <c r="AL23" s="255">
        <f t="shared" si="5"/>
        <v>0.09</v>
      </c>
      <c r="AM23" s="255">
        <f t="shared" si="5"/>
        <v>0</v>
      </c>
      <c r="AN23" s="1011">
        <v>0.03</v>
      </c>
      <c r="AO23" s="1010"/>
      <c r="AP23" s="1011">
        <v>0.03</v>
      </c>
      <c r="AQ23" s="1010"/>
      <c r="AR23" s="1011">
        <v>0</v>
      </c>
      <c r="AS23" s="1010"/>
      <c r="AT23" s="255">
        <f t="shared" si="6"/>
        <v>0.06</v>
      </c>
      <c r="AU23" s="255">
        <f t="shared" si="6"/>
        <v>0</v>
      </c>
      <c r="AV23" s="259">
        <f t="shared" si="7"/>
        <v>0.3</v>
      </c>
      <c r="AW23" s="320">
        <f t="shared" si="8"/>
        <v>0.06</v>
      </c>
      <c r="AX23" s="1052">
        <f t="shared" si="9"/>
        <v>0.06</v>
      </c>
      <c r="AY23" s="1052">
        <f t="shared" si="10"/>
        <v>0.06</v>
      </c>
      <c r="AZ23" s="1052">
        <f t="shared" si="11"/>
        <v>0.06</v>
      </c>
      <c r="BA23" s="319">
        <f>IF(AND(AW23&gt;0,AV23&gt;0),AW23/AV23,0)</f>
        <v>0.2</v>
      </c>
      <c r="BB23" s="319">
        <f t="shared" si="0"/>
        <v>0.2</v>
      </c>
      <c r="BC23" s="319">
        <f t="shared" si="0"/>
        <v>0.2</v>
      </c>
      <c r="BD23" s="319">
        <f t="shared" si="0"/>
        <v>0.2</v>
      </c>
      <c r="BE23" s="346">
        <f>(IF(AND(AW23&gt;0,$F23&gt;0),AW23/$F23,0))</f>
        <v>0.06</v>
      </c>
      <c r="BF23" s="1056">
        <f t="shared" si="15"/>
        <v>0.06</v>
      </c>
      <c r="BG23" s="1056">
        <f t="shared" si="16"/>
        <v>0.06</v>
      </c>
      <c r="BH23" s="1056">
        <f t="shared" si="17"/>
        <v>0.06</v>
      </c>
    </row>
    <row r="24" spans="2:60" ht="22.8">
      <c r="B24" s="1560"/>
      <c r="C24" s="1561"/>
      <c r="D24" s="1561"/>
      <c r="E24" s="1561"/>
      <c r="F24" s="1561"/>
      <c r="G24" s="1561"/>
      <c r="H24" s="1561"/>
      <c r="I24" s="1561"/>
      <c r="J24" s="1561"/>
      <c r="K24" s="1561"/>
      <c r="L24" s="1561"/>
      <c r="M24" s="1561"/>
      <c r="N24" s="1561"/>
      <c r="O24" s="1561"/>
      <c r="P24" s="1561"/>
      <c r="Q24" s="1561"/>
      <c r="R24" s="1561"/>
      <c r="S24" s="1561"/>
      <c r="T24" s="1561"/>
      <c r="U24" s="1561"/>
      <c r="V24" s="1561"/>
      <c r="W24" s="1561"/>
      <c r="X24" s="1561"/>
      <c r="Y24" s="1561"/>
      <c r="Z24" s="1561"/>
      <c r="AA24" s="1561"/>
      <c r="AB24" s="1561"/>
      <c r="AC24" s="1561"/>
      <c r="AD24" s="1561"/>
      <c r="AE24" s="1561"/>
      <c r="AF24" s="1561"/>
      <c r="AG24" s="1561"/>
      <c r="AH24" s="1561"/>
      <c r="AI24" s="1561"/>
      <c r="AJ24" s="1561"/>
      <c r="AK24" s="1561"/>
      <c r="AL24" s="1561"/>
      <c r="AM24" s="1561"/>
      <c r="AN24" s="1561"/>
      <c r="AO24" s="1561"/>
      <c r="AP24" s="1561"/>
      <c r="AQ24" s="1561"/>
      <c r="AR24" s="1561"/>
      <c r="AS24" s="1561"/>
      <c r="AT24" s="1561"/>
      <c r="AU24" s="1561"/>
      <c r="AV24" s="1561"/>
      <c r="AW24" s="1644"/>
      <c r="AX24" s="1614" t="s">
        <v>19</v>
      </c>
      <c r="AY24" s="1642"/>
      <c r="AZ24" s="1642"/>
      <c r="BA24" s="70">
        <f t="shared" ref="BA24:BD24" si="18">AVERAGE(BA16:BA23)</f>
        <v>0.14052083333333332</v>
      </c>
      <c r="BB24" s="70">
        <f t="shared" si="18"/>
        <v>0.13427083333333334</v>
      </c>
      <c r="BC24" s="70">
        <f t="shared" si="18"/>
        <v>0.13267708333333333</v>
      </c>
      <c r="BD24" s="70">
        <f t="shared" si="18"/>
        <v>0.13183333333333333</v>
      </c>
      <c r="BE24" s="1652"/>
      <c r="BF24" s="1653"/>
      <c r="BG24" s="1653"/>
      <c r="BH24" s="1654"/>
    </row>
    <row r="25" spans="2:60">
      <c r="B25" s="1553"/>
      <c r="C25" s="1553"/>
      <c r="D25" s="1553"/>
      <c r="E25" s="1553"/>
      <c r="F25" s="1553"/>
      <c r="G25" s="1553"/>
      <c r="H25" s="239"/>
      <c r="I25" s="240"/>
      <c r="J25" s="240"/>
      <c r="K25" s="240"/>
      <c r="L25" s="240"/>
      <c r="M25" s="240"/>
      <c r="N25" s="240"/>
      <c r="O25" s="240"/>
    </row>
    <row r="26" spans="2:60">
      <c r="B26" s="240"/>
      <c r="C26" s="240"/>
      <c r="D26" s="1624"/>
      <c r="E26" s="1624"/>
      <c r="F26" s="1624"/>
      <c r="G26" s="1624"/>
      <c r="H26" s="1624"/>
      <c r="I26" s="1624"/>
      <c r="J26" s="1624"/>
      <c r="K26" s="1624"/>
      <c r="L26" s="1624"/>
      <c r="M26" s="1624"/>
      <c r="N26" s="1624"/>
      <c r="O26" s="1624"/>
    </row>
    <row r="27" spans="2:60" ht="15.6" customHeight="1">
      <c r="B27" s="77" t="s">
        <v>26</v>
      </c>
      <c r="C27" s="241">
        <v>44224</v>
      </c>
      <c r="D27" s="242"/>
      <c r="E27" s="1625" t="s">
        <v>50</v>
      </c>
      <c r="F27" s="1701" t="s">
        <v>677</v>
      </c>
      <c r="G27" s="1702"/>
      <c r="H27" s="1702"/>
      <c r="I27" s="1702"/>
      <c r="J27" s="1703"/>
      <c r="K27" s="243"/>
      <c r="L27" s="1633"/>
      <c r="M27" s="1633"/>
      <c r="N27" s="1633"/>
      <c r="O27" s="1634"/>
    </row>
    <row r="28" spans="2:60" ht="33" customHeight="1">
      <c r="B28" s="240"/>
      <c r="C28" s="240"/>
      <c r="D28" s="243"/>
      <c r="E28" s="1625"/>
      <c r="F28" s="1704"/>
      <c r="G28" s="1705"/>
      <c r="H28" s="1705"/>
      <c r="I28" s="1705"/>
      <c r="J28" s="1706"/>
      <c r="K28" s="240"/>
      <c r="L28" s="240"/>
      <c r="M28" s="240"/>
      <c r="N28" s="240"/>
      <c r="O28" s="240"/>
    </row>
    <row r="29" spans="2:60" ht="15.6">
      <c r="B29" s="77" t="s">
        <v>49</v>
      </c>
      <c r="C29" s="80">
        <v>44581</v>
      </c>
      <c r="D29" s="240"/>
      <c r="E29" s="240"/>
      <c r="F29" s="240"/>
      <c r="K29" s="240"/>
      <c r="L29" s="240"/>
      <c r="M29" s="240"/>
      <c r="N29" s="240"/>
      <c r="O29" s="240"/>
    </row>
    <row r="30" spans="2:60">
      <c r="B30" s="240"/>
      <c r="C30" s="240"/>
      <c r="D30" s="240"/>
      <c r="E30" s="240"/>
      <c r="F30" s="240"/>
      <c r="K30" s="240"/>
      <c r="L30" s="240"/>
      <c r="M30" s="240"/>
      <c r="N30" s="240"/>
      <c r="O30" s="240"/>
    </row>
    <row r="31" spans="2:60">
      <c r="B31" s="606" t="s">
        <v>924</v>
      </c>
      <c r="C31" s="240"/>
      <c r="D31" s="240"/>
      <c r="E31" s="240"/>
      <c r="F31" s="240"/>
      <c r="G31" s="239"/>
      <c r="H31" s="239"/>
      <c r="I31" s="1632"/>
      <c r="J31" s="1632"/>
      <c r="K31" s="1632"/>
      <c r="L31" s="1632"/>
      <c r="M31" s="244"/>
      <c r="N31" s="244"/>
      <c r="O31" s="244"/>
    </row>
    <row r="32" spans="2:60">
      <c r="B32" s="240"/>
      <c r="C32" s="240"/>
      <c r="D32" s="240"/>
      <c r="E32" s="240"/>
      <c r="F32" s="240"/>
      <c r="G32" s="239"/>
      <c r="H32" s="239"/>
      <c r="I32" s="240"/>
      <c r="J32" s="240"/>
      <c r="K32" s="245"/>
      <c r="L32" s="240"/>
      <c r="M32" s="240"/>
      <c r="N32" s="240"/>
      <c r="O32" s="240"/>
    </row>
    <row r="33" spans="2:15">
      <c r="B33" s="240"/>
      <c r="C33" s="240"/>
      <c r="D33" s="240"/>
      <c r="E33" s="240"/>
      <c r="F33" s="240"/>
      <c r="G33" s="239"/>
      <c r="H33" s="239"/>
      <c r="I33" s="1632"/>
      <c r="J33" s="1632"/>
      <c r="K33" s="1632"/>
      <c r="L33" s="1632"/>
      <c r="M33" s="244"/>
      <c r="N33" s="244"/>
      <c r="O33" s="244"/>
    </row>
    <row r="34" spans="2:15">
      <c r="B34" s="240"/>
      <c r="C34" s="240"/>
      <c r="D34" s="240"/>
      <c r="E34" s="240"/>
      <c r="F34" s="240"/>
      <c r="G34" s="239"/>
      <c r="H34" s="239"/>
      <c r="I34" s="240"/>
      <c r="J34" s="240"/>
      <c r="K34" s="245"/>
      <c r="L34" s="240"/>
      <c r="M34" s="240"/>
      <c r="N34" s="240"/>
      <c r="O34" s="240"/>
    </row>
    <row r="35" spans="2:15">
      <c r="B35" s="240"/>
      <c r="C35" s="240"/>
      <c r="D35" s="240"/>
      <c r="E35" s="240"/>
      <c r="F35" s="240"/>
      <c r="G35" s="239"/>
      <c r="H35" s="239"/>
      <c r="I35" s="1632"/>
      <c r="J35" s="1632"/>
      <c r="K35" s="1632"/>
      <c r="L35" s="1632"/>
      <c r="M35" s="244"/>
      <c r="N35" s="244"/>
      <c r="O35" s="244"/>
    </row>
  </sheetData>
  <sheetProtection algorithmName="SHA-512" hashValue="nwJfWiI9UdF+7bgYc1DiPDSGO2OPew18nXWKx2X5w2mPJDP1MTOdx4Gs74XIhUilR7FGlBadlIFXR4vt2uD8aw==" saltValue="LS6Q5kSwpicsbjyjbCc8Uw==" spinCount="100000" sheet="1" objects="1" scenarios="1"/>
  <mergeCells count="73">
    <mergeCell ref="BE24:BH24"/>
    <mergeCell ref="I12:I15"/>
    <mergeCell ref="J12:J15"/>
    <mergeCell ref="K12:K15"/>
    <mergeCell ref="L12:L15"/>
    <mergeCell ref="AV12:AV15"/>
    <mergeCell ref="AW12:AZ12"/>
    <mergeCell ref="BA12:BD12"/>
    <mergeCell ref="BB13:BB15"/>
    <mergeCell ref="AX24:AZ24"/>
    <mergeCell ref="C9:D9"/>
    <mergeCell ref="C10:D10"/>
    <mergeCell ref="F12:F15"/>
    <mergeCell ref="B12:B15"/>
    <mergeCell ref="C12:C15"/>
    <mergeCell ref="D12:D15"/>
    <mergeCell ref="B2:B6"/>
    <mergeCell ref="C2:BF6"/>
    <mergeCell ref="AZ13:AZ15"/>
    <mergeCell ref="BA13:BA15"/>
    <mergeCell ref="P12:AU12"/>
    <mergeCell ref="BD13:BD15"/>
    <mergeCell ref="AB14:AC14"/>
    <mergeCell ref="AP14:AQ14"/>
    <mergeCell ref="AR14:AS14"/>
    <mergeCell ref="AT14:AU14"/>
    <mergeCell ref="AF14:AG14"/>
    <mergeCell ref="AH14:AI14"/>
    <mergeCell ref="AJ14:AK14"/>
    <mergeCell ref="AL14:AM14"/>
    <mergeCell ref="AN14:AO14"/>
    <mergeCell ref="BC13:BC15"/>
    <mergeCell ref="BG6:BH6"/>
    <mergeCell ref="AW7:BA7"/>
    <mergeCell ref="C8:D8"/>
    <mergeCell ref="BE13:BE15"/>
    <mergeCell ref="BF13:BF15"/>
    <mergeCell ref="BG13:BG15"/>
    <mergeCell ref="BH13:BH15"/>
    <mergeCell ref="M12:M15"/>
    <mergeCell ref="BE12:BH12"/>
    <mergeCell ref="P13:W13"/>
    <mergeCell ref="X13:AE13"/>
    <mergeCell ref="AF13:AM13"/>
    <mergeCell ref="AN13:AU13"/>
    <mergeCell ref="AW13:AW15"/>
    <mergeCell ref="AX13:AX15"/>
    <mergeCell ref="AY13:AY15"/>
    <mergeCell ref="B16:B23"/>
    <mergeCell ref="C16:C17"/>
    <mergeCell ref="C18:C19"/>
    <mergeCell ref="C21:C23"/>
    <mergeCell ref="AD14:AE14"/>
    <mergeCell ref="N12:N15"/>
    <mergeCell ref="O12:O15"/>
    <mergeCell ref="H12:H15"/>
    <mergeCell ref="Z14:AA14"/>
    <mergeCell ref="P14:Q14"/>
    <mergeCell ref="R14:S14"/>
    <mergeCell ref="T14:U14"/>
    <mergeCell ref="V14:W14"/>
    <mergeCell ref="X14:Y14"/>
    <mergeCell ref="G12:G15"/>
    <mergeCell ref="E12:E15"/>
    <mergeCell ref="I33:L33"/>
    <mergeCell ref="I35:L35"/>
    <mergeCell ref="B25:G25"/>
    <mergeCell ref="B24:AW24"/>
    <mergeCell ref="D26:O26"/>
    <mergeCell ref="E27:E28"/>
    <mergeCell ref="L27:O27"/>
    <mergeCell ref="F27:J28"/>
    <mergeCell ref="I31:L31"/>
  </mergeCells>
  <conditionalFormatting sqref="BA16:BD23">
    <cfRule type="cellIs" dxfId="42" priority="1" operator="greaterThan">
      <formula>1</formula>
    </cfRule>
    <cfRule type="cellIs" dxfId="41" priority="2" operator="between">
      <formula>0.8</formula>
      <formula>1</formula>
    </cfRule>
    <cfRule type="cellIs" dxfId="40" priority="3" operator="between">
      <formula>0.61</formula>
      <formula>0.79</formula>
    </cfRule>
    <cfRule type="cellIs" dxfId="39" priority="4" operator="between">
      <formula>0</formula>
      <formula>0.6</formula>
    </cfRule>
  </conditionalFormatting>
  <dataValidations count="1">
    <dataValidation allowBlank="1" showInputMessage="1" showErrorMessage="1" prompt="Transcriba de manera exacta el objetivo definido en la caracterización del proceso." sqref="C9:D9" xr:uid="{73F29265-57C3-4DC5-8A05-4C641A2234CF}"/>
  </dataValidations>
  <pageMargins left="0.7" right="0.7" top="0.75" bottom="0.75" header="0.3" footer="0.3"/>
  <pageSetup orientation="portrait" r:id="rId1"/>
  <ignoredErrors>
    <ignoredError sqref="W17" formula="1"/>
  </ignoredError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5AAE4-7E4A-431D-B032-6E7EB61E01B3}">
  <sheetPr>
    <tabColor rgb="FF66FF33"/>
  </sheetPr>
  <dimension ref="B1:BH35"/>
  <sheetViews>
    <sheetView showGridLines="0" zoomScale="50" zoomScaleNormal="50" workbookViewId="0">
      <selection activeCell="C10" sqref="C10:D10"/>
    </sheetView>
  </sheetViews>
  <sheetFormatPr baseColWidth="10" defaultColWidth="17.33203125" defaultRowHeight="15"/>
  <cols>
    <col min="1" max="1" width="4.33203125" style="260" customWidth="1"/>
    <col min="2" max="2" width="50.44140625" style="260" customWidth="1"/>
    <col min="3" max="3" width="31.44140625" style="260" customWidth="1"/>
    <col min="4" max="4" width="49.6640625" style="260" customWidth="1"/>
    <col min="5" max="6" width="27.5546875" style="260" customWidth="1"/>
    <col min="7" max="8" width="29.33203125" style="261" customWidth="1"/>
    <col min="9" max="9" width="36.33203125" style="260" customWidth="1"/>
    <col min="10" max="10" width="31.88671875" style="260" customWidth="1"/>
    <col min="11" max="11" width="63.88671875" style="260" customWidth="1"/>
    <col min="12" max="12" width="48.44140625" style="260" customWidth="1"/>
    <col min="13" max="14" width="28.5546875" style="260" customWidth="1"/>
    <col min="15" max="15" width="50" style="260" customWidth="1"/>
    <col min="16" max="47" width="15.88671875" style="260" customWidth="1"/>
    <col min="48" max="48" width="24.5546875" style="260" customWidth="1"/>
    <col min="49" max="49" width="22.88671875" style="260" customWidth="1"/>
    <col min="50" max="50" width="19.33203125" style="260" customWidth="1"/>
    <col min="51" max="51" width="18.44140625" style="260" customWidth="1"/>
    <col min="52" max="52" width="19.44140625" style="260" customWidth="1"/>
    <col min="53" max="53" width="23.33203125" style="260" customWidth="1"/>
    <col min="54" max="55" width="25.109375" style="260" customWidth="1"/>
    <col min="56" max="56" width="26.6640625" style="260" customWidth="1"/>
    <col min="57" max="57" width="26.33203125" style="260" customWidth="1"/>
    <col min="58" max="58" width="26.5546875" style="260" customWidth="1"/>
    <col min="59" max="59" width="26.33203125" style="260" customWidth="1"/>
    <col min="60" max="60" width="27.33203125" style="260" customWidth="1"/>
    <col min="61" max="16384" width="17.33203125" style="260"/>
  </cols>
  <sheetData>
    <row r="1" spans="2:60" ht="15.6" thickBot="1"/>
    <row r="2" spans="2:60" ht="15.6" customHeight="1">
      <c r="B2" s="1575" t="s">
        <v>686</v>
      </c>
      <c r="C2" s="1600" t="s">
        <v>118</v>
      </c>
      <c r="D2" s="1601"/>
      <c r="E2" s="1601"/>
      <c r="F2" s="1601"/>
      <c r="G2" s="1601"/>
      <c r="H2" s="1601"/>
      <c r="I2" s="1601"/>
      <c r="J2" s="1601"/>
      <c r="K2" s="1601"/>
      <c r="L2" s="1601"/>
      <c r="M2" s="1601"/>
      <c r="N2" s="1601"/>
      <c r="O2" s="1601"/>
      <c r="P2" s="1601"/>
      <c r="Q2" s="1601"/>
      <c r="R2" s="1601"/>
      <c r="S2" s="1601"/>
      <c r="T2" s="1601"/>
      <c r="U2" s="1601"/>
      <c r="V2" s="1601"/>
      <c r="W2" s="1601"/>
      <c r="X2" s="1601"/>
      <c r="Y2" s="1601"/>
      <c r="Z2" s="1601"/>
      <c r="AA2" s="1601"/>
      <c r="AB2" s="1601"/>
      <c r="AC2" s="1601"/>
      <c r="AD2" s="1601"/>
      <c r="AE2" s="1601"/>
      <c r="AF2" s="1601"/>
      <c r="AG2" s="1601"/>
      <c r="AH2" s="1601"/>
      <c r="AI2" s="1601"/>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2"/>
      <c r="BG2" s="262" t="s">
        <v>404</v>
      </c>
      <c r="BH2" s="263"/>
    </row>
    <row r="3" spans="2:60" ht="15.6" customHeight="1">
      <c r="B3" s="1576"/>
      <c r="C3" s="1603"/>
      <c r="D3" s="1604"/>
      <c r="E3" s="1604"/>
      <c r="F3" s="1604"/>
      <c r="G3" s="1604"/>
      <c r="H3" s="1604"/>
      <c r="I3" s="1604"/>
      <c r="J3" s="1604"/>
      <c r="K3" s="1604"/>
      <c r="L3" s="1604"/>
      <c r="M3" s="1604"/>
      <c r="N3" s="1604"/>
      <c r="O3" s="1604"/>
      <c r="P3" s="1604"/>
      <c r="Q3" s="1604"/>
      <c r="R3" s="1604"/>
      <c r="S3" s="1604"/>
      <c r="T3" s="1604"/>
      <c r="U3" s="1604"/>
      <c r="V3" s="1604"/>
      <c r="W3" s="1604"/>
      <c r="X3" s="1604"/>
      <c r="Y3" s="1604"/>
      <c r="Z3" s="1604"/>
      <c r="AA3" s="1604"/>
      <c r="AB3" s="1604"/>
      <c r="AC3" s="1604"/>
      <c r="AD3" s="1604"/>
      <c r="AE3" s="1604"/>
      <c r="AF3" s="1604"/>
      <c r="AG3" s="1604"/>
      <c r="AH3" s="1604"/>
      <c r="AI3" s="1604"/>
      <c r="AJ3" s="1604"/>
      <c r="AK3" s="1604"/>
      <c r="AL3" s="1604"/>
      <c r="AM3" s="1604"/>
      <c r="AN3" s="1604"/>
      <c r="AO3" s="1604"/>
      <c r="AP3" s="1604"/>
      <c r="AQ3" s="1604"/>
      <c r="AR3" s="1604"/>
      <c r="AS3" s="1604"/>
      <c r="AT3" s="1604"/>
      <c r="AU3" s="1604"/>
      <c r="AV3" s="1604"/>
      <c r="AW3" s="1604"/>
      <c r="AX3" s="1604"/>
      <c r="AY3" s="1604"/>
      <c r="AZ3" s="1604"/>
      <c r="BA3" s="1604"/>
      <c r="BB3" s="1604"/>
      <c r="BC3" s="1604"/>
      <c r="BD3" s="1604"/>
      <c r="BE3" s="1604"/>
      <c r="BF3" s="1605"/>
      <c r="BG3" s="264" t="s">
        <v>28</v>
      </c>
      <c r="BH3" s="265" t="s">
        <v>29</v>
      </c>
    </row>
    <row r="4" spans="2:60" ht="15" customHeight="1">
      <c r="B4" s="1576"/>
      <c r="C4" s="1603"/>
      <c r="D4" s="1604"/>
      <c r="E4" s="1604"/>
      <c r="F4" s="1604"/>
      <c r="G4" s="1604"/>
      <c r="H4" s="1604"/>
      <c r="I4" s="1604"/>
      <c r="J4" s="1604"/>
      <c r="K4" s="1604"/>
      <c r="L4" s="1604"/>
      <c r="M4" s="1604"/>
      <c r="N4" s="1604"/>
      <c r="O4" s="1604"/>
      <c r="P4" s="1604"/>
      <c r="Q4" s="1604"/>
      <c r="R4" s="1604"/>
      <c r="S4" s="1604"/>
      <c r="T4" s="1604"/>
      <c r="U4" s="1604"/>
      <c r="V4" s="1604"/>
      <c r="W4" s="1604"/>
      <c r="X4" s="1604"/>
      <c r="Y4" s="1604"/>
      <c r="Z4" s="1604"/>
      <c r="AA4" s="1604"/>
      <c r="AB4" s="1604"/>
      <c r="AC4" s="1604"/>
      <c r="AD4" s="1604"/>
      <c r="AE4" s="1604"/>
      <c r="AF4" s="1604"/>
      <c r="AG4" s="1604"/>
      <c r="AH4" s="1604"/>
      <c r="AI4" s="1604"/>
      <c r="AJ4" s="1604"/>
      <c r="AK4" s="1604"/>
      <c r="AL4" s="1604"/>
      <c r="AM4" s="1604"/>
      <c r="AN4" s="1604"/>
      <c r="AO4" s="1604"/>
      <c r="AP4" s="1604"/>
      <c r="AQ4" s="1604"/>
      <c r="AR4" s="1604"/>
      <c r="AS4" s="1604"/>
      <c r="AT4" s="1604"/>
      <c r="AU4" s="1604"/>
      <c r="AV4" s="1604"/>
      <c r="AW4" s="1604"/>
      <c r="AX4" s="1604"/>
      <c r="AY4" s="1604"/>
      <c r="AZ4" s="1604"/>
      <c r="BA4" s="1604"/>
      <c r="BB4" s="1604"/>
      <c r="BC4" s="1604"/>
      <c r="BD4" s="1604"/>
      <c r="BE4" s="1604"/>
      <c r="BF4" s="1605"/>
      <c r="BG4" s="210">
        <v>5</v>
      </c>
      <c r="BH4" s="30" t="s">
        <v>657</v>
      </c>
    </row>
    <row r="5" spans="2:60" ht="15.6" customHeight="1">
      <c r="B5" s="1576"/>
      <c r="C5" s="1603"/>
      <c r="D5" s="1604"/>
      <c r="E5" s="1604"/>
      <c r="F5" s="1604"/>
      <c r="G5" s="1604"/>
      <c r="H5" s="1604"/>
      <c r="I5" s="1604"/>
      <c r="J5" s="1604"/>
      <c r="K5" s="1604"/>
      <c r="L5" s="1604"/>
      <c r="M5" s="1604"/>
      <c r="N5" s="1604"/>
      <c r="O5" s="1604"/>
      <c r="P5" s="1604"/>
      <c r="Q5" s="1604"/>
      <c r="R5" s="1604"/>
      <c r="S5" s="1604"/>
      <c r="T5" s="1604"/>
      <c r="U5" s="1604"/>
      <c r="V5" s="1604"/>
      <c r="W5" s="1604"/>
      <c r="X5" s="1604"/>
      <c r="Y5" s="1604"/>
      <c r="Z5" s="1604"/>
      <c r="AA5" s="1604"/>
      <c r="AB5" s="1604"/>
      <c r="AC5" s="1604"/>
      <c r="AD5" s="1604"/>
      <c r="AE5" s="1604"/>
      <c r="AF5" s="1604"/>
      <c r="AG5" s="1604"/>
      <c r="AH5" s="1604"/>
      <c r="AI5" s="1604"/>
      <c r="AJ5" s="1604"/>
      <c r="AK5" s="1604"/>
      <c r="AL5" s="1604"/>
      <c r="AM5" s="1604"/>
      <c r="AN5" s="1604"/>
      <c r="AO5" s="1604"/>
      <c r="AP5" s="1604"/>
      <c r="AQ5" s="1604"/>
      <c r="AR5" s="1604"/>
      <c r="AS5" s="1604"/>
      <c r="AT5" s="1604"/>
      <c r="AU5" s="1604"/>
      <c r="AV5" s="1604"/>
      <c r="AW5" s="1604"/>
      <c r="AX5" s="1604"/>
      <c r="AY5" s="1604"/>
      <c r="AZ5" s="1604"/>
      <c r="BA5" s="1604"/>
      <c r="BB5" s="1604"/>
      <c r="BC5" s="1604"/>
      <c r="BD5" s="1604"/>
      <c r="BE5" s="1604"/>
      <c r="BF5" s="1605"/>
      <c r="BG5" s="211" t="s">
        <v>30</v>
      </c>
      <c r="BH5" s="212"/>
    </row>
    <row r="6" spans="2:60" ht="15.6" customHeight="1" thickBot="1">
      <c r="B6" s="1577"/>
      <c r="C6" s="1606"/>
      <c r="D6" s="1607"/>
      <c r="E6" s="1607"/>
      <c r="F6" s="1607"/>
      <c r="G6" s="1607"/>
      <c r="H6" s="1607"/>
      <c r="I6" s="1607"/>
      <c r="J6" s="1607"/>
      <c r="K6" s="1607"/>
      <c r="L6" s="1607"/>
      <c r="M6" s="1607"/>
      <c r="N6" s="1607"/>
      <c r="O6" s="1607"/>
      <c r="P6" s="1607"/>
      <c r="Q6" s="1607"/>
      <c r="R6" s="1607"/>
      <c r="S6" s="1607"/>
      <c r="T6" s="1607"/>
      <c r="U6" s="1607"/>
      <c r="V6" s="1607"/>
      <c r="W6" s="1607"/>
      <c r="X6" s="1607"/>
      <c r="Y6" s="1607"/>
      <c r="Z6" s="1607"/>
      <c r="AA6" s="1607"/>
      <c r="AB6" s="1607"/>
      <c r="AC6" s="1607"/>
      <c r="AD6" s="1607"/>
      <c r="AE6" s="1607"/>
      <c r="AF6" s="1607"/>
      <c r="AG6" s="1607"/>
      <c r="AH6" s="1607"/>
      <c r="AI6" s="1607"/>
      <c r="AJ6" s="1607"/>
      <c r="AK6" s="1607"/>
      <c r="AL6" s="1607"/>
      <c r="AM6" s="1607"/>
      <c r="AN6" s="1607"/>
      <c r="AO6" s="1607"/>
      <c r="AP6" s="1607"/>
      <c r="AQ6" s="1607"/>
      <c r="AR6" s="1607"/>
      <c r="AS6" s="1607"/>
      <c r="AT6" s="1607"/>
      <c r="AU6" s="1607"/>
      <c r="AV6" s="1607"/>
      <c r="AW6" s="1607"/>
      <c r="AX6" s="1607"/>
      <c r="AY6" s="1607"/>
      <c r="AZ6" s="1607"/>
      <c r="BA6" s="1607"/>
      <c r="BB6" s="1607"/>
      <c r="BC6" s="1607"/>
      <c r="BD6" s="1607"/>
      <c r="BE6" s="1607"/>
      <c r="BF6" s="1608"/>
      <c r="BG6" s="1566">
        <v>44306</v>
      </c>
      <c r="BH6" s="1567"/>
    </row>
    <row r="7" spans="2:60">
      <c r="B7" s="214"/>
      <c r="C7" s="214"/>
      <c r="D7" s="214"/>
      <c r="E7" s="214"/>
      <c r="F7" s="214"/>
      <c r="G7" s="266"/>
      <c r="H7" s="266"/>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4"/>
      <c r="AK7" s="214"/>
      <c r="AL7" s="214"/>
      <c r="AM7" s="214"/>
      <c r="AN7" s="214"/>
      <c r="AO7" s="214"/>
      <c r="AP7" s="214"/>
      <c r="AQ7" s="214"/>
      <c r="AR7" s="214"/>
      <c r="AS7" s="214"/>
      <c r="AT7" s="214"/>
      <c r="AU7" s="214"/>
      <c r="AV7" s="214"/>
      <c r="AW7" s="1589"/>
      <c r="AX7" s="1633"/>
      <c r="AY7" s="1633"/>
      <c r="AZ7" s="1633"/>
      <c r="BA7" s="1591"/>
      <c r="BB7" s="232"/>
      <c r="BC7" s="232"/>
      <c r="BD7" s="232"/>
      <c r="BE7" s="214"/>
      <c r="BF7" s="214"/>
    </row>
    <row r="8" spans="2:60" ht="15.6">
      <c r="B8" s="267" t="s">
        <v>45</v>
      </c>
      <c r="C8" s="1733" t="s">
        <v>91</v>
      </c>
      <c r="D8" s="1733"/>
      <c r="E8" s="214"/>
      <c r="F8" s="214"/>
      <c r="G8" s="214"/>
      <c r="H8" s="214"/>
      <c r="I8" s="214"/>
      <c r="J8" s="214"/>
      <c r="K8" s="214"/>
      <c r="L8" s="214"/>
      <c r="M8" s="214"/>
      <c r="N8" s="214"/>
      <c r="O8" s="214"/>
      <c r="AW8" s="232"/>
      <c r="AX8" s="232"/>
      <c r="AY8" s="232"/>
      <c r="AZ8" s="232"/>
      <c r="BA8" s="232"/>
      <c r="BB8" s="232"/>
      <c r="BC8" s="232"/>
      <c r="BD8" s="232"/>
    </row>
    <row r="9" spans="2:60" ht="95.25" customHeight="1">
      <c r="B9" s="267" t="s">
        <v>34</v>
      </c>
      <c r="C9" s="1732" t="s">
        <v>428</v>
      </c>
      <c r="D9" s="1611"/>
      <c r="E9" s="214"/>
      <c r="F9" s="214"/>
      <c r="G9" s="214"/>
      <c r="H9" s="214"/>
      <c r="I9" s="214"/>
      <c r="J9" s="214"/>
      <c r="K9" s="214"/>
      <c r="L9" s="214"/>
      <c r="M9" s="214"/>
      <c r="N9" s="214"/>
      <c r="O9" s="214"/>
      <c r="AW9" s="232"/>
      <c r="AX9" s="232"/>
      <c r="AY9" s="232"/>
      <c r="AZ9" s="232"/>
      <c r="BA9" s="232"/>
      <c r="BB9" s="232"/>
      <c r="BC9" s="232"/>
      <c r="BD9" s="232"/>
    </row>
    <row r="10" spans="2:60" ht="15.6">
      <c r="B10" s="267" t="s">
        <v>101</v>
      </c>
      <c r="C10" s="1724">
        <v>2022</v>
      </c>
      <c r="D10" s="1725"/>
      <c r="E10" s="214"/>
      <c r="F10" s="214"/>
      <c r="G10" s="214"/>
      <c r="H10" s="214"/>
      <c r="I10" s="214"/>
      <c r="J10" s="214"/>
      <c r="K10" s="214"/>
      <c r="L10" s="214"/>
      <c r="M10" s="214"/>
      <c r="N10" s="214"/>
      <c r="O10" s="214"/>
      <c r="AW10" s="232"/>
      <c r="AX10" s="232"/>
      <c r="AY10" s="232"/>
      <c r="AZ10" s="232"/>
      <c r="BA10" s="232"/>
      <c r="BB10" s="232"/>
      <c r="BC10" s="232"/>
      <c r="BD10" s="232"/>
    </row>
    <row r="11" spans="2:60">
      <c r="B11" s="214"/>
      <c r="C11" s="214"/>
      <c r="D11" s="214"/>
      <c r="E11" s="214"/>
      <c r="F11" s="214"/>
      <c r="G11" s="266"/>
      <c r="H11" s="266"/>
      <c r="I11" s="214"/>
      <c r="J11" s="214"/>
      <c r="K11" s="214"/>
      <c r="L11" s="214"/>
      <c r="M11" s="214"/>
      <c r="N11" s="214"/>
      <c r="O11" s="214"/>
      <c r="AW11" s="232"/>
      <c r="AX11" s="232"/>
      <c r="AY11" s="232"/>
      <c r="AZ11" s="232"/>
      <c r="BA11" s="232"/>
      <c r="BB11" s="232"/>
      <c r="BC11" s="232"/>
      <c r="BD11" s="232"/>
    </row>
    <row r="12" spans="2:60" ht="31.95" customHeight="1">
      <c r="B12" s="1476" t="s">
        <v>0</v>
      </c>
      <c r="C12" s="1476" t="s">
        <v>52</v>
      </c>
      <c r="D12" s="1476" t="s">
        <v>53</v>
      </c>
      <c r="E12" s="1476" t="s">
        <v>61</v>
      </c>
      <c r="F12" s="1302" t="s">
        <v>682</v>
      </c>
      <c r="G12" s="1476" t="s">
        <v>58</v>
      </c>
      <c r="H12" s="1476" t="s">
        <v>25</v>
      </c>
      <c r="I12" s="1476" t="s">
        <v>60</v>
      </c>
      <c r="J12" s="1476" t="s">
        <v>39</v>
      </c>
      <c r="K12" s="1476" t="s">
        <v>36</v>
      </c>
      <c r="L12" s="1476" t="s">
        <v>20</v>
      </c>
      <c r="M12" s="1476" t="s">
        <v>51</v>
      </c>
      <c r="N12" s="1476" t="s">
        <v>40</v>
      </c>
      <c r="O12" s="1476" t="s">
        <v>42</v>
      </c>
      <c r="P12" s="1712" t="s">
        <v>112</v>
      </c>
      <c r="Q12" s="1712"/>
      <c r="R12" s="1712"/>
      <c r="S12" s="1712"/>
      <c r="T12" s="1712"/>
      <c r="U12" s="1712"/>
      <c r="V12" s="1712"/>
      <c r="W12" s="1712"/>
      <c r="X12" s="1712"/>
      <c r="Y12" s="1712"/>
      <c r="Z12" s="1712"/>
      <c r="AA12" s="1712"/>
      <c r="AB12" s="1712"/>
      <c r="AC12" s="1712"/>
      <c r="AD12" s="1712"/>
      <c r="AE12" s="1712"/>
      <c r="AF12" s="1712"/>
      <c r="AG12" s="1712"/>
      <c r="AH12" s="1712"/>
      <c r="AI12" s="1712"/>
      <c r="AJ12" s="1712"/>
      <c r="AK12" s="1712"/>
      <c r="AL12" s="1712"/>
      <c r="AM12" s="1712"/>
      <c r="AN12" s="1712"/>
      <c r="AO12" s="1712"/>
      <c r="AP12" s="1712"/>
      <c r="AQ12" s="1712"/>
      <c r="AR12" s="1712"/>
      <c r="AS12" s="1712"/>
      <c r="AT12" s="1712"/>
      <c r="AU12" s="1712"/>
      <c r="AV12" s="1719" t="s">
        <v>62</v>
      </c>
      <c r="AW12" s="1594" t="s">
        <v>683</v>
      </c>
      <c r="AX12" s="1595"/>
      <c r="AY12" s="1595"/>
      <c r="AZ12" s="1596"/>
      <c r="BA12" s="1583" t="s">
        <v>684</v>
      </c>
      <c r="BB12" s="1584"/>
      <c r="BC12" s="1584"/>
      <c r="BD12" s="1585"/>
      <c r="BE12" s="1618" t="s">
        <v>685</v>
      </c>
      <c r="BF12" s="1619"/>
      <c r="BG12" s="1619"/>
      <c r="BH12" s="1620"/>
    </row>
    <row r="13" spans="2:60" ht="15.6">
      <c r="B13" s="1476"/>
      <c r="C13" s="1476"/>
      <c r="D13" s="1476"/>
      <c r="E13" s="1476"/>
      <c r="F13" s="1302"/>
      <c r="G13" s="1476"/>
      <c r="H13" s="1476"/>
      <c r="I13" s="1476"/>
      <c r="J13" s="1476"/>
      <c r="K13" s="1476"/>
      <c r="L13" s="1476"/>
      <c r="M13" s="1476"/>
      <c r="N13" s="1476"/>
      <c r="O13" s="1476"/>
      <c r="P13" s="1625" t="s">
        <v>21</v>
      </c>
      <c r="Q13" s="1625"/>
      <c r="R13" s="1625"/>
      <c r="S13" s="1625"/>
      <c r="T13" s="1625"/>
      <c r="U13" s="1625"/>
      <c r="V13" s="1625"/>
      <c r="W13" s="1625"/>
      <c r="X13" s="1625" t="s">
        <v>22</v>
      </c>
      <c r="Y13" s="1625"/>
      <c r="Z13" s="1625"/>
      <c r="AA13" s="1625"/>
      <c r="AB13" s="1625"/>
      <c r="AC13" s="1625"/>
      <c r="AD13" s="1625"/>
      <c r="AE13" s="1625"/>
      <c r="AF13" s="1625" t="s">
        <v>23</v>
      </c>
      <c r="AG13" s="1625"/>
      <c r="AH13" s="1625"/>
      <c r="AI13" s="1625"/>
      <c r="AJ13" s="1625"/>
      <c r="AK13" s="1625"/>
      <c r="AL13" s="1625"/>
      <c r="AM13" s="1625"/>
      <c r="AN13" s="1625" t="s">
        <v>24</v>
      </c>
      <c r="AO13" s="1625"/>
      <c r="AP13" s="1625"/>
      <c r="AQ13" s="1625"/>
      <c r="AR13" s="1625"/>
      <c r="AS13" s="1625"/>
      <c r="AT13" s="1625"/>
      <c r="AU13" s="1625"/>
      <c r="AV13" s="1719"/>
      <c r="AW13" s="1729" t="s">
        <v>119</v>
      </c>
      <c r="AX13" s="1729" t="s">
        <v>22</v>
      </c>
      <c r="AY13" s="1729" t="s">
        <v>120</v>
      </c>
      <c r="AZ13" s="1729" t="s">
        <v>121</v>
      </c>
      <c r="BA13" s="1716" t="s">
        <v>119</v>
      </c>
      <c r="BB13" s="1716" t="s">
        <v>122</v>
      </c>
      <c r="BC13" s="1716" t="s">
        <v>123</v>
      </c>
      <c r="BD13" s="1716" t="s">
        <v>124</v>
      </c>
      <c r="BE13" s="1726" t="s">
        <v>21</v>
      </c>
      <c r="BF13" s="1726" t="s">
        <v>22</v>
      </c>
      <c r="BG13" s="1726" t="s">
        <v>23</v>
      </c>
      <c r="BH13" s="1726" t="s">
        <v>24</v>
      </c>
    </row>
    <row r="14" spans="2:60" ht="15.6">
      <c r="B14" s="1476"/>
      <c r="C14" s="1476"/>
      <c r="D14" s="1476"/>
      <c r="E14" s="1476"/>
      <c r="F14" s="1302"/>
      <c r="G14" s="1476"/>
      <c r="H14" s="1476"/>
      <c r="I14" s="1476"/>
      <c r="J14" s="1476"/>
      <c r="K14" s="1476"/>
      <c r="L14" s="1476"/>
      <c r="M14" s="1476"/>
      <c r="N14" s="1476"/>
      <c r="O14" s="1476"/>
      <c r="P14" s="1711" t="s">
        <v>5</v>
      </c>
      <c r="Q14" s="1711"/>
      <c r="R14" s="1711" t="s">
        <v>6</v>
      </c>
      <c r="S14" s="1711"/>
      <c r="T14" s="1711" t="s">
        <v>7</v>
      </c>
      <c r="U14" s="1711"/>
      <c r="V14" s="1712" t="s">
        <v>8</v>
      </c>
      <c r="W14" s="1712"/>
      <c r="X14" s="1711" t="s">
        <v>27</v>
      </c>
      <c r="Y14" s="1711"/>
      <c r="Z14" s="1711" t="s">
        <v>9</v>
      </c>
      <c r="AA14" s="1711"/>
      <c r="AB14" s="1711" t="s">
        <v>10</v>
      </c>
      <c r="AC14" s="1711"/>
      <c r="AD14" s="1712" t="s">
        <v>8</v>
      </c>
      <c r="AE14" s="1712"/>
      <c r="AF14" s="1711" t="s">
        <v>11</v>
      </c>
      <c r="AG14" s="1711"/>
      <c r="AH14" s="1711" t="s">
        <v>12</v>
      </c>
      <c r="AI14" s="1711"/>
      <c r="AJ14" s="1711" t="s">
        <v>13</v>
      </c>
      <c r="AK14" s="1711"/>
      <c r="AL14" s="1712" t="s">
        <v>8</v>
      </c>
      <c r="AM14" s="1712"/>
      <c r="AN14" s="1711" t="s">
        <v>14</v>
      </c>
      <c r="AO14" s="1711"/>
      <c r="AP14" s="1711" t="s">
        <v>15</v>
      </c>
      <c r="AQ14" s="1711"/>
      <c r="AR14" s="1711" t="s">
        <v>16</v>
      </c>
      <c r="AS14" s="1711"/>
      <c r="AT14" s="1712" t="s">
        <v>8</v>
      </c>
      <c r="AU14" s="1712"/>
      <c r="AV14" s="1719"/>
      <c r="AW14" s="1730"/>
      <c r="AX14" s="1730"/>
      <c r="AY14" s="1730"/>
      <c r="AZ14" s="1730"/>
      <c r="BA14" s="1717"/>
      <c r="BB14" s="1717"/>
      <c r="BC14" s="1717"/>
      <c r="BD14" s="1717"/>
      <c r="BE14" s="1727"/>
      <c r="BF14" s="1727"/>
      <c r="BG14" s="1727"/>
      <c r="BH14" s="1727"/>
    </row>
    <row r="15" spans="2:60" ht="16.2" thickBot="1">
      <c r="B15" s="1476"/>
      <c r="C15" s="1476"/>
      <c r="D15" s="1476"/>
      <c r="E15" s="1476"/>
      <c r="F15" s="1302"/>
      <c r="G15" s="1476"/>
      <c r="H15" s="1476"/>
      <c r="I15" s="1476"/>
      <c r="J15" s="1476"/>
      <c r="K15" s="1476"/>
      <c r="L15" s="1476"/>
      <c r="M15" s="1476"/>
      <c r="N15" s="1476"/>
      <c r="O15" s="1476"/>
      <c r="P15" s="268" t="s">
        <v>17</v>
      </c>
      <c r="Q15" s="268" t="s">
        <v>18</v>
      </c>
      <c r="R15" s="268" t="s">
        <v>17</v>
      </c>
      <c r="S15" s="268" t="s">
        <v>18</v>
      </c>
      <c r="T15" s="268" t="s">
        <v>17</v>
      </c>
      <c r="U15" s="268" t="s">
        <v>18</v>
      </c>
      <c r="V15" s="269" t="s">
        <v>17</v>
      </c>
      <c r="W15" s="269" t="s">
        <v>18</v>
      </c>
      <c r="X15" s="268" t="s">
        <v>17</v>
      </c>
      <c r="Y15" s="268" t="s">
        <v>18</v>
      </c>
      <c r="Z15" s="268" t="s">
        <v>17</v>
      </c>
      <c r="AA15" s="268" t="s">
        <v>18</v>
      </c>
      <c r="AB15" s="268" t="s">
        <v>17</v>
      </c>
      <c r="AC15" s="268" t="s">
        <v>18</v>
      </c>
      <c r="AD15" s="269" t="s">
        <v>17</v>
      </c>
      <c r="AE15" s="269" t="s">
        <v>18</v>
      </c>
      <c r="AF15" s="268" t="s">
        <v>17</v>
      </c>
      <c r="AG15" s="268" t="s">
        <v>18</v>
      </c>
      <c r="AH15" s="268" t="s">
        <v>17</v>
      </c>
      <c r="AI15" s="268" t="s">
        <v>18</v>
      </c>
      <c r="AJ15" s="268" t="s">
        <v>17</v>
      </c>
      <c r="AK15" s="268" t="s">
        <v>18</v>
      </c>
      <c r="AL15" s="269" t="s">
        <v>17</v>
      </c>
      <c r="AM15" s="269" t="s">
        <v>18</v>
      </c>
      <c r="AN15" s="268" t="s">
        <v>17</v>
      </c>
      <c r="AO15" s="268" t="s">
        <v>18</v>
      </c>
      <c r="AP15" s="268" t="s">
        <v>17</v>
      </c>
      <c r="AQ15" s="268" t="s">
        <v>18</v>
      </c>
      <c r="AR15" s="268" t="s">
        <v>17</v>
      </c>
      <c r="AS15" s="268" t="s">
        <v>18</v>
      </c>
      <c r="AT15" s="269" t="s">
        <v>17</v>
      </c>
      <c r="AU15" s="269" t="s">
        <v>18</v>
      </c>
      <c r="AV15" s="1719"/>
      <c r="AW15" s="1731"/>
      <c r="AX15" s="1731"/>
      <c r="AY15" s="1731"/>
      <c r="AZ15" s="1731"/>
      <c r="BA15" s="1718"/>
      <c r="BB15" s="1718"/>
      <c r="BC15" s="1718"/>
      <c r="BD15" s="1718"/>
      <c r="BE15" s="1728"/>
      <c r="BF15" s="1728"/>
      <c r="BG15" s="1728"/>
      <c r="BH15" s="1728"/>
    </row>
    <row r="16" spans="2:60" ht="397.95" customHeight="1">
      <c r="B16" s="1721"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721" t="str">
        <f>+'01-FR-03 POA INSTITUCIONAL'!C61</f>
        <v xml:space="preserve">4.3. Realizar el 100% de las actividades relacionadas con la Gestión del Talento Humano, que permita su fortalecimiento y el desarrollo de sus conocimientos, su competencia y bienestar. </v>
      </c>
      <c r="D16" s="31" t="str">
        <f>+'01-FR-03 POA INSTITUCIONAL'!D61</f>
        <v xml:space="preserve">4.3.1 Gestionar el 100% de las novedades y situaciones administrativas de los servidores públicos de la Entidad.
</v>
      </c>
      <c r="E16" s="52">
        <f>+'01-FR-03 POA INSTITUCIONAL'!E61</f>
        <v>0.1</v>
      </c>
      <c r="F16" s="52">
        <f>+'01-FR-03 POA INSTITUCIONAL'!F61</f>
        <v>1</v>
      </c>
      <c r="G16" s="52">
        <f>+'01-FR-03 POA INSTITUCIONAL'!L61</f>
        <v>1</v>
      </c>
      <c r="H16" s="52">
        <f>+'01-FR-03 POA INSTITUCIONAL'!G61</f>
        <v>1</v>
      </c>
      <c r="I16" s="140" t="str">
        <f>+'01-FR-03 POA INSTITUCIONAL'!H61</f>
        <v>Porcentaje de novedades y situaciones administrativas gestionadas</v>
      </c>
      <c r="J16" s="270" t="s">
        <v>405</v>
      </c>
      <c r="K16" s="271" t="s">
        <v>406</v>
      </c>
      <c r="L16" s="272" t="s">
        <v>407</v>
      </c>
      <c r="M16" s="217" t="s">
        <v>408</v>
      </c>
      <c r="N16" s="217" t="s">
        <v>409</v>
      </c>
      <c r="O16" s="235" t="str">
        <f>+'01-FR-03 POA INSTITUCIONAL'!J61</f>
        <v xml:space="preserve">
Dirección de Talento Humano
</v>
      </c>
      <c r="P16" s="1009">
        <v>1</v>
      </c>
      <c r="Q16" s="1009">
        <v>1</v>
      </c>
      <c r="R16" s="1009">
        <v>1</v>
      </c>
      <c r="S16" s="1009">
        <v>1</v>
      </c>
      <c r="T16" s="1009">
        <v>1</v>
      </c>
      <c r="U16" s="1009">
        <v>1</v>
      </c>
      <c r="V16" s="89">
        <f>AVERAGE(P16,R16,T16)</f>
        <v>1</v>
      </c>
      <c r="W16" s="89">
        <f>IFERROR(AVERAGE(Q16,S16,U16),0)</f>
        <v>1</v>
      </c>
      <c r="X16" s="1009">
        <v>1</v>
      </c>
      <c r="Y16" s="1064">
        <v>0</v>
      </c>
      <c r="Z16" s="1009">
        <v>1</v>
      </c>
      <c r="AA16" s="1064">
        <v>0</v>
      </c>
      <c r="AB16" s="1009">
        <v>1</v>
      </c>
      <c r="AC16" s="1064">
        <v>0</v>
      </c>
      <c r="AD16" s="89">
        <f>AVERAGE(X16,Z16,AB16)</f>
        <v>1</v>
      </c>
      <c r="AE16" s="89">
        <f>IFERROR(AVERAGE(Y16,AA16,AC16),0)</f>
        <v>0</v>
      </c>
      <c r="AF16" s="1009">
        <v>1</v>
      </c>
      <c r="AG16" s="1064">
        <v>0</v>
      </c>
      <c r="AH16" s="1009">
        <v>1</v>
      </c>
      <c r="AI16" s="1064">
        <v>0</v>
      </c>
      <c r="AJ16" s="1009">
        <v>1</v>
      </c>
      <c r="AK16" s="1064">
        <v>0</v>
      </c>
      <c r="AL16" s="89">
        <f>AVERAGE(AF16,AH16,AJ16)</f>
        <v>1</v>
      </c>
      <c r="AM16" s="89">
        <f>IFERROR(AVERAGE(AG16,AI16,AK16),0)</f>
        <v>0</v>
      </c>
      <c r="AN16" s="1009">
        <v>1</v>
      </c>
      <c r="AO16" s="1064">
        <v>0</v>
      </c>
      <c r="AP16" s="1009">
        <v>1</v>
      </c>
      <c r="AQ16" s="1064">
        <v>0</v>
      </c>
      <c r="AR16" s="1009">
        <v>1</v>
      </c>
      <c r="AS16" s="1064">
        <v>0</v>
      </c>
      <c r="AT16" s="89">
        <f>AVERAGE(AN16,AP16,AR16)</f>
        <v>1</v>
      </c>
      <c r="AU16" s="89">
        <f>IFERROR(AVERAGE(AO16,AQ16,AS16),0)</f>
        <v>0</v>
      </c>
      <c r="AV16" s="89">
        <f>AVERAGE(P16,R16,T16,X16,Z16,AB16,AF16,AH16,AJ16,AN16,AP16,AR16)</f>
        <v>1</v>
      </c>
      <c r="AW16" s="307">
        <f>IFERROR(IF(OR($AV$16="",$AV$16=0),0,ROUNDDOWN(AVERAGE($Q16,$S16,$U16),3)),0)</f>
        <v>1</v>
      </c>
      <c r="AX16" s="1057">
        <f>IFERROR(IF(OR($AV$17="",$AV$17=0),0,ROUNDDOWN(AVERAGE($Q16,$S16,$U16,$Y16,$AA16,$AC16),3)),0)</f>
        <v>0.5</v>
      </c>
      <c r="AY16" s="1057">
        <f>IFERROR(IF(OR($AV$16="",$AV$16=0),0,ROUNDDOWN(AVERAGE($Q16,$S16,$U16,$Y16,$AA16,$AC16,$AG16,$AI16,$AK16),3)),0)</f>
        <v>0.33300000000000002</v>
      </c>
      <c r="AZ16" s="1057">
        <f t="shared" ref="AZ16:AZ17" si="0">IFERROR(IF(OR($AV$16="",$AV$16=0),0,ROUNDDOWN(AVERAGE($Q16,$S16,$U16,$Y16,$AA16,$AC16,$AG16,$AI16,$AK16,$AO16,$AQ16,$AS16),3)),0)</f>
        <v>0.25</v>
      </c>
      <c r="BA16" s="341">
        <f>(IF(AND(AW16&gt;0,$AV16&gt;0),AW16/$AV16,0))*0.25</f>
        <v>0.25</v>
      </c>
      <c r="BB16" s="341">
        <f>(IF(AND(AX16&gt;0,$AV16&gt;0),AX16/$AV16,0))*0.5</f>
        <v>0.25</v>
      </c>
      <c r="BC16" s="341">
        <f>(IF(AND(AY16&gt;0,$AV16&gt;0),AY16/$AV16,0))*0.75</f>
        <v>0.24975000000000003</v>
      </c>
      <c r="BD16" s="341">
        <f>(IF(AND(AZ16&gt;0,$AV16&gt;0),AZ16/$AV16,0))*1</f>
        <v>0.25</v>
      </c>
      <c r="BE16" s="346">
        <f t="shared" ref="BE16:BE18" si="1">((IF(AND(AW16&gt;0,$F16&gt;0),AW16/$F16,0))/4)*0.25</f>
        <v>6.25E-2</v>
      </c>
      <c r="BF16" s="1056">
        <f t="shared" ref="BF16:BF18" si="2">((IF(AND(AX16&gt;0,$F16&gt;0),AX16/$F16,0))/4)*0.5</f>
        <v>6.25E-2</v>
      </c>
      <c r="BG16" s="1056">
        <f t="shared" ref="BG16:BG18" si="3">((IF(AND(AY16&gt;0,$F16&gt;0),AY16/$F16,0))/4)*0.75</f>
        <v>6.2437500000000007E-2</v>
      </c>
      <c r="BH16" s="1056">
        <f t="shared" ref="BH16:BH19" si="4">((IF(AND(AZ16&gt;0,$F16&gt;0),AZ16/$F16,0))/4)</f>
        <v>6.25E-2</v>
      </c>
    </row>
    <row r="17" spans="2:60" ht="367.2" customHeight="1">
      <c r="B17" s="1722"/>
      <c r="C17" s="1722"/>
      <c r="D17" s="31" t="str">
        <f>+'01-FR-03 POA INSTITUCIONAL'!D62</f>
        <v xml:space="preserve">4.3.2 Incluir el 97,8% de las Novedades en la nómina oportunamente, para liquidación y pago </v>
      </c>
      <c r="E17" s="52">
        <f>+'01-FR-03 POA INSTITUCIONAL'!E62</f>
        <v>0.1</v>
      </c>
      <c r="F17" s="52">
        <f>+'01-FR-03 POA INSTITUCIONAL'!F62</f>
        <v>0.97799999999999998</v>
      </c>
      <c r="G17" s="52">
        <f>+'01-FR-03 POA INSTITUCIONAL'!L62</f>
        <v>0.98</v>
      </c>
      <c r="H17" s="52">
        <f>+'01-FR-03 POA INSTITUCIONAL'!G62</f>
        <v>0.97</v>
      </c>
      <c r="I17" s="140" t="str">
        <f>+'01-FR-03 POA INSTITUCIONAL'!H62</f>
        <v xml:space="preserve">Novedades incluidas en la nómina  oportunamente  </v>
      </c>
      <c r="J17" s="273" t="s">
        <v>410</v>
      </c>
      <c r="K17" s="274" t="s">
        <v>411</v>
      </c>
      <c r="L17" s="275" t="s">
        <v>412</v>
      </c>
      <c r="M17" s="217" t="s">
        <v>408</v>
      </c>
      <c r="N17" s="217" t="s">
        <v>413</v>
      </c>
      <c r="O17" s="443" t="str">
        <f>+'01-FR-03 POA INSTITUCIONAL'!J62</f>
        <v>Dependencia Líder: 
Dirección de Talento Humano
Dependencia Operativa:
Subdirección de Gestión del Talento Humano</v>
      </c>
      <c r="P17" s="1009">
        <v>0.98</v>
      </c>
      <c r="Q17" s="1012">
        <v>0.995</v>
      </c>
      <c r="R17" s="1009">
        <v>0.98</v>
      </c>
      <c r="S17" s="1012">
        <v>0.97</v>
      </c>
      <c r="T17" s="1009">
        <v>0.98</v>
      </c>
      <c r="U17" s="1012">
        <v>0.998</v>
      </c>
      <c r="V17" s="66">
        <f>AVERAGE(P17,R17,T17)</f>
        <v>0.98</v>
      </c>
      <c r="W17" s="321">
        <f>IFERROR(AVERAGE(Q17,S17,U17),0)</f>
        <v>0.98766666666666669</v>
      </c>
      <c r="X17" s="1009">
        <v>0.98</v>
      </c>
      <c r="Y17" s="1064">
        <v>0</v>
      </c>
      <c r="Z17" s="1009">
        <v>0.98</v>
      </c>
      <c r="AA17" s="1064">
        <v>0</v>
      </c>
      <c r="AB17" s="1009">
        <v>0.98</v>
      </c>
      <c r="AC17" s="1064">
        <v>0</v>
      </c>
      <c r="AD17" s="66">
        <f>AVERAGE(X17,Z17,AB17)</f>
        <v>0.98</v>
      </c>
      <c r="AE17" s="66">
        <f>IFERROR(AVERAGE(Y17,AA17,AC17),0)</f>
        <v>0</v>
      </c>
      <c r="AF17" s="1009">
        <v>0.98</v>
      </c>
      <c r="AG17" s="1064">
        <v>0</v>
      </c>
      <c r="AH17" s="1009">
        <v>0.98</v>
      </c>
      <c r="AI17" s="1064">
        <v>0</v>
      </c>
      <c r="AJ17" s="1009">
        <v>0.98</v>
      </c>
      <c r="AK17" s="1064">
        <v>0</v>
      </c>
      <c r="AL17" s="321">
        <f>AVERAGE(AF17,AH17,AJ17)</f>
        <v>0.98</v>
      </c>
      <c r="AM17" s="321">
        <f>IFERROR(AVERAGE(AG17,AI17,AK17),0)</f>
        <v>0</v>
      </c>
      <c r="AN17" s="1009">
        <v>0.98</v>
      </c>
      <c r="AO17" s="1064">
        <v>0</v>
      </c>
      <c r="AP17" s="1009">
        <v>0.98</v>
      </c>
      <c r="AQ17" s="1064">
        <v>0</v>
      </c>
      <c r="AR17" s="1009">
        <v>0.98</v>
      </c>
      <c r="AS17" s="1064">
        <v>0</v>
      </c>
      <c r="AT17" s="66">
        <f>AVERAGE(AN17,AP17,AR17)</f>
        <v>0.98</v>
      </c>
      <c r="AU17" s="66">
        <f>IFERROR(AVERAGE(AO17,AQ17,AS17),0)</f>
        <v>0</v>
      </c>
      <c r="AV17" s="321">
        <f>AVERAGE(P17,R17,T17,X17,Z17,AB17,AF17,AH17,AJ17,AN17,AP17,AR17)</f>
        <v>0.98000000000000032</v>
      </c>
      <c r="AW17" s="307">
        <f>IFERROR(IF(OR($AV$16="",$AV$16=0),0,ROUNDDOWN(AVERAGE($Q17,$S17,$U17),3)),0)</f>
        <v>0.98699999999999999</v>
      </c>
      <c r="AX17" s="1057">
        <f>IFERROR(IF(OR($AV$17="",$AV$17=0),0,ROUNDDOWN(AVERAGE($Q17,$S17,$U17,$Y17,$AA17,$AC17),3)),0)</f>
        <v>0.49299999999999999</v>
      </c>
      <c r="AY17" s="1057">
        <f>IFERROR(IF(OR($AV$16="",$AV$16=0),0,ROUNDDOWN(AVERAGE($Q17,$S17,$U17,$Y17,$AA17,$AC17,$AG17,$AI17,$AK17),3)),0)</f>
        <v>0.32900000000000001</v>
      </c>
      <c r="AZ17" s="1057">
        <f t="shared" si="0"/>
        <v>0.246</v>
      </c>
      <c r="BA17" s="341">
        <f t="shared" ref="BA17" si="5">(IF(AND(AW17&gt;0,$AV17&gt;0),AW17/$AV17,0))*0.25</f>
        <v>0.25178571428571422</v>
      </c>
      <c r="BB17" s="341">
        <f t="shared" ref="BB17" si="6">(IF(AND(AX17&gt;0,$AV17&gt;0),AX17/$AV17,0))*0.5</f>
        <v>0.25153061224489787</v>
      </c>
      <c r="BC17" s="341">
        <f t="shared" ref="BC17" si="7">(IF(AND(AY17&gt;0,$AV17&gt;0),AY17/$AV17,0))*0.75</f>
        <v>0.25178571428571422</v>
      </c>
      <c r="BD17" s="341">
        <f t="shared" ref="BD17" si="8">(IF(AND(AZ17&gt;0,$AV17&gt;0),AZ17/$AV17,0))*1</f>
        <v>0.25102040816326521</v>
      </c>
      <c r="BE17" s="346">
        <f t="shared" si="1"/>
        <v>6.3075153374233126E-2</v>
      </c>
      <c r="BF17" s="1056">
        <f t="shared" si="2"/>
        <v>6.3011247443762783E-2</v>
      </c>
      <c r="BG17" s="1056">
        <f t="shared" si="3"/>
        <v>6.3075153374233139E-2</v>
      </c>
      <c r="BH17" s="1056">
        <f t="shared" si="4"/>
        <v>6.2883435582822084E-2</v>
      </c>
    </row>
    <row r="18" spans="2:60" ht="184.8">
      <c r="B18" s="1722"/>
      <c r="C18" s="1722"/>
      <c r="D18" s="31" t="str">
        <f>+'01-FR-03 POA INSTITUCIONAL'!D63</f>
        <v xml:space="preserve">4.3.3 Lograr el 94,5 % de usuarios internos  satisfechos con las solicitudes de servicios atendidas de la SGTH (Certificaciones laborales, bonos pensionales y autorizaciones de retiro de cesantías). </v>
      </c>
      <c r="E18" s="52">
        <f>+'01-FR-03 POA INSTITUCIONAL'!E63</f>
        <v>0.1</v>
      </c>
      <c r="F18" s="52">
        <f>+'01-FR-03 POA INSTITUCIONAL'!F63</f>
        <v>0.94499999999999995</v>
      </c>
      <c r="G18" s="52">
        <f>+'01-FR-03 POA INSTITUCIONAL'!L63</f>
        <v>0.96</v>
      </c>
      <c r="H18" s="52" t="str">
        <f>+'01-FR-03 POA INSTITUCIONAL'!G63</f>
        <v>S.I.</v>
      </c>
      <c r="I18" s="140" t="str">
        <f>+'01-FR-03 POA INSTITUCIONAL'!H63</f>
        <v>Porcentaje de Usuarios internos satisfechos con las solicitudes de los servicios atendidas de la SGTH (Certificaciones laborales, bonos pensionales y autorizaciones de retiro de cesantías)</v>
      </c>
      <c r="J18" s="215" t="s">
        <v>414</v>
      </c>
      <c r="K18" s="274" t="s">
        <v>415</v>
      </c>
      <c r="L18" s="190" t="s">
        <v>416</v>
      </c>
      <c r="M18" s="217" t="s">
        <v>408</v>
      </c>
      <c r="N18" s="217" t="s">
        <v>409</v>
      </c>
      <c r="O18" s="443" t="str">
        <f>+'01-FR-03 POA INSTITUCIONAL'!J63</f>
        <v>Dependencia Líder: 
Dirección de Talento Humano
Dependencia Operativa:
Subdirección de Gestión del Talento Humano</v>
      </c>
      <c r="P18" s="1009">
        <v>0.96</v>
      </c>
      <c r="Q18" s="1012">
        <v>0.92</v>
      </c>
      <c r="R18" s="1009">
        <v>0.96</v>
      </c>
      <c r="S18" s="1012">
        <v>0.89300000000000002</v>
      </c>
      <c r="T18" s="1009">
        <v>0.96</v>
      </c>
      <c r="U18" s="1012">
        <v>0.97599999999999998</v>
      </c>
      <c r="V18" s="66">
        <f>IFERROR(AVERAGE(P18,R18,T18),0)</f>
        <v>0.96</v>
      </c>
      <c r="W18" s="321">
        <f>IFERROR(ROUNDDOWN(AVERAGE(Q18,S18,U18),3),0)</f>
        <v>0.92900000000000005</v>
      </c>
      <c r="X18" s="1009">
        <v>0.96</v>
      </c>
      <c r="Y18" s="935"/>
      <c r="Z18" s="1009">
        <v>0.96</v>
      </c>
      <c r="AA18" s="935"/>
      <c r="AB18" s="1009">
        <v>0.96</v>
      </c>
      <c r="AC18" s="935"/>
      <c r="AD18" s="66">
        <f>AVERAGE(X18,Z18,AB18)</f>
        <v>0.96</v>
      </c>
      <c r="AE18" s="321">
        <f>IFERROR(ROUNDDOWN(AVERAGE(Y18,AA18,AC18),3),0)</f>
        <v>0</v>
      </c>
      <c r="AF18" s="1009">
        <v>0.96</v>
      </c>
      <c r="AG18" s="935"/>
      <c r="AH18" s="1009">
        <v>0.96</v>
      </c>
      <c r="AI18" s="935"/>
      <c r="AJ18" s="1009">
        <v>0.96</v>
      </c>
      <c r="AK18" s="1014"/>
      <c r="AL18" s="66">
        <f>AVERAGE(AF18,AH18,AJ18)</f>
        <v>0.96</v>
      </c>
      <c r="AM18" s="321">
        <f>IFERROR(ROUNDDOWN(AVERAGE(AG18,AI18,AK18),3),0)</f>
        <v>0</v>
      </c>
      <c r="AN18" s="1009">
        <v>0.96</v>
      </c>
      <c r="AO18" s="935"/>
      <c r="AP18" s="1009">
        <v>0.96</v>
      </c>
      <c r="AQ18" s="935"/>
      <c r="AR18" s="1009">
        <v>0.96</v>
      </c>
      <c r="AS18" s="935"/>
      <c r="AT18" s="66">
        <f>AVERAGE(AN18,AP18,AR18)</f>
        <v>0.96</v>
      </c>
      <c r="AU18" s="321">
        <f>IFERROR(ROUNDDOWN(AVERAGE(AO18,AQ18,AS18),3),0)</f>
        <v>0</v>
      </c>
      <c r="AV18" s="321">
        <f>AVERAGE(X18,Z18,AB18,AF18,AH18,AJ18,AN18,AP18,AR18)</f>
        <v>0.96000000000000008</v>
      </c>
      <c r="AW18" s="307">
        <f>IFERROR(IF(OR($AV$16="",$AV$16=0),0,ROUNDDOWN(AVERAGE($Q18,$S18,$U18),3)),0)</f>
        <v>0.92900000000000005</v>
      </c>
      <c r="AX18" s="1057">
        <f>IFERROR(IF(OR($AV$17="",$AV$17=0),0,ROUNDDOWN(AVERAGE($Y18,$AA18,$AC18),3)),0)</f>
        <v>0</v>
      </c>
      <c r="AY18" s="1057">
        <f>IFERROR(IF(OR($AV$16="",$AV$16=0),0,ROUNDDOWN(AVERAGE($Y18,$AA18,$AC18,$AG18,$AI18,$AK18),3)),0)</f>
        <v>0</v>
      </c>
      <c r="AZ18" s="1057">
        <f>IFERROR(IF(OR($AV$16="",$AV$16=0),0,ROUNDDOWN(AVERAGE($Y18,$AA18,$AC18,$AG18,$AI18,$AK18,$AO18,$AQ18,$AS18),3)),0)</f>
        <v>0</v>
      </c>
      <c r="BA18" s="341">
        <f t="shared" ref="BA18" si="9">(IF(AND(AW18&gt;0,$AV18&gt;0),AW18/$AV18,0))*0.25</f>
        <v>0.24192708333333332</v>
      </c>
      <c r="BB18" s="341">
        <f t="shared" ref="BB18" si="10">(IF(AND(AX18&gt;0,$AV18&gt;0),AX18/$AV18,0))*0.5</f>
        <v>0</v>
      </c>
      <c r="BC18" s="341">
        <f t="shared" ref="BC18" si="11">(IF(AND(AY18&gt;0,$AV18&gt;0),AY18/$AV18,0))*0.75</f>
        <v>0</v>
      </c>
      <c r="BD18" s="341">
        <f t="shared" ref="BD18" si="12">(IF(AND(AZ18&gt;0,$AV18&gt;0),AZ18/$AV18,0))*1</f>
        <v>0</v>
      </c>
      <c r="BE18" s="346">
        <f t="shared" si="1"/>
        <v>6.144179894179895E-2</v>
      </c>
      <c r="BF18" s="1056">
        <f t="shared" si="2"/>
        <v>0</v>
      </c>
      <c r="BG18" s="1056">
        <f t="shared" si="3"/>
        <v>0</v>
      </c>
      <c r="BH18" s="1056">
        <f t="shared" si="4"/>
        <v>0</v>
      </c>
    </row>
    <row r="19" spans="2:60" ht="199.2" customHeight="1">
      <c r="B19" s="1722"/>
      <c r="C19" s="1722"/>
      <c r="D19" s="31" t="str">
        <f>+'01-FR-03 POA INSTITUCIONAL'!D64</f>
        <v xml:space="preserve">4.3.4 Formular e implementar el 100% del Plan Institucional de Capacitación de la vigencia.
</v>
      </c>
      <c r="E19" s="52">
        <f>+'01-FR-03 POA INSTITUCIONAL'!E64</f>
        <v>0.15</v>
      </c>
      <c r="F19" s="52">
        <f>+'01-FR-03 POA INSTITUCIONAL'!F64</f>
        <v>1</v>
      </c>
      <c r="G19" s="52">
        <f>+'01-FR-03 POA INSTITUCIONAL'!L64</f>
        <v>1</v>
      </c>
      <c r="H19" s="52">
        <f>+'01-FR-03 POA INSTITUCIONAL'!G64</f>
        <v>1</v>
      </c>
      <c r="I19" s="140" t="str">
        <f>+'01-FR-03 POA INSTITUCIONAL'!H64</f>
        <v>Plan Institucional de Capacitación formulado y ejecutado</v>
      </c>
      <c r="J19" s="276" t="s">
        <v>429</v>
      </c>
      <c r="K19" s="277" t="s">
        <v>417</v>
      </c>
      <c r="L19" s="443" t="s">
        <v>418</v>
      </c>
      <c r="M19" s="217" t="s">
        <v>434</v>
      </c>
      <c r="N19" s="217" t="s">
        <v>419</v>
      </c>
      <c r="O19" s="443" t="str">
        <f>+'01-FR-03 POA INSTITUCIONAL'!J64</f>
        <v>Dependencia Líder: 
Dirección de Talento Humano
Dependencia Operativa:
Subdirección de Desarrollo del Talento Humano</v>
      </c>
      <c r="P19" s="1017">
        <v>0.1</v>
      </c>
      <c r="Q19" s="1017">
        <v>0.1</v>
      </c>
      <c r="R19" s="1017">
        <f>10%+5%</f>
        <v>0.15000000000000002</v>
      </c>
      <c r="S19" s="1018">
        <v>0.15</v>
      </c>
      <c r="T19" s="1018">
        <v>0.05</v>
      </c>
      <c r="U19" s="1018">
        <v>0.05</v>
      </c>
      <c r="V19" s="322">
        <f>+P19+R19+T19</f>
        <v>0.3</v>
      </c>
      <c r="W19" s="322">
        <f>+Q19+S19+U19</f>
        <v>0.3</v>
      </c>
      <c r="X19" s="1018">
        <v>0.05</v>
      </c>
      <c r="Y19" s="1018"/>
      <c r="Z19" s="1018">
        <v>0.05</v>
      </c>
      <c r="AA19" s="1018"/>
      <c r="AB19" s="1018">
        <v>0.05</v>
      </c>
      <c r="AC19" s="995"/>
      <c r="AD19" s="321">
        <f>+X19+Z19+AB19</f>
        <v>0.15000000000000002</v>
      </c>
      <c r="AE19" s="321">
        <f>+Y19+AA19+AC19</f>
        <v>0</v>
      </c>
      <c r="AF19" s="1018">
        <v>0</v>
      </c>
      <c r="AG19" s="1018"/>
      <c r="AH19" s="1018">
        <v>0.1</v>
      </c>
      <c r="AI19" s="1018"/>
      <c r="AJ19" s="1022">
        <v>0.1</v>
      </c>
      <c r="AK19" s="998"/>
      <c r="AL19" s="322">
        <f>+AF19+AH19+AJ19</f>
        <v>0.2</v>
      </c>
      <c r="AM19" s="322">
        <f>+AG19+AI19+AK19</f>
        <v>0</v>
      </c>
      <c r="AN19" s="1018">
        <v>0.1</v>
      </c>
      <c r="AO19" s="1018"/>
      <c r="AP19" s="1018">
        <v>0.1</v>
      </c>
      <c r="AQ19" s="1018"/>
      <c r="AR19" s="1018">
        <f>5%+10%</f>
        <v>0.15000000000000002</v>
      </c>
      <c r="AS19" s="1018"/>
      <c r="AT19" s="321">
        <f>+AN19+AP19+AR19</f>
        <v>0.35000000000000003</v>
      </c>
      <c r="AU19" s="321">
        <f>+AO19+AQ19+AS19</f>
        <v>0</v>
      </c>
      <c r="AV19" s="322">
        <f t="shared" ref="AV19:AV23" si="13">V19+AD19+AL19+AT19</f>
        <v>1</v>
      </c>
      <c r="AW19" s="307">
        <f t="shared" ref="AW19:AW22" si="14">+W19</f>
        <v>0.3</v>
      </c>
      <c r="AX19" s="1065">
        <f t="shared" ref="AX19:AX22" si="15">+W19+AE19</f>
        <v>0.3</v>
      </c>
      <c r="AY19" s="1057">
        <f t="shared" ref="AY19:AY22" si="16">+W19+AE19+AM19</f>
        <v>0.3</v>
      </c>
      <c r="AZ19" s="1065">
        <f t="shared" ref="AZ19:AZ22" si="17">+W19+AE19+AM19+AU19</f>
        <v>0.3</v>
      </c>
      <c r="BA19" s="341">
        <f t="shared" ref="BA19:BA23" si="18">IF(AND(AW19&gt;0,AV19&gt;0),AW19/AV19,0)</f>
        <v>0.3</v>
      </c>
      <c r="BB19" s="341">
        <f t="shared" ref="BB19:BD23" si="19">IF(AND(AX19&gt;0,$AV19&gt;0),AX19/$AV19,0)</f>
        <v>0.3</v>
      </c>
      <c r="BC19" s="341">
        <f t="shared" si="19"/>
        <v>0.3</v>
      </c>
      <c r="BD19" s="379">
        <f t="shared" si="19"/>
        <v>0.3</v>
      </c>
      <c r="BE19" s="346">
        <f>((IF(AND(AW19&gt;0,$F19&gt;0),AW19/$F19,0))/4)</f>
        <v>7.4999999999999997E-2</v>
      </c>
      <c r="BF19" s="1056">
        <f t="shared" ref="BF19:BG19" si="20">((IF(AND(AX19&gt;0,$F19&gt;0),AX19/$F19,0))/4)</f>
        <v>7.4999999999999997E-2</v>
      </c>
      <c r="BG19" s="1056">
        <f t="shared" si="20"/>
        <v>7.4999999999999997E-2</v>
      </c>
      <c r="BH19" s="1056">
        <f t="shared" si="4"/>
        <v>7.4999999999999997E-2</v>
      </c>
    </row>
    <row r="20" spans="2:60" ht="158.4">
      <c r="B20" s="1722"/>
      <c r="C20" s="1722"/>
      <c r="D20" s="31" t="str">
        <f>+'01-FR-03 POA INSTITUCIONAL'!D65</f>
        <v>4.3.5 Formular e implementar el 100% del Plan Institucional de Bienestar de la vigencia .</v>
      </c>
      <c r="E20" s="52">
        <f>+'01-FR-03 POA INSTITUCIONAL'!E65</f>
        <v>0.15</v>
      </c>
      <c r="F20" s="52">
        <f>+'01-FR-03 POA INSTITUCIONAL'!F65</f>
        <v>1</v>
      </c>
      <c r="G20" s="52">
        <f>+'01-FR-03 POA INSTITUCIONAL'!L65</f>
        <v>1</v>
      </c>
      <c r="H20" s="52">
        <f>+'01-FR-03 POA INSTITUCIONAL'!G65</f>
        <v>1</v>
      </c>
      <c r="I20" s="140" t="str">
        <f>+'01-FR-03 POA INSTITUCIONAL'!H65</f>
        <v>Plan Institucional de Bienestar formulado y ejecutado</v>
      </c>
      <c r="J20" s="276" t="s">
        <v>430</v>
      </c>
      <c r="K20" s="278" t="s">
        <v>420</v>
      </c>
      <c r="L20" s="443" t="s">
        <v>421</v>
      </c>
      <c r="M20" s="217" t="s">
        <v>434</v>
      </c>
      <c r="N20" s="217" t="s">
        <v>419</v>
      </c>
      <c r="O20" s="443" t="str">
        <f>+'01-FR-03 POA INSTITUCIONAL'!J65</f>
        <v>Dependencia Líder: 
Dirección de Talento Humano
Dependencia Operativa:
Subdirección de Desarrollo del Talento Humano</v>
      </c>
      <c r="P20" s="1017">
        <f>10%+0.97%</f>
        <v>0.10970000000000001</v>
      </c>
      <c r="Q20" s="1017">
        <f>10%+0.97%</f>
        <v>0.10970000000000001</v>
      </c>
      <c r="R20" s="1017">
        <f>10%+0.97%</f>
        <v>0.10970000000000001</v>
      </c>
      <c r="S20" s="1017">
        <f>10%+0.97%</f>
        <v>0.10970000000000001</v>
      </c>
      <c r="T20" s="1018">
        <v>3.8899999999999997E-2</v>
      </c>
      <c r="U20" s="1018">
        <v>3.8899999999999997E-2</v>
      </c>
      <c r="V20" s="322">
        <f t="shared" ref="V20:V22" si="21">+P20+R20+T20</f>
        <v>0.25830000000000003</v>
      </c>
      <c r="W20" s="322">
        <f t="shared" ref="W20:W22" si="22">+Q20+S20+U20</f>
        <v>0.25830000000000003</v>
      </c>
      <c r="X20" s="1018">
        <v>4.8599999999999997E-2</v>
      </c>
      <c r="Y20" s="1018"/>
      <c r="Z20" s="1018">
        <v>5.8299999999999998E-2</v>
      </c>
      <c r="AA20" s="1018"/>
      <c r="AB20" s="1018">
        <v>6.8099999999999994E-2</v>
      </c>
      <c r="AC20" s="995"/>
      <c r="AD20" s="322">
        <f t="shared" ref="AD20:AD22" si="23">+X20+Z20+AB20</f>
        <v>0.17499999999999999</v>
      </c>
      <c r="AE20" s="322">
        <f t="shared" ref="AE20:AE22" si="24">+Y20+AA20+AC20</f>
        <v>0</v>
      </c>
      <c r="AF20" s="1018">
        <v>6.8099999999999994E-2</v>
      </c>
      <c r="AG20" s="1018"/>
      <c r="AH20" s="1018">
        <v>7.7799999999999994E-2</v>
      </c>
      <c r="AI20" s="1018"/>
      <c r="AJ20" s="1018">
        <v>7.7799999999999994E-2</v>
      </c>
      <c r="AK20" s="998"/>
      <c r="AL20" s="322">
        <f t="shared" ref="AL20:AL22" si="25">+AF20+AH20+AJ20</f>
        <v>0.22369999999999995</v>
      </c>
      <c r="AM20" s="322">
        <f t="shared" ref="AM20:AM22" si="26">+AG20+AI20+AK20</f>
        <v>0</v>
      </c>
      <c r="AN20" s="1018">
        <v>0.1167</v>
      </c>
      <c r="AO20" s="1018"/>
      <c r="AP20" s="1018">
        <v>6.8099999999999994E-2</v>
      </c>
      <c r="AQ20" s="1018"/>
      <c r="AR20" s="1018">
        <f>5.82%+10%</f>
        <v>0.15820000000000001</v>
      </c>
      <c r="AS20" s="1018"/>
      <c r="AT20" s="322">
        <f t="shared" ref="AT20:AT22" si="27">+AN20+AP20+AR20</f>
        <v>0.34299999999999997</v>
      </c>
      <c r="AU20" s="322">
        <f t="shared" ref="AU20:AU22" si="28">+AO20+AQ20+AS20</f>
        <v>0</v>
      </c>
      <c r="AV20" s="322">
        <f t="shared" si="13"/>
        <v>1</v>
      </c>
      <c r="AW20" s="307">
        <f t="shared" si="14"/>
        <v>0.25830000000000003</v>
      </c>
      <c r="AX20" s="1065">
        <f t="shared" si="15"/>
        <v>0.25830000000000003</v>
      </c>
      <c r="AY20" s="1065">
        <f t="shared" si="16"/>
        <v>0.25830000000000003</v>
      </c>
      <c r="AZ20" s="1065">
        <f t="shared" si="17"/>
        <v>0.25830000000000003</v>
      </c>
      <c r="BA20" s="341">
        <f t="shared" si="18"/>
        <v>0.25830000000000003</v>
      </c>
      <c r="BB20" s="341">
        <f t="shared" si="19"/>
        <v>0.25830000000000003</v>
      </c>
      <c r="BC20" s="341">
        <f t="shared" si="19"/>
        <v>0.25830000000000003</v>
      </c>
      <c r="BD20" s="341">
        <f t="shared" si="19"/>
        <v>0.25830000000000003</v>
      </c>
      <c r="BE20" s="346">
        <f t="shared" ref="BE20:BE22" si="29">((IF(AND(AW20&gt;0,$F20&gt;0),AW20/$F20,0))/4)</f>
        <v>6.4575000000000007E-2</v>
      </c>
      <c r="BF20" s="1056">
        <f t="shared" ref="BF20:BF22" si="30">((IF(AND(AX20&gt;0,$F20&gt;0),AX20/$F20,0))/4)</f>
        <v>6.4575000000000007E-2</v>
      </c>
      <c r="BG20" s="1056">
        <f t="shared" ref="BG20:BG22" si="31">((IF(AND(AY20&gt;0,$F20&gt;0),AY20/$F20,0))/4)</f>
        <v>6.4575000000000007E-2</v>
      </c>
      <c r="BH20" s="1056">
        <f t="shared" ref="BH20:BH22" si="32">((IF(AND(AZ20&gt;0,$F20&gt;0),AZ20/$F20,0))/4)</f>
        <v>6.4575000000000007E-2</v>
      </c>
    </row>
    <row r="21" spans="2:60" ht="156.6" customHeight="1">
      <c r="B21" s="1722"/>
      <c r="C21" s="1722"/>
      <c r="D21" s="31" t="str">
        <f>+'01-FR-03 POA INSTITUCIONAL'!D66</f>
        <v>4.3.6 Formular e implementar el 100% del Plan Institucional de Incentivos de la vigencia.</v>
      </c>
      <c r="E21" s="52">
        <f>+'01-FR-03 POA INSTITUCIONAL'!E66</f>
        <v>0.15</v>
      </c>
      <c r="F21" s="52">
        <f>+'01-FR-03 POA INSTITUCIONAL'!F66</f>
        <v>1</v>
      </c>
      <c r="G21" s="52">
        <f>+'01-FR-03 POA INSTITUCIONAL'!L66</f>
        <v>1</v>
      </c>
      <c r="H21" s="52">
        <f>+'01-FR-03 POA INSTITUCIONAL'!G66</f>
        <v>1</v>
      </c>
      <c r="I21" s="140" t="str">
        <f>+'01-FR-03 POA INSTITUCIONAL'!H66</f>
        <v>Plan Institucional de Incentivos formulado y ejecutado</v>
      </c>
      <c r="J21" s="276" t="s">
        <v>431</v>
      </c>
      <c r="K21" s="278" t="s">
        <v>422</v>
      </c>
      <c r="L21" s="443" t="s">
        <v>421</v>
      </c>
      <c r="M21" s="217" t="s">
        <v>434</v>
      </c>
      <c r="N21" s="217" t="s">
        <v>419</v>
      </c>
      <c r="O21" s="443" t="str">
        <f>+'01-FR-03 POA INSTITUCIONAL'!J66</f>
        <v>Dependencia Líder: 
Dirección de Talento Humano
Dependencia Operativa:
Subdirección de Desarrollo del Talento Humano</v>
      </c>
      <c r="P21" s="1017">
        <v>0.1</v>
      </c>
      <c r="Q21" s="1017">
        <v>0.1</v>
      </c>
      <c r="R21" s="1017">
        <v>0.1</v>
      </c>
      <c r="S21" s="1017">
        <v>0.1</v>
      </c>
      <c r="T21" s="1019">
        <v>0.05</v>
      </c>
      <c r="U21" s="1019">
        <v>0.05</v>
      </c>
      <c r="V21" s="322">
        <f t="shared" si="21"/>
        <v>0.25</v>
      </c>
      <c r="W21" s="322">
        <f t="shared" si="22"/>
        <v>0.25</v>
      </c>
      <c r="X21" s="1019">
        <v>0.1</v>
      </c>
      <c r="Y21" s="1018"/>
      <c r="Z21" s="1018">
        <v>0</v>
      </c>
      <c r="AA21" s="1018"/>
      <c r="AB21" s="1018">
        <v>0</v>
      </c>
      <c r="AC21" s="995"/>
      <c r="AD21" s="322">
        <f t="shared" si="23"/>
        <v>0.1</v>
      </c>
      <c r="AE21" s="322">
        <f t="shared" si="24"/>
        <v>0</v>
      </c>
      <c r="AF21" s="1019">
        <v>0</v>
      </c>
      <c r="AG21" s="1018"/>
      <c r="AH21" s="1019">
        <v>0.1</v>
      </c>
      <c r="AI21" s="1018"/>
      <c r="AJ21" s="1019">
        <v>0</v>
      </c>
      <c r="AK21" s="998"/>
      <c r="AL21" s="322">
        <f t="shared" si="25"/>
        <v>0.1</v>
      </c>
      <c r="AM21" s="322">
        <f t="shared" si="26"/>
        <v>0</v>
      </c>
      <c r="AN21" s="1018">
        <v>0</v>
      </c>
      <c r="AO21" s="1018"/>
      <c r="AP21" s="1019">
        <v>0.1</v>
      </c>
      <c r="AQ21" s="1018"/>
      <c r="AR21" s="1018">
        <f>35%+10%</f>
        <v>0.44999999999999996</v>
      </c>
      <c r="AS21" s="1018"/>
      <c r="AT21" s="322">
        <f t="shared" si="27"/>
        <v>0.54999999999999993</v>
      </c>
      <c r="AU21" s="322">
        <f t="shared" si="28"/>
        <v>0</v>
      </c>
      <c r="AV21" s="322">
        <f t="shared" si="13"/>
        <v>0.99999999999999989</v>
      </c>
      <c r="AW21" s="307">
        <f t="shared" si="14"/>
        <v>0.25</v>
      </c>
      <c r="AX21" s="1065">
        <f t="shared" si="15"/>
        <v>0.25</v>
      </c>
      <c r="AY21" s="1057">
        <f t="shared" si="16"/>
        <v>0.25</v>
      </c>
      <c r="AZ21" s="1065">
        <f t="shared" si="17"/>
        <v>0.25</v>
      </c>
      <c r="BA21" s="341">
        <f t="shared" si="18"/>
        <v>0.25</v>
      </c>
      <c r="BB21" s="379">
        <f t="shared" si="19"/>
        <v>0.25</v>
      </c>
      <c r="BC21" s="379">
        <f t="shared" si="19"/>
        <v>0.25</v>
      </c>
      <c r="BD21" s="379">
        <f t="shared" si="19"/>
        <v>0.25</v>
      </c>
      <c r="BE21" s="346">
        <f t="shared" si="29"/>
        <v>6.25E-2</v>
      </c>
      <c r="BF21" s="1056">
        <f t="shared" si="30"/>
        <v>6.25E-2</v>
      </c>
      <c r="BG21" s="1056">
        <f t="shared" si="31"/>
        <v>6.25E-2</v>
      </c>
      <c r="BH21" s="1056">
        <f t="shared" si="32"/>
        <v>6.25E-2</v>
      </c>
    </row>
    <row r="22" spans="2:60" ht="174" customHeight="1">
      <c r="B22" s="1722"/>
      <c r="C22" s="1722"/>
      <c r="D22" s="31" t="str">
        <f>+'01-FR-03 POA INSTITUCIONAL'!D67</f>
        <v>4.3.7 Diseñar e implementar el 100 % del Plan Anual de Trabajo del Sistema de Gestión de Seguridad y Salud en el Trabajo SG-SST de la vigencia.</v>
      </c>
      <c r="E22" s="52">
        <f>+'01-FR-03 POA INSTITUCIONAL'!E67</f>
        <v>0.15</v>
      </c>
      <c r="F22" s="52">
        <f>+'01-FR-03 POA INSTITUCIONAL'!F67</f>
        <v>1</v>
      </c>
      <c r="G22" s="52">
        <f>+'01-FR-03 POA INSTITUCIONAL'!L67</f>
        <v>1</v>
      </c>
      <c r="H22" s="52">
        <f>+'01-FR-03 POA INSTITUCIONAL'!G67</f>
        <v>0.99</v>
      </c>
      <c r="I22" s="140" t="str">
        <f>+'01-FR-03 POA INSTITUCIONAL'!H67</f>
        <v>Plan Anual de Trabajo del Sistema de Gestión de Seguridad y Salud en el Trabajo SG-SST diseñado y ejecutado</v>
      </c>
      <c r="J22" s="276" t="s">
        <v>432</v>
      </c>
      <c r="K22" s="278" t="s">
        <v>423</v>
      </c>
      <c r="L22" s="443" t="s">
        <v>424</v>
      </c>
      <c r="M22" s="217" t="s">
        <v>434</v>
      </c>
      <c r="N22" s="217" t="s">
        <v>419</v>
      </c>
      <c r="O22" s="443" t="str">
        <f>+'01-FR-03 POA INSTITUCIONAL'!J67</f>
        <v>Dependencia Líder: 
Dirección de Talento Humano
Dependencia Operativa:
Subdirección de Desarrollo del Talento Humano</v>
      </c>
      <c r="P22" s="1017">
        <f>10%+1.68%</f>
        <v>0.1168</v>
      </c>
      <c r="Q22" s="1017">
        <f>10%+1.68%</f>
        <v>0.1168</v>
      </c>
      <c r="R22" s="1017">
        <f>10%+7.84%</f>
        <v>0.1784</v>
      </c>
      <c r="S22" s="1018">
        <v>0.17280000000000001</v>
      </c>
      <c r="T22" s="1018">
        <v>0.10639999999999999</v>
      </c>
      <c r="U22" s="1018">
        <v>0.112</v>
      </c>
      <c r="V22" s="322">
        <f t="shared" si="21"/>
        <v>0.40160000000000001</v>
      </c>
      <c r="W22" s="322">
        <f t="shared" si="22"/>
        <v>0.40160000000000001</v>
      </c>
      <c r="X22" s="1018">
        <v>5.04E-2</v>
      </c>
      <c r="Y22" s="1018"/>
      <c r="Z22" s="1018">
        <v>3.9199999999999999E-2</v>
      </c>
      <c r="AA22" s="1018"/>
      <c r="AB22" s="1018">
        <v>0.10639999999999999</v>
      </c>
      <c r="AC22" s="995"/>
      <c r="AD22" s="322">
        <f t="shared" si="23"/>
        <v>0.19600000000000001</v>
      </c>
      <c r="AE22" s="322">
        <f t="shared" si="24"/>
        <v>0</v>
      </c>
      <c r="AF22" s="1018">
        <v>2.24E-2</v>
      </c>
      <c r="AG22" s="1018"/>
      <c r="AH22" s="1018">
        <v>3.9199999999999999E-2</v>
      </c>
      <c r="AI22" s="1018"/>
      <c r="AJ22" s="1022">
        <v>6.1600000000000002E-2</v>
      </c>
      <c r="AK22" s="998"/>
      <c r="AL22" s="322">
        <f t="shared" si="25"/>
        <v>0.1232</v>
      </c>
      <c r="AM22" s="322">
        <f t="shared" si="26"/>
        <v>0</v>
      </c>
      <c r="AN22" s="1018">
        <v>2.24E-2</v>
      </c>
      <c r="AO22" s="1018"/>
      <c r="AP22" s="1018">
        <v>3.9199999999999999E-2</v>
      </c>
      <c r="AQ22" s="1018"/>
      <c r="AR22" s="1018">
        <f>11.76%+10%</f>
        <v>0.21760000000000002</v>
      </c>
      <c r="AS22" s="1018"/>
      <c r="AT22" s="322">
        <f t="shared" si="27"/>
        <v>0.2792</v>
      </c>
      <c r="AU22" s="322">
        <f t="shared" si="28"/>
        <v>0</v>
      </c>
      <c r="AV22" s="322">
        <f t="shared" si="13"/>
        <v>1</v>
      </c>
      <c r="AW22" s="307">
        <f t="shared" si="14"/>
        <v>0.40160000000000001</v>
      </c>
      <c r="AX22" s="1065">
        <f t="shared" si="15"/>
        <v>0.40160000000000001</v>
      </c>
      <c r="AY22" s="1057">
        <f t="shared" si="16"/>
        <v>0.40160000000000001</v>
      </c>
      <c r="AZ22" s="1065">
        <f t="shared" si="17"/>
        <v>0.40160000000000001</v>
      </c>
      <c r="BA22" s="341">
        <f t="shared" si="18"/>
        <v>0.40160000000000001</v>
      </c>
      <c r="BB22" s="379">
        <f t="shared" si="19"/>
        <v>0.40160000000000001</v>
      </c>
      <c r="BC22" s="379">
        <f t="shared" si="19"/>
        <v>0.40160000000000001</v>
      </c>
      <c r="BD22" s="379">
        <f t="shared" si="19"/>
        <v>0.40160000000000001</v>
      </c>
      <c r="BE22" s="346">
        <f t="shared" si="29"/>
        <v>0.1004</v>
      </c>
      <c r="BF22" s="1056">
        <f t="shared" si="30"/>
        <v>0.1004</v>
      </c>
      <c r="BG22" s="1056">
        <f t="shared" si="31"/>
        <v>0.1004</v>
      </c>
      <c r="BH22" s="1056">
        <f t="shared" si="32"/>
        <v>0.1004</v>
      </c>
    </row>
    <row r="23" spans="2:60" ht="132">
      <c r="B23" s="1723"/>
      <c r="C23" s="1723"/>
      <c r="D23" s="31" t="str">
        <f>+'01-FR-03 POA INSTITUCIONAL'!D68</f>
        <v>4.3.8 Realizar 21 capacitaciones sobre los Sistemas de Gestión y Evaluación del Desempeño Laboral de la Entidad.</v>
      </c>
      <c r="E23" s="52">
        <f>+'01-FR-03 POA INSTITUCIONAL'!E68</f>
        <v>0.1</v>
      </c>
      <c r="F23" s="88">
        <f>+'01-FR-03 POA INSTITUCIONAL'!F68</f>
        <v>21</v>
      </c>
      <c r="G23" s="88">
        <f>+'01-FR-03 POA INSTITUCIONAL'!L68</f>
        <v>4</v>
      </c>
      <c r="H23" s="52" t="str">
        <f>+'01-FR-03 POA INSTITUCIONAL'!G68</f>
        <v>S.I.</v>
      </c>
      <c r="I23" s="140" t="str">
        <f>+'01-FR-03 POA INSTITUCIONAL'!H68</f>
        <v>Capacitaciones realizadas sobre los Sistemas de Gestión y Evaluación del Desempeño Laboral de la Personería de Bogotá, D.C.</v>
      </c>
      <c r="J23" s="215" t="s">
        <v>433</v>
      </c>
      <c r="K23" s="278" t="s">
        <v>425</v>
      </c>
      <c r="L23" s="443" t="s">
        <v>426</v>
      </c>
      <c r="M23" s="217" t="s">
        <v>435</v>
      </c>
      <c r="N23" s="217" t="s">
        <v>427</v>
      </c>
      <c r="O23" s="443" t="str">
        <f>+'01-FR-03 POA INSTITUCIONAL'!J68</f>
        <v>Dirección de Talento Humano</v>
      </c>
      <c r="P23" s="1020">
        <v>1</v>
      </c>
      <c r="Q23" s="1020">
        <v>1</v>
      </c>
      <c r="R23" s="1020">
        <v>1</v>
      </c>
      <c r="S23" s="1020">
        <v>1</v>
      </c>
      <c r="T23" s="1020">
        <v>0</v>
      </c>
      <c r="U23" s="1020">
        <v>0</v>
      </c>
      <c r="V23" s="90">
        <f>+P23+R23+T23</f>
        <v>2</v>
      </c>
      <c r="W23" s="90">
        <f>+Q23+S23+U23</f>
        <v>2</v>
      </c>
      <c r="X23" s="1021">
        <v>0</v>
      </c>
      <c r="Y23" s="1021"/>
      <c r="Z23" s="1021">
        <v>0</v>
      </c>
      <c r="AA23" s="1021"/>
      <c r="AB23" s="1021">
        <v>1</v>
      </c>
      <c r="AC23" s="1021"/>
      <c r="AD23" s="90">
        <f>+X23+Z23+AB23</f>
        <v>1</v>
      </c>
      <c r="AE23" s="90">
        <f>+Y23+AA23+AC23</f>
        <v>0</v>
      </c>
      <c r="AF23" s="1023">
        <v>1</v>
      </c>
      <c r="AG23" s="1023"/>
      <c r="AH23" s="1023">
        <v>0</v>
      </c>
      <c r="AI23" s="1023"/>
      <c r="AJ23" s="1024">
        <v>0</v>
      </c>
      <c r="AK23" s="1024"/>
      <c r="AL23" s="90">
        <f>+AF23+AH23+AJ23</f>
        <v>1</v>
      </c>
      <c r="AM23" s="90">
        <f>+AG23+AI23+AK23</f>
        <v>0</v>
      </c>
      <c r="AN23" s="1025">
        <v>0</v>
      </c>
      <c r="AO23" s="1025"/>
      <c r="AP23" s="1025">
        <v>0</v>
      </c>
      <c r="AQ23" s="1025"/>
      <c r="AR23" s="1025">
        <v>0</v>
      </c>
      <c r="AS23" s="1025"/>
      <c r="AT23" s="90">
        <f>+AN23+AP23+AR23</f>
        <v>0</v>
      </c>
      <c r="AU23" s="90">
        <f>+AO23+AQ23+AS23</f>
        <v>0</v>
      </c>
      <c r="AV23" s="1026">
        <f t="shared" si="13"/>
        <v>4</v>
      </c>
      <c r="AW23" s="81">
        <f>+W23</f>
        <v>2</v>
      </c>
      <c r="AX23" s="1053">
        <f t="shared" ref="AX23" si="33">+W23+AE23</f>
        <v>2</v>
      </c>
      <c r="AY23" s="1053">
        <f t="shared" ref="AY23" si="34">+W23+AE23+AM23</f>
        <v>2</v>
      </c>
      <c r="AZ23" s="1053">
        <f t="shared" ref="AZ23" si="35">+W23+AE23+AM23+AU23</f>
        <v>2</v>
      </c>
      <c r="BA23" s="342">
        <f t="shared" si="18"/>
        <v>0.5</v>
      </c>
      <c r="BB23" s="379">
        <f t="shared" si="19"/>
        <v>0.5</v>
      </c>
      <c r="BC23" s="379">
        <f t="shared" si="19"/>
        <v>0.5</v>
      </c>
      <c r="BD23" s="379">
        <f t="shared" si="19"/>
        <v>0.5</v>
      </c>
      <c r="BE23" s="346">
        <f>(IF(AND(AW23&gt;0,$F23&gt;0),AW23/$F23,0))</f>
        <v>9.5238095238095233E-2</v>
      </c>
      <c r="BF23" s="1056">
        <f t="shared" ref="BF23:BH23" si="36">(IF(AND(AX23&gt;0,$F23&gt;0),AX23/$F23,0))</f>
        <v>9.5238095238095233E-2</v>
      </c>
      <c r="BG23" s="1055">
        <f t="shared" si="36"/>
        <v>9.5238095238095233E-2</v>
      </c>
      <c r="BH23" s="1055">
        <f t="shared" si="36"/>
        <v>9.5238095238095233E-2</v>
      </c>
    </row>
    <row r="24" spans="2:60" ht="15.6">
      <c r="B24" s="1713"/>
      <c r="C24" s="1714"/>
      <c r="D24" s="1714"/>
      <c r="E24" s="1714"/>
      <c r="F24" s="1714"/>
      <c r="G24" s="1714"/>
      <c r="H24" s="1714"/>
      <c r="I24" s="1714"/>
      <c r="J24" s="1714"/>
      <c r="K24" s="1714"/>
      <c r="L24" s="1714"/>
      <c r="M24" s="1714"/>
      <c r="N24" s="1714"/>
      <c r="O24" s="1714"/>
      <c r="P24" s="1714"/>
      <c r="Q24" s="1714"/>
      <c r="R24" s="1714"/>
      <c r="S24" s="1714"/>
      <c r="T24" s="1714"/>
      <c r="U24" s="1714"/>
      <c r="V24" s="1714"/>
      <c r="W24" s="1714"/>
      <c r="X24" s="1714"/>
      <c r="Y24" s="1714"/>
      <c r="Z24" s="1714"/>
      <c r="AA24" s="1714"/>
      <c r="AB24" s="1714"/>
      <c r="AC24" s="1714"/>
      <c r="AD24" s="1714"/>
      <c r="AE24" s="1714"/>
      <c r="AF24" s="1714"/>
      <c r="AG24" s="1714"/>
      <c r="AH24" s="1714"/>
      <c r="AI24" s="1714"/>
      <c r="AJ24" s="1714"/>
      <c r="AK24" s="1714"/>
      <c r="AL24" s="1714"/>
      <c r="AM24" s="1714"/>
      <c r="AN24" s="1714"/>
      <c r="AO24" s="1714"/>
      <c r="AP24" s="1714"/>
      <c r="AQ24" s="1714"/>
      <c r="AR24" s="1714"/>
      <c r="AS24" s="1714"/>
      <c r="AT24" s="1714"/>
      <c r="AU24" s="1714"/>
      <c r="AV24" s="1714"/>
      <c r="AW24" s="1715"/>
      <c r="AX24" s="1737" t="s">
        <v>19</v>
      </c>
      <c r="AY24" s="1738"/>
      <c r="AZ24" s="1738"/>
      <c r="BA24" s="87">
        <f t="shared" ref="BA24:BD24" si="37">AVERAGE(BA17:BA23)</f>
        <v>0.31480182823129249</v>
      </c>
      <c r="BB24" s="87">
        <f t="shared" si="37"/>
        <v>0.28020437317784258</v>
      </c>
      <c r="BC24" s="87">
        <f t="shared" si="37"/>
        <v>0.28024081632653058</v>
      </c>
      <c r="BD24" s="87">
        <f t="shared" si="37"/>
        <v>0.28013148688046646</v>
      </c>
      <c r="BE24" s="1734"/>
      <c r="BF24" s="1735"/>
      <c r="BG24" s="1735"/>
      <c r="BH24" s="1736"/>
    </row>
    <row r="25" spans="2:60">
      <c r="B25" s="1553"/>
      <c r="C25" s="1553"/>
      <c r="D25" s="1553"/>
      <c r="E25" s="1553"/>
      <c r="F25" s="1553"/>
      <c r="G25" s="1553"/>
      <c r="H25" s="279"/>
      <c r="I25" s="280"/>
      <c r="J25" s="280"/>
      <c r="K25" s="280"/>
      <c r="L25" s="280"/>
      <c r="M25" s="280"/>
      <c r="N25" s="280"/>
      <c r="O25" s="280"/>
    </row>
    <row r="26" spans="2:60">
      <c r="B26" s="280"/>
      <c r="C26" s="280"/>
      <c r="D26" s="1720"/>
      <c r="E26" s="1720"/>
      <c r="F26" s="1720"/>
      <c r="G26" s="1720"/>
      <c r="H26" s="1720"/>
      <c r="I26" s="1720"/>
      <c r="J26" s="1720"/>
      <c r="K26" s="1720"/>
      <c r="L26" s="1720"/>
      <c r="M26" s="1720"/>
      <c r="N26" s="1720"/>
      <c r="O26" s="1720"/>
    </row>
    <row r="27" spans="2:60" ht="15.6" customHeight="1">
      <c r="B27" s="77" t="s">
        <v>26</v>
      </c>
      <c r="C27" s="241">
        <v>44224</v>
      </c>
      <c r="D27" s="242"/>
      <c r="E27" s="1625" t="s">
        <v>50</v>
      </c>
      <c r="F27" s="1701" t="s">
        <v>672</v>
      </c>
      <c r="G27" s="1702"/>
      <c r="H27" s="1702"/>
      <c r="I27" s="1702"/>
      <c r="J27" s="1703"/>
      <c r="K27" s="243"/>
      <c r="L27" s="1633"/>
      <c r="M27" s="1633"/>
      <c r="N27" s="1633"/>
      <c r="O27" s="1634"/>
    </row>
    <row r="28" spans="2:60" ht="15.6">
      <c r="B28" s="280"/>
      <c r="C28" s="280"/>
      <c r="D28" s="243"/>
      <c r="E28" s="1625"/>
      <c r="F28" s="1704"/>
      <c r="G28" s="1705"/>
      <c r="H28" s="1705"/>
      <c r="I28" s="1705"/>
      <c r="J28" s="1706"/>
      <c r="K28" s="280"/>
      <c r="L28" s="280"/>
      <c r="M28" s="280"/>
      <c r="N28" s="280"/>
      <c r="O28" s="280"/>
    </row>
    <row r="29" spans="2:60" ht="15.6">
      <c r="B29" s="77" t="s">
        <v>49</v>
      </c>
      <c r="C29" s="80">
        <v>44581</v>
      </c>
      <c r="D29" s="280"/>
      <c r="E29" s="280"/>
      <c r="F29" s="332"/>
      <c r="K29" s="280"/>
      <c r="L29" s="280"/>
      <c r="M29" s="280"/>
      <c r="N29" s="280"/>
      <c r="O29" s="280"/>
    </row>
    <row r="30" spans="2:60">
      <c r="B30" s="280"/>
      <c r="C30" s="280"/>
      <c r="D30" s="280"/>
      <c r="E30" s="280"/>
      <c r="F30" s="332"/>
      <c r="K30" s="280"/>
      <c r="L30" s="280"/>
      <c r="M30" s="280"/>
      <c r="N30" s="280"/>
      <c r="O30" s="280"/>
    </row>
    <row r="31" spans="2:60">
      <c r="B31" s="606" t="s">
        <v>924</v>
      </c>
      <c r="C31" s="280"/>
      <c r="D31" s="280"/>
      <c r="E31" s="280"/>
      <c r="F31" s="332"/>
      <c r="G31" s="279"/>
      <c r="H31" s="279"/>
      <c r="I31" s="1633"/>
      <c r="J31" s="1633"/>
      <c r="K31" s="1633"/>
      <c r="L31" s="1633"/>
      <c r="M31" s="232"/>
      <c r="N31" s="232"/>
      <c r="O31" s="232"/>
    </row>
    <row r="32" spans="2:60">
      <c r="B32" s="280"/>
      <c r="C32" s="280"/>
      <c r="D32" s="280"/>
      <c r="E32" s="280"/>
      <c r="F32" s="332"/>
      <c r="G32" s="279"/>
      <c r="H32" s="279"/>
      <c r="I32" s="280"/>
      <c r="J32" s="280"/>
      <c r="K32" s="281"/>
      <c r="L32" s="280"/>
      <c r="M32" s="280"/>
      <c r="N32" s="280"/>
      <c r="O32" s="280"/>
    </row>
    <row r="33" spans="2:15">
      <c r="B33" s="280"/>
      <c r="C33" s="280"/>
      <c r="D33" s="280"/>
      <c r="E33" s="280"/>
      <c r="F33" s="332"/>
      <c r="G33" s="279"/>
      <c r="H33" s="279"/>
      <c r="I33" s="1633"/>
      <c r="J33" s="1633"/>
      <c r="K33" s="1633"/>
      <c r="L33" s="1633"/>
      <c r="M33" s="232"/>
      <c r="N33" s="232"/>
      <c r="O33" s="232"/>
    </row>
    <row r="34" spans="2:15">
      <c r="B34" s="280"/>
      <c r="C34" s="280"/>
      <c r="D34" s="280"/>
      <c r="E34" s="280"/>
      <c r="F34" s="332"/>
      <c r="G34" s="279"/>
      <c r="H34" s="279"/>
      <c r="I34" s="280"/>
      <c r="J34" s="280"/>
      <c r="K34" s="281"/>
      <c r="L34" s="280"/>
      <c r="M34" s="280"/>
      <c r="N34" s="280"/>
      <c r="O34" s="280"/>
    </row>
    <row r="35" spans="2:15">
      <c r="B35" s="280"/>
      <c r="C35" s="280"/>
      <c r="D35" s="280"/>
      <c r="E35" s="280"/>
      <c r="F35" s="332"/>
      <c r="G35" s="279"/>
      <c r="H35" s="279"/>
      <c r="I35" s="1633"/>
      <c r="J35" s="1633"/>
      <c r="K35" s="1633"/>
      <c r="L35" s="1633"/>
      <c r="M35" s="232"/>
      <c r="N35" s="232"/>
      <c r="O35" s="232"/>
    </row>
  </sheetData>
  <sheetProtection algorithmName="SHA-512" hashValue="uRB7PnjhNRXuQfvgnTFTh70/6tbZ5KyNaqdEcFCaNtoaHhZWv/ilHi2sQsLmBMkBZfb2SjizqAWR7iy0xDJ57g==" saltValue="MHGcfPuyi50/mb3f3Drgnw==" spinCount="100000" sheet="1" objects="1" scenarios="1"/>
  <mergeCells count="71">
    <mergeCell ref="BE24:BH24"/>
    <mergeCell ref="K12:K15"/>
    <mergeCell ref="L12:L15"/>
    <mergeCell ref="M12:M15"/>
    <mergeCell ref="BF13:BF15"/>
    <mergeCell ref="BG13:BG15"/>
    <mergeCell ref="BH13:BH15"/>
    <mergeCell ref="P12:AU12"/>
    <mergeCell ref="Z14:AA14"/>
    <mergeCell ref="BD13:BD15"/>
    <mergeCell ref="AB14:AC14"/>
    <mergeCell ref="AX24:AZ24"/>
    <mergeCell ref="R14:S14"/>
    <mergeCell ref="T14:U14"/>
    <mergeCell ref="V14:W14"/>
    <mergeCell ref="X14:Y14"/>
    <mergeCell ref="C9:D9"/>
    <mergeCell ref="B2:B6"/>
    <mergeCell ref="C2:BF6"/>
    <mergeCell ref="BG6:BH6"/>
    <mergeCell ref="AW7:BA7"/>
    <mergeCell ref="C8:D8"/>
    <mergeCell ref="C10:D10"/>
    <mergeCell ref="B12:B15"/>
    <mergeCell ref="C12:C15"/>
    <mergeCell ref="D12:D15"/>
    <mergeCell ref="BE13:BE15"/>
    <mergeCell ref="F12:F15"/>
    <mergeCell ref="BE12:BH12"/>
    <mergeCell ref="P13:W13"/>
    <mergeCell ref="X13:AE13"/>
    <mergeCell ref="AF13:AM13"/>
    <mergeCell ref="AN13:AU13"/>
    <mergeCell ref="AW13:AW15"/>
    <mergeCell ref="AX13:AX15"/>
    <mergeCell ref="AY13:AY15"/>
    <mergeCell ref="AZ13:AZ15"/>
    <mergeCell ref="BA13:BA15"/>
    <mergeCell ref="D26:O26"/>
    <mergeCell ref="B25:G25"/>
    <mergeCell ref="B16:B23"/>
    <mergeCell ref="C16:C23"/>
    <mergeCell ref="P14:Q14"/>
    <mergeCell ref="E12:E15"/>
    <mergeCell ref="G12:G15"/>
    <mergeCell ref="BC13:BC15"/>
    <mergeCell ref="AV12:AV15"/>
    <mergeCell ref="AW12:AZ12"/>
    <mergeCell ref="BA12:BD12"/>
    <mergeCell ref="BB13:BB15"/>
    <mergeCell ref="I35:L35"/>
    <mergeCell ref="AP14:AQ14"/>
    <mergeCell ref="AR14:AS14"/>
    <mergeCell ref="AT14:AU14"/>
    <mergeCell ref="B24:AW24"/>
    <mergeCell ref="AD14:AE14"/>
    <mergeCell ref="AF14:AG14"/>
    <mergeCell ref="AH14:AI14"/>
    <mergeCell ref="AJ14:AK14"/>
    <mergeCell ref="AL14:AM14"/>
    <mergeCell ref="AN14:AO14"/>
    <mergeCell ref="N12:N15"/>
    <mergeCell ref="O12:O15"/>
    <mergeCell ref="H12:H15"/>
    <mergeCell ref="I12:I15"/>
    <mergeCell ref="J12:J15"/>
    <mergeCell ref="E27:E28"/>
    <mergeCell ref="L27:O27"/>
    <mergeCell ref="I31:L31"/>
    <mergeCell ref="I33:L33"/>
    <mergeCell ref="F27:J28"/>
  </mergeCells>
  <conditionalFormatting sqref="BA16:BD23">
    <cfRule type="cellIs" dxfId="38" priority="1" operator="greaterThan">
      <formula>1</formula>
    </cfRule>
    <cfRule type="cellIs" dxfId="37" priority="2" operator="between">
      <formula>0.8</formula>
      <formula>1</formula>
    </cfRule>
    <cfRule type="cellIs" dxfId="36" priority="3" operator="between">
      <formula>0.61</formula>
      <formula>0.79</formula>
    </cfRule>
    <cfRule type="cellIs" dxfId="35" priority="4" operator="between">
      <formula>0</formula>
      <formula>0.6</formula>
    </cfRule>
  </conditionalFormatting>
  <dataValidations disablePrompts="1" count="1">
    <dataValidation allowBlank="1" showInputMessage="1" showErrorMessage="1" prompt="Transcriba de manera exacta el objetivo definido en la caracterización del proceso." sqref="C9:D9" xr:uid="{04688874-8720-4380-A643-ECCE649529C4}"/>
  </dataValidation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3047C-AB33-42EA-830A-052583F15701}">
  <sheetPr>
    <tabColor rgb="FF66FF33"/>
  </sheetPr>
  <dimension ref="B1:BI29"/>
  <sheetViews>
    <sheetView showGridLines="0" zoomScale="70" zoomScaleNormal="70" workbookViewId="0">
      <selection activeCell="C10" sqref="C10:D10"/>
    </sheetView>
  </sheetViews>
  <sheetFormatPr baseColWidth="10" defaultColWidth="17.33203125" defaultRowHeight="15" customHeight="1"/>
  <cols>
    <col min="1" max="1" width="4.33203125" style="135" customWidth="1"/>
    <col min="2" max="2" width="50.44140625" style="133" customWidth="1"/>
    <col min="3" max="3" width="31.44140625" style="133" customWidth="1"/>
    <col min="4" max="4" width="49.6640625" style="133" customWidth="1"/>
    <col min="5" max="6" width="27.5546875" style="133" customWidth="1"/>
    <col min="7" max="8" width="29.33203125" style="134" customWidth="1"/>
    <col min="9" max="9" width="21.44140625" style="133" customWidth="1"/>
    <col min="10" max="10" width="31.88671875" style="133" customWidth="1"/>
    <col min="11" max="11" width="55.88671875" style="133" customWidth="1"/>
    <col min="12" max="12" width="48.44140625" style="133" customWidth="1"/>
    <col min="13" max="13" width="28.5546875" style="133" customWidth="1"/>
    <col min="14" max="14" width="33.5546875" style="133" customWidth="1"/>
    <col min="15" max="15" width="50" style="133" customWidth="1"/>
    <col min="16" max="47" width="15.88671875" style="135" customWidth="1"/>
    <col min="48" max="48" width="24.5546875" style="135" customWidth="1"/>
    <col min="49" max="49" width="22.88671875" style="135" customWidth="1"/>
    <col min="50" max="50" width="19.33203125" style="135" customWidth="1"/>
    <col min="51" max="51" width="18.44140625" style="135" customWidth="1"/>
    <col min="52" max="52" width="19.44140625" style="135" customWidth="1"/>
    <col min="53" max="53" width="23.33203125" style="135" customWidth="1"/>
    <col min="54" max="55" width="25.109375" style="135" customWidth="1"/>
    <col min="56" max="56" width="26.6640625" style="135" customWidth="1"/>
    <col min="57" max="57" width="26.33203125" style="135" customWidth="1"/>
    <col min="58" max="58" width="26.5546875" style="135" customWidth="1"/>
    <col min="59" max="59" width="26.33203125" style="135" customWidth="1"/>
    <col min="60" max="60" width="27.33203125" style="135" customWidth="1"/>
    <col min="61" max="16384" width="17.33203125" style="135"/>
  </cols>
  <sheetData>
    <row r="1" spans="2:61" ht="15.6" thickBot="1"/>
    <row r="2" spans="2:61" ht="15.6">
      <c r="B2" s="1575" t="s">
        <v>686</v>
      </c>
      <c r="C2" s="1600" t="s">
        <v>118</v>
      </c>
      <c r="D2" s="1601"/>
      <c r="E2" s="1601"/>
      <c r="F2" s="1601"/>
      <c r="G2" s="1601"/>
      <c r="H2" s="1601"/>
      <c r="I2" s="1601"/>
      <c r="J2" s="1601"/>
      <c r="K2" s="1601"/>
      <c r="L2" s="1601"/>
      <c r="M2" s="1601"/>
      <c r="N2" s="1601"/>
      <c r="O2" s="1601"/>
      <c r="P2" s="1601"/>
      <c r="Q2" s="1601"/>
      <c r="R2" s="1601"/>
      <c r="S2" s="1601"/>
      <c r="T2" s="1601"/>
      <c r="U2" s="1601"/>
      <c r="V2" s="1601"/>
      <c r="W2" s="1601"/>
      <c r="X2" s="1601"/>
      <c r="Y2" s="1601"/>
      <c r="Z2" s="1601"/>
      <c r="AA2" s="1601"/>
      <c r="AB2" s="1601"/>
      <c r="AC2" s="1601"/>
      <c r="AD2" s="1601"/>
      <c r="AE2" s="1601"/>
      <c r="AF2" s="1601"/>
      <c r="AG2" s="1601"/>
      <c r="AH2" s="1601"/>
      <c r="AI2" s="1601"/>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2"/>
      <c r="BG2" s="230" t="s">
        <v>31</v>
      </c>
      <c r="BH2" s="231"/>
    </row>
    <row r="3" spans="2:61" ht="15.6">
      <c r="B3" s="1576"/>
      <c r="C3" s="1603"/>
      <c r="D3" s="1604"/>
      <c r="E3" s="1604"/>
      <c r="F3" s="1604"/>
      <c r="G3" s="1604"/>
      <c r="H3" s="1604"/>
      <c r="I3" s="1604"/>
      <c r="J3" s="1604"/>
      <c r="K3" s="1604"/>
      <c r="L3" s="1604"/>
      <c r="M3" s="1604"/>
      <c r="N3" s="1604"/>
      <c r="O3" s="1604"/>
      <c r="P3" s="1604"/>
      <c r="Q3" s="1604"/>
      <c r="R3" s="1604"/>
      <c r="S3" s="1604"/>
      <c r="T3" s="1604"/>
      <c r="U3" s="1604"/>
      <c r="V3" s="1604"/>
      <c r="W3" s="1604"/>
      <c r="X3" s="1604"/>
      <c r="Y3" s="1604"/>
      <c r="Z3" s="1604"/>
      <c r="AA3" s="1604"/>
      <c r="AB3" s="1604"/>
      <c r="AC3" s="1604"/>
      <c r="AD3" s="1604"/>
      <c r="AE3" s="1604"/>
      <c r="AF3" s="1604"/>
      <c r="AG3" s="1604"/>
      <c r="AH3" s="1604"/>
      <c r="AI3" s="1604"/>
      <c r="AJ3" s="1604"/>
      <c r="AK3" s="1604"/>
      <c r="AL3" s="1604"/>
      <c r="AM3" s="1604"/>
      <c r="AN3" s="1604"/>
      <c r="AO3" s="1604"/>
      <c r="AP3" s="1604"/>
      <c r="AQ3" s="1604"/>
      <c r="AR3" s="1604"/>
      <c r="AS3" s="1604"/>
      <c r="AT3" s="1604"/>
      <c r="AU3" s="1604"/>
      <c r="AV3" s="1604"/>
      <c r="AW3" s="1604"/>
      <c r="AX3" s="1604"/>
      <c r="AY3" s="1604"/>
      <c r="AZ3" s="1604"/>
      <c r="BA3" s="1604"/>
      <c r="BB3" s="1604"/>
      <c r="BC3" s="1604"/>
      <c r="BD3" s="1604"/>
      <c r="BE3" s="1604"/>
      <c r="BF3" s="1605"/>
      <c r="BG3" s="209" t="s">
        <v>28</v>
      </c>
      <c r="BH3" s="28" t="s">
        <v>29</v>
      </c>
    </row>
    <row r="4" spans="2:61" ht="15" customHeight="1">
      <c r="B4" s="1576"/>
      <c r="C4" s="1603"/>
      <c r="D4" s="1604"/>
      <c r="E4" s="1604"/>
      <c r="F4" s="1604"/>
      <c r="G4" s="1604"/>
      <c r="H4" s="1604"/>
      <c r="I4" s="1604"/>
      <c r="J4" s="1604"/>
      <c r="K4" s="1604"/>
      <c r="L4" s="1604"/>
      <c r="M4" s="1604"/>
      <c r="N4" s="1604"/>
      <c r="O4" s="1604"/>
      <c r="P4" s="1604"/>
      <c r="Q4" s="1604"/>
      <c r="R4" s="1604"/>
      <c r="S4" s="1604"/>
      <c r="T4" s="1604"/>
      <c r="U4" s="1604"/>
      <c r="V4" s="1604"/>
      <c r="W4" s="1604"/>
      <c r="X4" s="1604"/>
      <c r="Y4" s="1604"/>
      <c r="Z4" s="1604"/>
      <c r="AA4" s="1604"/>
      <c r="AB4" s="1604"/>
      <c r="AC4" s="1604"/>
      <c r="AD4" s="1604"/>
      <c r="AE4" s="1604"/>
      <c r="AF4" s="1604"/>
      <c r="AG4" s="1604"/>
      <c r="AH4" s="1604"/>
      <c r="AI4" s="1604"/>
      <c r="AJ4" s="1604"/>
      <c r="AK4" s="1604"/>
      <c r="AL4" s="1604"/>
      <c r="AM4" s="1604"/>
      <c r="AN4" s="1604"/>
      <c r="AO4" s="1604"/>
      <c r="AP4" s="1604"/>
      <c r="AQ4" s="1604"/>
      <c r="AR4" s="1604"/>
      <c r="AS4" s="1604"/>
      <c r="AT4" s="1604"/>
      <c r="AU4" s="1604"/>
      <c r="AV4" s="1604"/>
      <c r="AW4" s="1604"/>
      <c r="AX4" s="1604"/>
      <c r="AY4" s="1604"/>
      <c r="AZ4" s="1604"/>
      <c r="BA4" s="1604"/>
      <c r="BB4" s="1604"/>
      <c r="BC4" s="1604"/>
      <c r="BD4" s="1604"/>
      <c r="BE4" s="1604"/>
      <c r="BF4" s="1605"/>
      <c r="BG4" s="210">
        <v>5</v>
      </c>
      <c r="BH4" s="30" t="s">
        <v>657</v>
      </c>
    </row>
    <row r="5" spans="2:61" ht="15.6">
      <c r="B5" s="1576"/>
      <c r="C5" s="1603"/>
      <c r="D5" s="1604"/>
      <c r="E5" s="1604"/>
      <c r="F5" s="1604"/>
      <c r="G5" s="1604"/>
      <c r="H5" s="1604"/>
      <c r="I5" s="1604"/>
      <c r="J5" s="1604"/>
      <c r="K5" s="1604"/>
      <c r="L5" s="1604"/>
      <c r="M5" s="1604"/>
      <c r="N5" s="1604"/>
      <c r="O5" s="1604"/>
      <c r="P5" s="1604"/>
      <c r="Q5" s="1604"/>
      <c r="R5" s="1604"/>
      <c r="S5" s="1604"/>
      <c r="T5" s="1604"/>
      <c r="U5" s="1604"/>
      <c r="V5" s="1604"/>
      <c r="W5" s="1604"/>
      <c r="X5" s="1604"/>
      <c r="Y5" s="1604"/>
      <c r="Z5" s="1604"/>
      <c r="AA5" s="1604"/>
      <c r="AB5" s="1604"/>
      <c r="AC5" s="1604"/>
      <c r="AD5" s="1604"/>
      <c r="AE5" s="1604"/>
      <c r="AF5" s="1604"/>
      <c r="AG5" s="1604"/>
      <c r="AH5" s="1604"/>
      <c r="AI5" s="1604"/>
      <c r="AJ5" s="1604"/>
      <c r="AK5" s="1604"/>
      <c r="AL5" s="1604"/>
      <c r="AM5" s="1604"/>
      <c r="AN5" s="1604"/>
      <c r="AO5" s="1604"/>
      <c r="AP5" s="1604"/>
      <c r="AQ5" s="1604"/>
      <c r="AR5" s="1604"/>
      <c r="AS5" s="1604"/>
      <c r="AT5" s="1604"/>
      <c r="AU5" s="1604"/>
      <c r="AV5" s="1604"/>
      <c r="AW5" s="1604"/>
      <c r="AX5" s="1604"/>
      <c r="AY5" s="1604"/>
      <c r="AZ5" s="1604"/>
      <c r="BA5" s="1604"/>
      <c r="BB5" s="1604"/>
      <c r="BC5" s="1604"/>
      <c r="BD5" s="1604"/>
      <c r="BE5" s="1604"/>
      <c r="BF5" s="1605"/>
      <c r="BG5" s="211" t="s">
        <v>30</v>
      </c>
      <c r="BH5" s="212"/>
    </row>
    <row r="6" spans="2:61" ht="15.6" customHeight="1" thickBot="1">
      <c r="B6" s="1577"/>
      <c r="C6" s="1606"/>
      <c r="D6" s="1607"/>
      <c r="E6" s="1607"/>
      <c r="F6" s="1607"/>
      <c r="G6" s="1607"/>
      <c r="H6" s="1607"/>
      <c r="I6" s="1607"/>
      <c r="J6" s="1607"/>
      <c r="K6" s="1607"/>
      <c r="L6" s="1607"/>
      <c r="M6" s="1607"/>
      <c r="N6" s="1607"/>
      <c r="O6" s="1607"/>
      <c r="P6" s="1607"/>
      <c r="Q6" s="1607"/>
      <c r="R6" s="1607"/>
      <c r="S6" s="1607"/>
      <c r="T6" s="1607"/>
      <c r="U6" s="1607"/>
      <c r="V6" s="1607"/>
      <c r="W6" s="1607"/>
      <c r="X6" s="1607"/>
      <c r="Y6" s="1607"/>
      <c r="Z6" s="1607"/>
      <c r="AA6" s="1607"/>
      <c r="AB6" s="1607"/>
      <c r="AC6" s="1607"/>
      <c r="AD6" s="1607"/>
      <c r="AE6" s="1607"/>
      <c r="AF6" s="1607"/>
      <c r="AG6" s="1607"/>
      <c r="AH6" s="1607"/>
      <c r="AI6" s="1607"/>
      <c r="AJ6" s="1607"/>
      <c r="AK6" s="1607"/>
      <c r="AL6" s="1607"/>
      <c r="AM6" s="1607"/>
      <c r="AN6" s="1607"/>
      <c r="AO6" s="1607"/>
      <c r="AP6" s="1607"/>
      <c r="AQ6" s="1607"/>
      <c r="AR6" s="1607"/>
      <c r="AS6" s="1607"/>
      <c r="AT6" s="1607"/>
      <c r="AU6" s="1607"/>
      <c r="AV6" s="1607"/>
      <c r="AW6" s="1607"/>
      <c r="AX6" s="1607"/>
      <c r="AY6" s="1607"/>
      <c r="AZ6" s="1607"/>
      <c r="BA6" s="1607"/>
      <c r="BB6" s="1607"/>
      <c r="BC6" s="1607"/>
      <c r="BD6" s="1607"/>
      <c r="BE6" s="1607"/>
      <c r="BF6" s="1608"/>
      <c r="BG6" s="1566">
        <v>44306</v>
      </c>
      <c r="BH6" s="1567"/>
    </row>
    <row r="7" spans="2:61">
      <c r="B7" s="136"/>
      <c r="C7" s="136"/>
      <c r="D7" s="136"/>
      <c r="E7" s="136"/>
      <c r="F7" s="136"/>
      <c r="G7" s="137"/>
      <c r="H7" s="137"/>
      <c r="I7" s="136"/>
      <c r="J7" s="136"/>
      <c r="K7" s="136"/>
      <c r="L7" s="136"/>
      <c r="M7" s="136"/>
      <c r="N7" s="136"/>
      <c r="O7" s="136"/>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589"/>
      <c r="AX7" s="1633"/>
      <c r="AY7" s="1633"/>
      <c r="AZ7" s="1633"/>
      <c r="BA7" s="1591"/>
      <c r="BB7" s="232"/>
      <c r="BC7" s="232"/>
      <c r="BD7" s="232"/>
      <c r="BE7" s="138"/>
      <c r="BF7" s="138"/>
    </row>
    <row r="8" spans="2:61" ht="21">
      <c r="B8" s="213" t="s">
        <v>45</v>
      </c>
      <c r="C8" s="1651" t="s">
        <v>92</v>
      </c>
      <c r="D8" s="1651"/>
      <c r="E8" s="214"/>
      <c r="F8" s="214"/>
      <c r="G8" s="214"/>
      <c r="H8" s="214"/>
      <c r="I8" s="214"/>
      <c r="J8" s="214"/>
      <c r="K8" s="214"/>
      <c r="L8" s="214"/>
      <c r="M8" s="214"/>
      <c r="N8" s="214"/>
      <c r="O8" s="214"/>
      <c r="AW8" s="232"/>
      <c r="AX8" s="232"/>
      <c r="AY8" s="232"/>
      <c r="AZ8" s="232"/>
      <c r="BA8" s="232"/>
      <c r="BB8" s="232"/>
      <c r="BC8" s="232"/>
      <c r="BD8" s="232"/>
    </row>
    <row r="9" spans="2:61" ht="63" customHeight="1">
      <c r="B9" s="213" t="s">
        <v>34</v>
      </c>
      <c r="C9" s="1732" t="s">
        <v>440</v>
      </c>
      <c r="D9" s="1611"/>
      <c r="E9" s="1741"/>
      <c r="F9" s="1742"/>
      <c r="G9" s="1742"/>
      <c r="H9" s="214"/>
      <c r="I9" s="214"/>
      <c r="J9" s="214"/>
      <c r="K9" s="214"/>
      <c r="L9" s="214"/>
      <c r="M9" s="214"/>
      <c r="N9" s="214"/>
      <c r="O9" s="214"/>
      <c r="AW9" s="232"/>
      <c r="AX9" s="232"/>
      <c r="AY9" s="232"/>
      <c r="AZ9" s="232"/>
      <c r="BA9" s="232"/>
      <c r="BB9" s="232"/>
      <c r="BC9" s="232"/>
      <c r="BD9" s="232"/>
    </row>
    <row r="10" spans="2:61" ht="24.6">
      <c r="B10" s="213" t="s">
        <v>101</v>
      </c>
      <c r="C10" s="1612">
        <v>2022</v>
      </c>
      <c r="D10" s="1613"/>
      <c r="E10" s="282"/>
      <c r="F10" s="282"/>
      <c r="G10" s="214"/>
      <c r="H10" s="214"/>
      <c r="I10" s="214"/>
      <c r="J10" s="214"/>
      <c r="K10" s="214"/>
      <c r="L10" s="214"/>
      <c r="M10" s="214"/>
      <c r="N10" s="214"/>
      <c r="O10" s="214"/>
      <c r="AW10" s="232"/>
      <c r="AX10" s="232"/>
      <c r="AY10" s="232"/>
      <c r="AZ10" s="232"/>
      <c r="BA10" s="232"/>
      <c r="BB10" s="232"/>
      <c r="BC10" s="232"/>
      <c r="BD10" s="232"/>
    </row>
    <row r="11" spans="2:61">
      <c r="B11" s="136"/>
      <c r="C11" s="136"/>
      <c r="D11" s="136"/>
      <c r="E11" s="136"/>
      <c r="F11" s="136"/>
      <c r="G11" s="137"/>
      <c r="H11" s="137"/>
      <c r="I11" s="136"/>
      <c r="J11" s="136"/>
      <c r="K11" s="136"/>
      <c r="L11" s="136"/>
      <c r="M11" s="136"/>
      <c r="N11" s="136"/>
      <c r="O11" s="136"/>
      <c r="AW11" s="232"/>
      <c r="AX11" s="232"/>
      <c r="AY11" s="232"/>
      <c r="AZ11" s="232"/>
      <c r="BA11" s="232"/>
      <c r="BB11" s="232"/>
      <c r="BC11" s="232"/>
      <c r="BD11" s="232"/>
    </row>
    <row r="12" spans="2:61" ht="28.2" customHeight="1">
      <c r="B12" s="1476" t="s">
        <v>0</v>
      </c>
      <c r="C12" s="1476" t="s">
        <v>52</v>
      </c>
      <c r="D12" s="1302" t="s">
        <v>711</v>
      </c>
      <c r="E12" s="1476" t="s">
        <v>61</v>
      </c>
      <c r="F12" s="1302" t="s">
        <v>682</v>
      </c>
      <c r="G12" s="1476" t="s">
        <v>58</v>
      </c>
      <c r="H12" s="1476" t="s">
        <v>25</v>
      </c>
      <c r="I12" s="1476" t="s">
        <v>60</v>
      </c>
      <c r="J12" s="1476" t="s">
        <v>39</v>
      </c>
      <c r="K12" s="1476" t="s">
        <v>36</v>
      </c>
      <c r="L12" s="1476" t="s">
        <v>20</v>
      </c>
      <c r="M12" s="1476" t="s">
        <v>51</v>
      </c>
      <c r="N12" s="1476" t="s">
        <v>40</v>
      </c>
      <c r="O12" s="1476" t="s">
        <v>42</v>
      </c>
      <c r="P12" s="1528" t="s">
        <v>112</v>
      </c>
      <c r="Q12" s="1528"/>
      <c r="R12" s="1528"/>
      <c r="S12" s="1528"/>
      <c r="T12" s="1528"/>
      <c r="U12" s="1528"/>
      <c r="V12" s="1528"/>
      <c r="W12" s="1528"/>
      <c r="X12" s="1528"/>
      <c r="Y12" s="1528"/>
      <c r="Z12" s="1528"/>
      <c r="AA12" s="1528"/>
      <c r="AB12" s="1528"/>
      <c r="AC12" s="1528"/>
      <c r="AD12" s="1528"/>
      <c r="AE12" s="1528"/>
      <c r="AF12" s="1528"/>
      <c r="AG12" s="1528"/>
      <c r="AH12" s="1528"/>
      <c r="AI12" s="1528"/>
      <c r="AJ12" s="1528"/>
      <c r="AK12" s="1528"/>
      <c r="AL12" s="1528"/>
      <c r="AM12" s="1528"/>
      <c r="AN12" s="1528"/>
      <c r="AO12" s="1528"/>
      <c r="AP12" s="1528"/>
      <c r="AQ12" s="1528"/>
      <c r="AR12" s="1528"/>
      <c r="AS12" s="1528"/>
      <c r="AT12" s="1528"/>
      <c r="AU12" s="1528"/>
      <c r="AV12" s="1592" t="s">
        <v>62</v>
      </c>
      <c r="AW12" s="1594" t="s">
        <v>683</v>
      </c>
      <c r="AX12" s="1595"/>
      <c r="AY12" s="1595"/>
      <c r="AZ12" s="1596"/>
      <c r="BA12" s="1583" t="s">
        <v>684</v>
      </c>
      <c r="BB12" s="1584"/>
      <c r="BC12" s="1584"/>
      <c r="BD12" s="1585"/>
      <c r="BE12" s="1618" t="s">
        <v>685</v>
      </c>
      <c r="BF12" s="1619"/>
      <c r="BG12" s="1619"/>
      <c r="BH12" s="1620"/>
    </row>
    <row r="13" spans="2:61" ht="15.6">
      <c r="B13" s="1476"/>
      <c r="C13" s="1476"/>
      <c r="D13" s="1302"/>
      <c r="E13" s="1476"/>
      <c r="F13" s="1302"/>
      <c r="G13" s="1476"/>
      <c r="H13" s="1476"/>
      <c r="I13" s="1476"/>
      <c r="J13" s="1476"/>
      <c r="K13" s="1476"/>
      <c r="L13" s="1476"/>
      <c r="M13" s="1476"/>
      <c r="N13" s="1476"/>
      <c r="O13" s="1476"/>
      <c r="P13" s="1593" t="s">
        <v>21</v>
      </c>
      <c r="Q13" s="1593"/>
      <c r="R13" s="1593"/>
      <c r="S13" s="1593"/>
      <c r="T13" s="1593"/>
      <c r="U13" s="1593"/>
      <c r="V13" s="1593"/>
      <c r="W13" s="1593"/>
      <c r="X13" s="1593" t="s">
        <v>22</v>
      </c>
      <c r="Y13" s="1593"/>
      <c r="Z13" s="1593"/>
      <c r="AA13" s="1593"/>
      <c r="AB13" s="1593"/>
      <c r="AC13" s="1593"/>
      <c r="AD13" s="1593"/>
      <c r="AE13" s="1593"/>
      <c r="AF13" s="1593" t="s">
        <v>23</v>
      </c>
      <c r="AG13" s="1593"/>
      <c r="AH13" s="1593"/>
      <c r="AI13" s="1593"/>
      <c r="AJ13" s="1593"/>
      <c r="AK13" s="1593"/>
      <c r="AL13" s="1593"/>
      <c r="AM13" s="1593"/>
      <c r="AN13" s="1593" t="s">
        <v>24</v>
      </c>
      <c r="AO13" s="1593"/>
      <c r="AP13" s="1593"/>
      <c r="AQ13" s="1593"/>
      <c r="AR13" s="1593"/>
      <c r="AS13" s="1593"/>
      <c r="AT13" s="1593"/>
      <c r="AU13" s="1593"/>
      <c r="AV13" s="1592"/>
      <c r="AW13" s="1597" t="s">
        <v>119</v>
      </c>
      <c r="AX13" s="1597" t="s">
        <v>22</v>
      </c>
      <c r="AY13" s="1597" t="s">
        <v>315</v>
      </c>
      <c r="AZ13" s="1597" t="s">
        <v>316</v>
      </c>
      <c r="BA13" s="1586" t="s">
        <v>119</v>
      </c>
      <c r="BB13" s="1586" t="s">
        <v>122</v>
      </c>
      <c r="BC13" s="1586" t="s">
        <v>123</v>
      </c>
      <c r="BD13" s="1586" t="s">
        <v>124</v>
      </c>
      <c r="BE13" s="1580" t="s">
        <v>21</v>
      </c>
      <c r="BF13" s="1580" t="s">
        <v>22</v>
      </c>
      <c r="BG13" s="1580" t="s">
        <v>23</v>
      </c>
      <c r="BH13" s="1580" t="s">
        <v>24</v>
      </c>
    </row>
    <row r="14" spans="2:61" ht="15.6">
      <c r="B14" s="1476"/>
      <c r="C14" s="1476"/>
      <c r="D14" s="1302"/>
      <c r="E14" s="1476"/>
      <c r="F14" s="1302"/>
      <c r="G14" s="1476"/>
      <c r="H14" s="1476"/>
      <c r="I14" s="1476"/>
      <c r="J14" s="1476"/>
      <c r="K14" s="1476"/>
      <c r="L14" s="1476"/>
      <c r="M14" s="1476"/>
      <c r="N14" s="1476"/>
      <c r="O14" s="1476"/>
      <c r="P14" s="1641" t="s">
        <v>5</v>
      </c>
      <c r="Q14" s="1641"/>
      <c r="R14" s="1641" t="s">
        <v>6</v>
      </c>
      <c r="S14" s="1641"/>
      <c r="T14" s="1641" t="s">
        <v>7</v>
      </c>
      <c r="U14" s="1641"/>
      <c r="V14" s="1528" t="s">
        <v>8</v>
      </c>
      <c r="W14" s="1528"/>
      <c r="X14" s="1641" t="s">
        <v>27</v>
      </c>
      <c r="Y14" s="1641"/>
      <c r="Z14" s="1641" t="s">
        <v>9</v>
      </c>
      <c r="AA14" s="1641"/>
      <c r="AB14" s="1641" t="s">
        <v>10</v>
      </c>
      <c r="AC14" s="1641"/>
      <c r="AD14" s="1528" t="s">
        <v>8</v>
      </c>
      <c r="AE14" s="1528"/>
      <c r="AF14" s="1641" t="s">
        <v>11</v>
      </c>
      <c r="AG14" s="1641"/>
      <c r="AH14" s="1641" t="s">
        <v>12</v>
      </c>
      <c r="AI14" s="1641"/>
      <c r="AJ14" s="1641" t="s">
        <v>13</v>
      </c>
      <c r="AK14" s="1641"/>
      <c r="AL14" s="1528" t="s">
        <v>8</v>
      </c>
      <c r="AM14" s="1528"/>
      <c r="AN14" s="1641" t="s">
        <v>14</v>
      </c>
      <c r="AO14" s="1641"/>
      <c r="AP14" s="1641" t="s">
        <v>15</v>
      </c>
      <c r="AQ14" s="1641"/>
      <c r="AR14" s="1641" t="s">
        <v>16</v>
      </c>
      <c r="AS14" s="1641"/>
      <c r="AT14" s="1528" t="s">
        <v>8</v>
      </c>
      <c r="AU14" s="1528"/>
      <c r="AV14" s="1592"/>
      <c r="AW14" s="1598"/>
      <c r="AX14" s="1598"/>
      <c r="AY14" s="1598"/>
      <c r="AZ14" s="1598"/>
      <c r="BA14" s="1587"/>
      <c r="BB14" s="1587"/>
      <c r="BC14" s="1587"/>
      <c r="BD14" s="1587"/>
      <c r="BE14" s="1581"/>
      <c r="BF14" s="1581"/>
      <c r="BG14" s="1581"/>
      <c r="BH14" s="1581"/>
    </row>
    <row r="15" spans="2:61" ht="13.2" customHeight="1">
      <c r="B15" s="1476"/>
      <c r="C15" s="1476"/>
      <c r="D15" s="1302"/>
      <c r="E15" s="1476"/>
      <c r="F15" s="1302"/>
      <c r="G15" s="1476"/>
      <c r="H15" s="1476"/>
      <c r="I15" s="1476"/>
      <c r="J15" s="1476"/>
      <c r="K15" s="1476"/>
      <c r="L15" s="1476"/>
      <c r="M15" s="1476"/>
      <c r="N15" s="1476"/>
      <c r="O15" s="1476"/>
      <c r="P15" s="233" t="s">
        <v>17</v>
      </c>
      <c r="Q15" s="234" t="s">
        <v>18</v>
      </c>
      <c r="R15" s="233" t="s">
        <v>17</v>
      </c>
      <c r="S15" s="234" t="s">
        <v>18</v>
      </c>
      <c r="T15" s="233" t="s">
        <v>17</v>
      </c>
      <c r="U15" s="234" t="s">
        <v>18</v>
      </c>
      <c r="V15" s="75" t="s">
        <v>17</v>
      </c>
      <c r="W15" s="76" t="s">
        <v>18</v>
      </c>
      <c r="X15" s="233" t="s">
        <v>17</v>
      </c>
      <c r="Y15" s="234" t="s">
        <v>18</v>
      </c>
      <c r="Z15" s="233" t="s">
        <v>17</v>
      </c>
      <c r="AA15" s="234" t="s">
        <v>18</v>
      </c>
      <c r="AB15" s="233" t="s">
        <v>17</v>
      </c>
      <c r="AC15" s="234" t="s">
        <v>18</v>
      </c>
      <c r="AD15" s="75" t="s">
        <v>17</v>
      </c>
      <c r="AE15" s="76" t="s">
        <v>18</v>
      </c>
      <c r="AF15" s="233" t="s">
        <v>17</v>
      </c>
      <c r="AG15" s="234" t="s">
        <v>18</v>
      </c>
      <c r="AH15" s="233" t="s">
        <v>17</v>
      </c>
      <c r="AI15" s="234" t="s">
        <v>18</v>
      </c>
      <c r="AJ15" s="233" t="s">
        <v>17</v>
      </c>
      <c r="AK15" s="234" t="s">
        <v>18</v>
      </c>
      <c r="AL15" s="75" t="s">
        <v>17</v>
      </c>
      <c r="AM15" s="76" t="s">
        <v>18</v>
      </c>
      <c r="AN15" s="233" t="s">
        <v>17</v>
      </c>
      <c r="AO15" s="234" t="s">
        <v>18</v>
      </c>
      <c r="AP15" s="233" t="s">
        <v>17</v>
      </c>
      <c r="AQ15" s="234" t="s">
        <v>18</v>
      </c>
      <c r="AR15" s="233" t="s">
        <v>17</v>
      </c>
      <c r="AS15" s="234" t="s">
        <v>18</v>
      </c>
      <c r="AT15" s="75" t="s">
        <v>17</v>
      </c>
      <c r="AU15" s="76" t="s">
        <v>18</v>
      </c>
      <c r="AV15" s="1592"/>
      <c r="AW15" s="1599"/>
      <c r="AX15" s="1599"/>
      <c r="AY15" s="1599"/>
      <c r="AZ15" s="1599"/>
      <c r="BA15" s="1588"/>
      <c r="BB15" s="1588"/>
      <c r="BC15" s="1588"/>
      <c r="BD15" s="1588"/>
      <c r="BE15" s="1582"/>
      <c r="BF15" s="1582"/>
      <c r="BG15" s="1582"/>
      <c r="BH15" s="1582"/>
    </row>
    <row r="16" spans="2:61" ht="244.2" customHeight="1">
      <c r="B16" s="1616"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616" t="str">
        <f>+'01-FR-03 POA INSTITUCIONAL'!C69</f>
        <v>4.4. Implementar el 100% de las acciones necesarias para la modernización de la gestión institucional a través de los procesos de apoyo, que permita una mejor prestación del servicio.</v>
      </c>
      <c r="D16" s="247" t="str">
        <f>+'01-FR-03 POA INSTITUCIONAL'!D69</f>
        <v>4.4.1 Atender el 100% de los servicios de mantenimiento, almacén, transporte. Aseo y cafetería</v>
      </c>
      <c r="E16" s="52">
        <f>+'01-FR-03 POA INSTITUCIONAL'!E69</f>
        <v>0.1</v>
      </c>
      <c r="F16" s="52">
        <f>+'01-FR-03 POA INSTITUCIONAL'!F69</f>
        <v>1</v>
      </c>
      <c r="G16" s="160">
        <f>+'01-FR-03 POA INSTITUCIONAL'!L69</f>
        <v>1</v>
      </c>
      <c r="H16" s="283">
        <f>+'01-FR-03 POA INSTITUCIONAL'!G69</f>
        <v>0.99199999999999999</v>
      </c>
      <c r="I16" s="68" t="str">
        <f>+'[6]POA Anualizado (Pág 1 de 3)'!H13</f>
        <v>Porcentaje de servicios atendidos</v>
      </c>
      <c r="J16" s="215" t="s">
        <v>441</v>
      </c>
      <c r="K16" s="284" t="s">
        <v>442</v>
      </c>
      <c r="L16" s="236" t="s">
        <v>450</v>
      </c>
      <c r="M16" s="236" t="s">
        <v>443</v>
      </c>
      <c r="N16" s="236" t="s">
        <v>451</v>
      </c>
      <c r="O16" s="285" t="str">
        <f>+'01-FR-03 POA INSTITUCIONAL'!J69</f>
        <v>Subdirección de Gestión Documental y Recursos Físicos
Dirección Administrativa y Financiera</v>
      </c>
      <c r="P16" s="324">
        <v>1</v>
      </c>
      <c r="Q16" s="324">
        <v>1</v>
      </c>
      <c r="R16" s="325">
        <v>1</v>
      </c>
      <c r="S16" s="324">
        <v>1</v>
      </c>
      <c r="T16" s="325">
        <v>1</v>
      </c>
      <c r="U16" s="324">
        <v>1</v>
      </c>
      <c r="V16" s="321">
        <f>AVERAGE(P16,R16,T16)</f>
        <v>1</v>
      </c>
      <c r="W16" s="321">
        <f>IFERROR(AVERAGE(Q16,S16,U16),0)</f>
        <v>1</v>
      </c>
      <c r="X16" s="325">
        <v>1</v>
      </c>
      <c r="Y16" s="1067">
        <v>0</v>
      </c>
      <c r="Z16" s="325">
        <v>1</v>
      </c>
      <c r="AA16" s="325"/>
      <c r="AB16" s="325">
        <v>1</v>
      </c>
      <c r="AC16" s="325"/>
      <c r="AD16" s="321">
        <f>AVERAGE(X16,Z16,AB16)</f>
        <v>1</v>
      </c>
      <c r="AE16" s="321">
        <f>IFERROR(AVERAGE(Y16,AA16,AC16),0)</f>
        <v>0</v>
      </c>
      <c r="AF16" s="325">
        <v>1</v>
      </c>
      <c r="AG16" s="1067">
        <v>0</v>
      </c>
      <c r="AH16" s="325">
        <v>1</v>
      </c>
      <c r="AI16" s="1067">
        <v>0</v>
      </c>
      <c r="AJ16" s="325">
        <v>1</v>
      </c>
      <c r="AK16" s="1067">
        <v>0</v>
      </c>
      <c r="AL16" s="321">
        <f>AVERAGE(AF16,AH16,AJ16)</f>
        <v>1</v>
      </c>
      <c r="AM16" s="321">
        <f>IFERROR(AVERAGE(AG16,AI16,AK16),0)</f>
        <v>0</v>
      </c>
      <c r="AN16" s="325">
        <v>1</v>
      </c>
      <c r="AO16" s="1067">
        <v>0</v>
      </c>
      <c r="AP16" s="325">
        <v>1</v>
      </c>
      <c r="AQ16" s="1067">
        <v>0</v>
      </c>
      <c r="AR16" s="325">
        <v>1</v>
      </c>
      <c r="AS16" s="1067">
        <v>0</v>
      </c>
      <c r="AT16" s="321">
        <f>AVERAGE(AN16,AP16,AR16)</f>
        <v>1</v>
      </c>
      <c r="AU16" s="321">
        <f>IFERROR(AVERAGE(AO16,AQ16,AS16),0)</f>
        <v>0</v>
      </c>
      <c r="AV16" s="321">
        <f>AVERAGE(P16,R16,T16,X16,Z16,AB16,AF16,AH16,AJ16,AN16,AP16,AR16)</f>
        <v>1</v>
      </c>
      <c r="AW16" s="307">
        <f>IFERROR(IF(OR($AV$16="",$AV$16=0),0,ROUNDDOWN(AVERAGE($Q16,$S16,$U16),3)),0)</f>
        <v>1</v>
      </c>
      <c r="AX16" s="1057">
        <f>IFERROR(IF(OR($AV$17="",$AV$17=0),0,ROUNDDOWN(AVERAGE($Q16,$S16,$U16,$Y16,$AA16,$AC16),3)),0)</f>
        <v>0.75</v>
      </c>
      <c r="AY16" s="1057">
        <f>IFERROR(IF(OR($AV$17="",$AV$17=0),0,ROUNDDOWN(AVERAGE($Q16,$S16,$U16,$Y16,$AA16,$AC16,$AG16,$AI16,$AK16),3)),0)</f>
        <v>0.42799999999999999</v>
      </c>
      <c r="AZ16" s="1057">
        <f>IFERROR(IF(OR($AV$17="",$AV$17=0),0,ROUNDDOWN(AVERAGE($Q16,$S16,$U16,$Y16,$AA16,$AC16,$AG16,$AI16,$AK16,$AO16,$AQ16,$AS16),3)),0)</f>
        <v>0.3</v>
      </c>
      <c r="BA16" s="341">
        <f>(IF(AND(AW16&gt;0,$AV16&gt;0),AW16/$AV16,0))*0.25</f>
        <v>0.25</v>
      </c>
      <c r="BB16" s="341">
        <f>(IF(AND(AX16&gt;0,$AV16&gt;0),AX16/$AV16,0))*0.5</f>
        <v>0.375</v>
      </c>
      <c r="BC16" s="341">
        <f>(IF(AND(AY16&gt;0,$AV16&gt;0),AY16/$AV16,0))*0.75</f>
        <v>0.32100000000000001</v>
      </c>
      <c r="BD16" s="341">
        <f>(IF(AND(AZ16&gt;0,$AV16&gt;0),AZ16/$AV16,0))*1</f>
        <v>0.3</v>
      </c>
      <c r="BE16" s="346">
        <f>((IF(AND(AW16&gt;0,$F16&gt;0),AW16/$F16,0))/4)*0.25</f>
        <v>6.25E-2</v>
      </c>
      <c r="BF16" s="1066">
        <f>((IF(AND(AX16&gt;0,$F16&gt;0),AX16/$F16,0))/4)*0.5</f>
        <v>9.375E-2</v>
      </c>
      <c r="BG16" s="1066">
        <f>((IF(AND(AY16&gt;0,$F16&gt;0),AY16/$F16,0))/4)*0.75</f>
        <v>8.0250000000000002E-2</v>
      </c>
      <c r="BH16" s="1066">
        <f>((IF(AND(AZ16&gt;0,$F16&gt;0),AZ16/$F16,0))/4)</f>
        <v>7.4999999999999997E-2</v>
      </c>
      <c r="BI16" s="286"/>
    </row>
    <row r="17" spans="2:60" ht="60">
      <c r="B17" s="1643"/>
      <c r="C17" s="1643"/>
      <c r="D17" s="247" t="str">
        <f>+'01-FR-03 POA INSTITUCIONAL'!D70</f>
        <v>4.4.2 Ejecutar el 97% de las actividades del Plan Estratégico de Seguridad Vial (PESV)</v>
      </c>
      <c r="E17" s="52">
        <f>+'01-FR-03 POA INSTITUCIONAL'!E70</f>
        <v>0.1</v>
      </c>
      <c r="F17" s="52">
        <f>+'01-FR-03 POA INSTITUCIONAL'!F70</f>
        <v>0.97</v>
      </c>
      <c r="G17" s="160">
        <f>+'01-FR-03 POA INSTITUCIONAL'!L70</f>
        <v>0.97</v>
      </c>
      <c r="H17" s="283">
        <f>+'01-FR-03 POA INSTITUCIONAL'!G70</f>
        <v>0.96599999999999997</v>
      </c>
      <c r="I17" s="68" t="str">
        <f>+'[6]POA Anualizado (Pág 1 de 3)'!H14</f>
        <v>Porcentaje de actividades del PESV ejecutadas</v>
      </c>
      <c r="J17" s="287" t="s">
        <v>444</v>
      </c>
      <c r="K17" s="284" t="s">
        <v>445</v>
      </c>
      <c r="L17" s="236" t="s">
        <v>446</v>
      </c>
      <c r="M17" s="236" t="s">
        <v>447</v>
      </c>
      <c r="N17" s="236" t="s">
        <v>448</v>
      </c>
      <c r="O17" s="285" t="str">
        <f>+'01-FR-03 POA INSTITUCIONAL'!J70</f>
        <v>Subdirección de Gestión Documental y Recursos Físicos
Dirección Administrativa y Financiera</v>
      </c>
      <c r="P17" s="324">
        <v>0.97</v>
      </c>
      <c r="Q17" s="324">
        <v>1.111</v>
      </c>
      <c r="R17" s="324">
        <v>0.97</v>
      </c>
      <c r="S17" s="325">
        <v>1.1659999999999999</v>
      </c>
      <c r="T17" s="324">
        <v>0.97</v>
      </c>
      <c r="U17" s="325">
        <v>1</v>
      </c>
      <c r="V17" s="321">
        <f>AVERAGE(P17,R17,T17)</f>
        <v>0.97000000000000008</v>
      </c>
      <c r="W17" s="321">
        <f>IFERROR(AVERAGE(Q17,S17,U17),0)</f>
        <v>1.0923333333333334</v>
      </c>
      <c r="X17" s="324">
        <v>0.97</v>
      </c>
      <c r="Y17" s="1067">
        <v>0</v>
      </c>
      <c r="Z17" s="324">
        <v>0.97</v>
      </c>
      <c r="AA17" s="325"/>
      <c r="AB17" s="324">
        <v>0.97</v>
      </c>
      <c r="AC17" s="325"/>
      <c r="AD17" s="321">
        <f>AVERAGE(X17,Z17,AB17)</f>
        <v>0.97000000000000008</v>
      </c>
      <c r="AE17" s="321">
        <f>IFERROR(AVERAGE(Y17,AA17,AC17),0)</f>
        <v>0</v>
      </c>
      <c r="AF17" s="324">
        <v>0.97</v>
      </c>
      <c r="AG17" s="1067">
        <v>0</v>
      </c>
      <c r="AH17" s="324">
        <v>0.97</v>
      </c>
      <c r="AI17" s="1067">
        <v>0</v>
      </c>
      <c r="AJ17" s="324">
        <v>0.97</v>
      </c>
      <c r="AK17" s="1067">
        <v>0</v>
      </c>
      <c r="AL17" s="321">
        <f>AVERAGE(AF17,AH17,AJ17)</f>
        <v>0.97000000000000008</v>
      </c>
      <c r="AM17" s="321">
        <f>IFERROR(AVERAGE(AG17,AI17,AK17),0)</f>
        <v>0</v>
      </c>
      <c r="AN17" s="324">
        <v>0.97</v>
      </c>
      <c r="AO17" s="1067">
        <v>0</v>
      </c>
      <c r="AP17" s="324">
        <v>0.97</v>
      </c>
      <c r="AQ17" s="1067">
        <v>0</v>
      </c>
      <c r="AR17" s="324">
        <v>0.97</v>
      </c>
      <c r="AS17" s="1067">
        <v>0</v>
      </c>
      <c r="AT17" s="321">
        <f>AVERAGE(AN17,AP17,AR17)</f>
        <v>0.97000000000000008</v>
      </c>
      <c r="AU17" s="321">
        <f>IFERROR(AVERAGE(AO17,AQ17,AS17),0)</f>
        <v>0</v>
      </c>
      <c r="AV17" s="321">
        <f>AVERAGE(P17,R17,T17,X17,Z17,AB17,AF17,AH17,AJ17,AN17,AP17,AR17)</f>
        <v>0.97000000000000008</v>
      </c>
      <c r="AW17" s="307">
        <f>IFERROR(IF(OR($AV$17="",$AV$17=0),0,ROUNDDOWN(AVERAGE($Q17,$S17,$U17),3)),0)</f>
        <v>1.0920000000000001</v>
      </c>
      <c r="AX17" s="1057">
        <f>IFERROR(IF(OR($AV$17="",$AV$17=0),0,ROUNDDOWN(AVERAGE($Q17,$S17,$U17,$Y17,$AA17,$AC17),3)),0)</f>
        <v>0.81899999999999995</v>
      </c>
      <c r="AY17" s="1057">
        <f>IFERROR(IF(OR($AV$17="",$AV$17=0),0,ROUNDDOWN(AVERAGE($Q17,$S17,$U17,$Y17,$AA17,$AC17,$AG17,$AI17,$AK17),3)),0)</f>
        <v>0.46800000000000003</v>
      </c>
      <c r="AZ17" s="1057">
        <f>IFERROR(IF(OR($AV$17="",$AV$17=0),0,ROUNDDOWN(AVERAGE($Q17,$S17,$U17,$Y17,$AA17,$AC17,$AG17,$AI17,$AK17,$AO17,$AQ17,$AS17),3)),0)</f>
        <v>0.32700000000000001</v>
      </c>
      <c r="BA17" s="341">
        <f>(IF(AND(AW17&gt;0,$AV17&gt;0),AW17/$AV17,0))*0.25</f>
        <v>0.28144329896907216</v>
      </c>
      <c r="BB17" s="341">
        <f>(IF(AND(AX17&gt;0,$AV17&gt;0),AX17/$AV17,0))*0.5</f>
        <v>0.42216494845360819</v>
      </c>
      <c r="BC17" s="341">
        <f>(IF(AND(AY17&gt;0,$AV17&gt;0),AY17/$AV17,0))*0.75</f>
        <v>0.36185567010309277</v>
      </c>
      <c r="BD17" s="350">
        <f>(IF(AND(AZ17&gt;0,$AV17&gt;0),AZ17/$AV17,0))*1</f>
        <v>0.33711340206185564</v>
      </c>
      <c r="BE17" s="346">
        <f>((IF(AND(AW17&gt;0,$F17&gt;0),AW17/$F17,0))*0.25)*0.25</f>
        <v>7.0360824742268055E-2</v>
      </c>
      <c r="BF17" s="1066">
        <f>((IF(AND(AX17&gt;0,$F17&gt;0),AX17/$F17,0))/4)*0.5</f>
        <v>0.10554123711340206</v>
      </c>
      <c r="BG17" s="1066">
        <f>((IF(AND(AY17&gt;0,$F17&gt;0),AY17/$F17,0))/4)*0.75</f>
        <v>9.0463917525773208E-2</v>
      </c>
      <c r="BH17" s="1066">
        <f>((IF(AND(AZ17&gt;0,$F17&gt;0),AZ17/$F17,0))/4)</f>
        <v>8.4278350515463923E-2</v>
      </c>
    </row>
    <row r="18" spans="2:60" ht="22.8">
      <c r="B18" s="1560"/>
      <c r="C18" s="1561"/>
      <c r="D18" s="1561"/>
      <c r="E18" s="1561"/>
      <c r="F18" s="1561"/>
      <c r="G18" s="1561"/>
      <c r="H18" s="1561"/>
      <c r="I18" s="1561"/>
      <c r="J18" s="1561"/>
      <c r="K18" s="1561"/>
      <c r="L18" s="1561"/>
      <c r="M18" s="1561"/>
      <c r="N18" s="1561"/>
      <c r="O18" s="1561"/>
      <c r="P18" s="1561"/>
      <c r="Q18" s="1561"/>
      <c r="R18" s="1561"/>
      <c r="S18" s="1561"/>
      <c r="T18" s="1561"/>
      <c r="U18" s="1561"/>
      <c r="V18" s="1561"/>
      <c r="W18" s="1561"/>
      <c r="X18" s="1561"/>
      <c r="Y18" s="1561"/>
      <c r="Z18" s="1561"/>
      <c r="AA18" s="1561"/>
      <c r="AB18" s="1561"/>
      <c r="AC18" s="1561"/>
      <c r="AD18" s="1561"/>
      <c r="AE18" s="1561"/>
      <c r="AF18" s="1561"/>
      <c r="AG18" s="1561"/>
      <c r="AH18" s="1561"/>
      <c r="AI18" s="1561"/>
      <c r="AJ18" s="1561"/>
      <c r="AK18" s="1561"/>
      <c r="AL18" s="1561"/>
      <c r="AM18" s="1561"/>
      <c r="AN18" s="1561"/>
      <c r="AO18" s="1561"/>
      <c r="AP18" s="1561"/>
      <c r="AQ18" s="1561"/>
      <c r="AR18" s="1561"/>
      <c r="AS18" s="1561"/>
      <c r="AT18" s="1561"/>
      <c r="AU18" s="1561"/>
      <c r="AV18" s="1561"/>
      <c r="AW18" s="1644"/>
      <c r="AX18" s="1614" t="s">
        <v>19</v>
      </c>
      <c r="AY18" s="1642"/>
      <c r="AZ18" s="1642"/>
      <c r="BA18" s="70">
        <f t="shared" ref="BA18:BD18" si="0">AVERAGE(BA16:BA17)</f>
        <v>0.26572164948453608</v>
      </c>
      <c r="BB18" s="70">
        <f t="shared" si="0"/>
        <v>0.3985824742268041</v>
      </c>
      <c r="BC18" s="70">
        <f t="shared" si="0"/>
        <v>0.34142783505154639</v>
      </c>
      <c r="BD18" s="70">
        <f t="shared" si="0"/>
        <v>0.31855670103092781</v>
      </c>
      <c r="BE18" s="1652"/>
      <c r="BF18" s="1739"/>
      <c r="BG18" s="1739"/>
      <c r="BH18" s="1740"/>
    </row>
    <row r="19" spans="2:60">
      <c r="B19" s="1553"/>
      <c r="C19" s="1553"/>
      <c r="D19" s="1553"/>
      <c r="E19" s="1553"/>
      <c r="F19" s="1553"/>
      <c r="G19" s="1553"/>
      <c r="H19" s="239"/>
      <c r="I19" s="240"/>
      <c r="J19" s="240"/>
      <c r="K19" s="240"/>
      <c r="L19" s="240"/>
      <c r="M19" s="240"/>
      <c r="N19" s="240"/>
      <c r="O19" s="240"/>
    </row>
    <row r="20" spans="2:60">
      <c r="B20" s="240"/>
      <c r="C20" s="240"/>
      <c r="D20" s="1624"/>
      <c r="E20" s="1624"/>
      <c r="F20" s="1624"/>
      <c r="G20" s="1624"/>
      <c r="H20" s="1624"/>
      <c r="I20" s="1624"/>
      <c r="J20" s="1624"/>
      <c r="K20" s="1624"/>
      <c r="L20" s="1624"/>
      <c r="M20" s="1624"/>
      <c r="N20" s="1624"/>
      <c r="O20" s="1624"/>
    </row>
    <row r="21" spans="2:60" ht="15.6">
      <c r="B21" s="77" t="s">
        <v>26</v>
      </c>
      <c r="C21" s="241">
        <v>44224</v>
      </c>
      <c r="D21" s="242"/>
      <c r="E21" s="1625" t="s">
        <v>50</v>
      </c>
      <c r="F21" s="329"/>
      <c r="G21" s="1626" t="s">
        <v>449</v>
      </c>
      <c r="H21" s="1626"/>
      <c r="I21" s="1626"/>
      <c r="J21" s="1626"/>
      <c r="K21" s="243"/>
      <c r="L21" s="1633"/>
      <c r="M21" s="1633"/>
      <c r="N21" s="1633"/>
      <c r="O21" s="1634"/>
    </row>
    <row r="22" spans="2:60" ht="15.6">
      <c r="B22" s="240"/>
      <c r="C22" s="240"/>
      <c r="D22" s="243"/>
      <c r="E22" s="1625"/>
      <c r="F22" s="329"/>
      <c r="G22" s="1626"/>
      <c r="H22" s="1626"/>
      <c r="I22" s="1626"/>
      <c r="J22" s="1626"/>
      <c r="K22" s="240"/>
      <c r="L22" s="240"/>
      <c r="M22" s="240"/>
      <c r="N22" s="240"/>
      <c r="O22" s="240"/>
    </row>
    <row r="23" spans="2:60" ht="15.6">
      <c r="B23" s="77" t="s">
        <v>49</v>
      </c>
      <c r="C23" s="80">
        <v>44581</v>
      </c>
      <c r="D23" s="240"/>
      <c r="E23" s="240"/>
      <c r="F23" s="240"/>
      <c r="K23" s="240"/>
      <c r="L23" s="240"/>
      <c r="M23" s="240"/>
      <c r="N23" s="240"/>
      <c r="O23" s="240"/>
    </row>
    <row r="24" spans="2:60">
      <c r="B24" s="240"/>
      <c r="C24" s="240"/>
      <c r="D24" s="240"/>
      <c r="E24" s="240"/>
      <c r="F24" s="240"/>
      <c r="K24" s="240"/>
      <c r="L24" s="240"/>
      <c r="M24" s="240"/>
      <c r="N24" s="240"/>
      <c r="O24" s="240"/>
    </row>
    <row r="25" spans="2:60">
      <c r="B25" s="606" t="s">
        <v>924</v>
      </c>
      <c r="C25" s="240"/>
      <c r="D25" s="240"/>
      <c r="E25" s="240"/>
      <c r="F25" s="240"/>
      <c r="G25" s="239"/>
      <c r="H25" s="239"/>
      <c r="I25" s="1632"/>
      <c r="J25" s="1632"/>
      <c r="K25" s="1632"/>
      <c r="L25" s="1632"/>
      <c r="M25" s="244"/>
      <c r="N25" s="244"/>
      <c r="O25" s="244"/>
    </row>
    <row r="26" spans="2:60">
      <c r="B26" s="240"/>
      <c r="C26" s="240"/>
      <c r="D26" s="240"/>
      <c r="E26" s="240"/>
      <c r="F26" s="240"/>
      <c r="G26" s="239"/>
      <c r="H26" s="239"/>
      <c r="I26" s="240"/>
      <c r="J26" s="240"/>
      <c r="K26" s="245"/>
      <c r="L26" s="240"/>
      <c r="M26" s="240"/>
      <c r="N26" s="240"/>
      <c r="O26" s="240"/>
    </row>
    <row r="27" spans="2:60">
      <c r="B27" s="240"/>
      <c r="C27" s="240"/>
      <c r="D27" s="240"/>
      <c r="E27" s="240"/>
      <c r="F27" s="240"/>
      <c r="G27" s="239"/>
      <c r="H27" s="239"/>
      <c r="I27" s="1632"/>
      <c r="J27" s="1632"/>
      <c r="K27" s="1632"/>
      <c r="L27" s="1632"/>
      <c r="M27" s="244"/>
      <c r="N27" s="244"/>
      <c r="O27" s="244"/>
    </row>
    <row r="28" spans="2:60">
      <c r="B28" s="240"/>
      <c r="C28" s="240"/>
      <c r="D28" s="240"/>
      <c r="E28" s="240"/>
      <c r="F28" s="240"/>
      <c r="G28" s="239"/>
      <c r="H28" s="239"/>
      <c r="I28" s="240"/>
      <c r="J28" s="240"/>
      <c r="K28" s="245"/>
      <c r="L28" s="240"/>
      <c r="M28" s="240"/>
      <c r="N28" s="240"/>
      <c r="O28" s="240"/>
    </row>
    <row r="29" spans="2:60">
      <c r="B29" s="240"/>
      <c r="C29" s="240"/>
      <c r="D29" s="240"/>
      <c r="E29" s="240"/>
      <c r="F29" s="240"/>
      <c r="G29" s="239"/>
      <c r="H29" s="239"/>
      <c r="I29" s="1632"/>
      <c r="J29" s="1632"/>
      <c r="K29" s="1632"/>
      <c r="L29" s="1632"/>
      <c r="M29" s="244"/>
      <c r="N29" s="244"/>
      <c r="O29" s="244"/>
    </row>
  </sheetData>
  <sheetProtection algorithmName="SHA-512" hashValue="Gh4DAQNmPQIScqLmEpr2tMMRXtxe/Zelnv80O73am7dlffxSI1w4rkJDV7mkku1YqXjWtSCNVLYEpszWJNQY6Q==" saltValue="Lxsq1xoYKvkc6icu9+/0OQ==" spinCount="100000" sheet="1" objects="1" scenarios="1"/>
  <mergeCells count="72">
    <mergeCell ref="BE18:BH18"/>
    <mergeCell ref="C9:D9"/>
    <mergeCell ref="E9:G9"/>
    <mergeCell ref="B2:B6"/>
    <mergeCell ref="C2:BF6"/>
    <mergeCell ref="BG6:BH6"/>
    <mergeCell ref="AW7:BA7"/>
    <mergeCell ref="C8:D8"/>
    <mergeCell ref="C10:D10"/>
    <mergeCell ref="B12:B15"/>
    <mergeCell ref="C12:C15"/>
    <mergeCell ref="D12:D15"/>
    <mergeCell ref="E12:E15"/>
    <mergeCell ref="BE12:BH12"/>
    <mergeCell ref="P13:W13"/>
    <mergeCell ref="X13:AE13"/>
    <mergeCell ref="AZ13:AZ15"/>
    <mergeCell ref="BA13:BA15"/>
    <mergeCell ref="P12:AU12"/>
    <mergeCell ref="AV12:AV15"/>
    <mergeCell ref="AW12:AZ12"/>
    <mergeCell ref="BA12:BD12"/>
    <mergeCell ref="BB13:BB15"/>
    <mergeCell ref="BC13:BC15"/>
    <mergeCell ref="AL14:AM14"/>
    <mergeCell ref="AN14:AO14"/>
    <mergeCell ref="AF13:AM13"/>
    <mergeCell ref="AN13:AU13"/>
    <mergeCell ref="AW13:AW15"/>
    <mergeCell ref="AX13:AX15"/>
    <mergeCell ref="AY13:AY15"/>
    <mergeCell ref="BE13:BE15"/>
    <mergeCell ref="BF13:BF15"/>
    <mergeCell ref="BG13:BG15"/>
    <mergeCell ref="BH13:BH15"/>
    <mergeCell ref="P14:Q14"/>
    <mergeCell ref="R14:S14"/>
    <mergeCell ref="T14:U14"/>
    <mergeCell ref="V14:W14"/>
    <mergeCell ref="X14:Y14"/>
    <mergeCell ref="Z14:AA14"/>
    <mergeCell ref="BD13:BD15"/>
    <mergeCell ref="AB14:AC14"/>
    <mergeCell ref="AP14:AQ14"/>
    <mergeCell ref="AR14:AS14"/>
    <mergeCell ref="AT14:AU14"/>
    <mergeCell ref="AJ14:AK14"/>
    <mergeCell ref="B16:B17"/>
    <mergeCell ref="C16:C17"/>
    <mergeCell ref="AD14:AE14"/>
    <mergeCell ref="AF14:AG14"/>
    <mergeCell ref="AH14:AI14"/>
    <mergeCell ref="K12:K15"/>
    <mergeCell ref="L12:L15"/>
    <mergeCell ref="M12:M15"/>
    <mergeCell ref="G12:G15"/>
    <mergeCell ref="F12:F15"/>
    <mergeCell ref="N12:N15"/>
    <mergeCell ref="O12:O15"/>
    <mergeCell ref="H12:H15"/>
    <mergeCell ref="I12:I15"/>
    <mergeCell ref="J12:J15"/>
    <mergeCell ref="I27:L27"/>
    <mergeCell ref="I29:L29"/>
    <mergeCell ref="B19:G19"/>
    <mergeCell ref="AX18:AZ18"/>
    <mergeCell ref="D20:O20"/>
    <mergeCell ref="E21:E22"/>
    <mergeCell ref="G21:J22"/>
    <mergeCell ref="L21:O21"/>
    <mergeCell ref="I25:L25"/>
    <mergeCell ref="B18:AW18"/>
  </mergeCells>
  <conditionalFormatting sqref="BA16:BD17">
    <cfRule type="cellIs" dxfId="34" priority="1" operator="greaterThan">
      <formula>1</formula>
    </cfRule>
    <cfRule type="cellIs" dxfId="33" priority="2" operator="between">
      <formula>0.8</formula>
      <formula>1</formula>
    </cfRule>
    <cfRule type="cellIs" dxfId="32" priority="3" operator="between">
      <formula>0.61</formula>
      <formula>0.79</formula>
    </cfRule>
    <cfRule type="cellIs" dxfId="31" priority="4" operator="between">
      <formula>0</formula>
      <formula>0.6</formula>
    </cfRule>
  </conditionalFormatting>
  <dataValidations disablePrompts="1" count="1">
    <dataValidation allowBlank="1" showInputMessage="1" showErrorMessage="1" prompt="Transcriba de manera exacta el objetivo definido en la caracterización del proceso." sqref="C9:D9" xr:uid="{7FF7ACF8-0279-4ACB-B98E-CEB4576E2348}"/>
  </dataValidation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B702D-4841-442F-9B42-50AA65EF5411}">
  <sheetPr>
    <tabColor rgb="FF66FF33"/>
  </sheetPr>
  <dimension ref="B1:BH30"/>
  <sheetViews>
    <sheetView showGridLines="0" topLeftCell="A4" zoomScale="70" zoomScaleNormal="70" workbookViewId="0">
      <selection activeCell="C10" sqref="C10:D10"/>
    </sheetView>
  </sheetViews>
  <sheetFormatPr baseColWidth="10" defaultColWidth="17.33203125" defaultRowHeight="15" customHeight="1"/>
  <cols>
    <col min="1" max="1" width="4.33203125" style="135" customWidth="1"/>
    <col min="2" max="2" width="50.44140625" style="133" customWidth="1"/>
    <col min="3" max="3" width="31.44140625" style="133" customWidth="1"/>
    <col min="4" max="4" width="49.6640625" style="133" customWidth="1"/>
    <col min="5" max="6" width="27.5546875" style="133" customWidth="1"/>
    <col min="7" max="7" width="27" style="134" customWidth="1"/>
    <col min="8" max="8" width="23.88671875" style="134" customWidth="1"/>
    <col min="9" max="9" width="44" style="133" customWidth="1"/>
    <col min="10" max="10" width="31.88671875" style="133" customWidth="1"/>
    <col min="11" max="11" width="55.88671875" style="133" customWidth="1"/>
    <col min="12" max="12" width="33.5546875" style="133" customWidth="1"/>
    <col min="13" max="13" width="49.44140625" style="133" customWidth="1"/>
    <col min="14" max="14" width="28.5546875" style="133" customWidth="1"/>
    <col min="15" max="15" width="50" style="133" customWidth="1"/>
    <col min="16" max="47" width="15.88671875" style="135" customWidth="1"/>
    <col min="48" max="48" width="24.5546875" style="135" customWidth="1"/>
    <col min="49" max="49" width="22.88671875" style="135" customWidth="1"/>
    <col min="50" max="50" width="19.33203125" style="135" customWidth="1"/>
    <col min="51" max="51" width="18.44140625" style="135" customWidth="1"/>
    <col min="52" max="52" width="19.44140625" style="135" customWidth="1"/>
    <col min="53" max="53" width="23.33203125" style="135" customWidth="1"/>
    <col min="54" max="55" width="25.109375" style="135" customWidth="1"/>
    <col min="56" max="56" width="26.6640625" style="135" customWidth="1"/>
    <col min="57" max="57" width="26.33203125" style="135" customWidth="1"/>
    <col min="58" max="58" width="26.5546875" style="135" customWidth="1"/>
    <col min="59" max="59" width="26.33203125" style="135" customWidth="1"/>
    <col min="60" max="60" width="27.33203125" style="135" customWidth="1"/>
    <col min="61" max="16384" width="17.33203125" style="135"/>
  </cols>
  <sheetData>
    <row r="1" spans="2:60" ht="15.6" thickBot="1"/>
    <row r="2" spans="2:60" ht="15.6">
      <c r="B2" s="1575" t="s">
        <v>686</v>
      </c>
      <c r="C2" s="1600" t="s">
        <v>118</v>
      </c>
      <c r="D2" s="1601"/>
      <c r="E2" s="1601"/>
      <c r="F2" s="1601"/>
      <c r="G2" s="1601"/>
      <c r="H2" s="1601"/>
      <c r="I2" s="1601"/>
      <c r="J2" s="1601"/>
      <c r="K2" s="1601"/>
      <c r="L2" s="1601"/>
      <c r="M2" s="1601"/>
      <c r="N2" s="1601"/>
      <c r="O2" s="1601"/>
      <c r="P2" s="1601"/>
      <c r="Q2" s="1601"/>
      <c r="R2" s="1601"/>
      <c r="S2" s="1601"/>
      <c r="T2" s="1601"/>
      <c r="U2" s="1601"/>
      <c r="V2" s="1601"/>
      <c r="W2" s="1601"/>
      <c r="X2" s="1601"/>
      <c r="Y2" s="1601"/>
      <c r="Z2" s="1601"/>
      <c r="AA2" s="1601"/>
      <c r="AB2" s="1601"/>
      <c r="AC2" s="1601"/>
      <c r="AD2" s="1601"/>
      <c r="AE2" s="1601"/>
      <c r="AF2" s="1601"/>
      <c r="AG2" s="1601"/>
      <c r="AH2" s="1601"/>
      <c r="AI2" s="1601"/>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2"/>
      <c r="BG2" s="230" t="s">
        <v>31</v>
      </c>
      <c r="BH2" s="231"/>
    </row>
    <row r="3" spans="2:60" ht="15.6">
      <c r="B3" s="1576"/>
      <c r="C3" s="1603"/>
      <c r="D3" s="1604"/>
      <c r="E3" s="1604"/>
      <c r="F3" s="1604"/>
      <c r="G3" s="1604"/>
      <c r="H3" s="1604"/>
      <c r="I3" s="1604"/>
      <c r="J3" s="1604"/>
      <c r="K3" s="1604"/>
      <c r="L3" s="1604"/>
      <c r="M3" s="1604"/>
      <c r="N3" s="1604"/>
      <c r="O3" s="1604"/>
      <c r="P3" s="1604"/>
      <c r="Q3" s="1604"/>
      <c r="R3" s="1604"/>
      <c r="S3" s="1604"/>
      <c r="T3" s="1604"/>
      <c r="U3" s="1604"/>
      <c r="V3" s="1604"/>
      <c r="W3" s="1604"/>
      <c r="X3" s="1604"/>
      <c r="Y3" s="1604"/>
      <c r="Z3" s="1604"/>
      <c r="AA3" s="1604"/>
      <c r="AB3" s="1604"/>
      <c r="AC3" s="1604"/>
      <c r="AD3" s="1604"/>
      <c r="AE3" s="1604"/>
      <c r="AF3" s="1604"/>
      <c r="AG3" s="1604"/>
      <c r="AH3" s="1604"/>
      <c r="AI3" s="1604"/>
      <c r="AJ3" s="1604"/>
      <c r="AK3" s="1604"/>
      <c r="AL3" s="1604"/>
      <c r="AM3" s="1604"/>
      <c r="AN3" s="1604"/>
      <c r="AO3" s="1604"/>
      <c r="AP3" s="1604"/>
      <c r="AQ3" s="1604"/>
      <c r="AR3" s="1604"/>
      <c r="AS3" s="1604"/>
      <c r="AT3" s="1604"/>
      <c r="AU3" s="1604"/>
      <c r="AV3" s="1604"/>
      <c r="AW3" s="1604"/>
      <c r="AX3" s="1604"/>
      <c r="AY3" s="1604"/>
      <c r="AZ3" s="1604"/>
      <c r="BA3" s="1604"/>
      <c r="BB3" s="1604"/>
      <c r="BC3" s="1604"/>
      <c r="BD3" s="1604"/>
      <c r="BE3" s="1604"/>
      <c r="BF3" s="1605"/>
      <c r="BG3" s="209" t="s">
        <v>28</v>
      </c>
      <c r="BH3" s="28" t="s">
        <v>29</v>
      </c>
    </row>
    <row r="4" spans="2:60" ht="15" customHeight="1">
      <c r="B4" s="1576"/>
      <c r="C4" s="1603"/>
      <c r="D4" s="1604"/>
      <c r="E4" s="1604"/>
      <c r="F4" s="1604"/>
      <c r="G4" s="1604"/>
      <c r="H4" s="1604"/>
      <c r="I4" s="1604"/>
      <c r="J4" s="1604"/>
      <c r="K4" s="1604"/>
      <c r="L4" s="1604"/>
      <c r="M4" s="1604"/>
      <c r="N4" s="1604"/>
      <c r="O4" s="1604"/>
      <c r="P4" s="1604"/>
      <c r="Q4" s="1604"/>
      <c r="R4" s="1604"/>
      <c r="S4" s="1604"/>
      <c r="T4" s="1604"/>
      <c r="U4" s="1604"/>
      <c r="V4" s="1604"/>
      <c r="W4" s="1604"/>
      <c r="X4" s="1604"/>
      <c r="Y4" s="1604"/>
      <c r="Z4" s="1604"/>
      <c r="AA4" s="1604"/>
      <c r="AB4" s="1604"/>
      <c r="AC4" s="1604"/>
      <c r="AD4" s="1604"/>
      <c r="AE4" s="1604"/>
      <c r="AF4" s="1604"/>
      <c r="AG4" s="1604"/>
      <c r="AH4" s="1604"/>
      <c r="AI4" s="1604"/>
      <c r="AJ4" s="1604"/>
      <c r="AK4" s="1604"/>
      <c r="AL4" s="1604"/>
      <c r="AM4" s="1604"/>
      <c r="AN4" s="1604"/>
      <c r="AO4" s="1604"/>
      <c r="AP4" s="1604"/>
      <c r="AQ4" s="1604"/>
      <c r="AR4" s="1604"/>
      <c r="AS4" s="1604"/>
      <c r="AT4" s="1604"/>
      <c r="AU4" s="1604"/>
      <c r="AV4" s="1604"/>
      <c r="AW4" s="1604"/>
      <c r="AX4" s="1604"/>
      <c r="AY4" s="1604"/>
      <c r="AZ4" s="1604"/>
      <c r="BA4" s="1604"/>
      <c r="BB4" s="1604"/>
      <c r="BC4" s="1604"/>
      <c r="BD4" s="1604"/>
      <c r="BE4" s="1604"/>
      <c r="BF4" s="1605"/>
      <c r="BG4" s="210">
        <v>5</v>
      </c>
      <c r="BH4" s="30" t="s">
        <v>657</v>
      </c>
    </row>
    <row r="5" spans="2:60" ht="15.6">
      <c r="B5" s="1576"/>
      <c r="C5" s="1603"/>
      <c r="D5" s="1604"/>
      <c r="E5" s="1604"/>
      <c r="F5" s="1604"/>
      <c r="G5" s="1604"/>
      <c r="H5" s="1604"/>
      <c r="I5" s="1604"/>
      <c r="J5" s="1604"/>
      <c r="K5" s="1604"/>
      <c r="L5" s="1604"/>
      <c r="M5" s="1604"/>
      <c r="N5" s="1604"/>
      <c r="O5" s="1604"/>
      <c r="P5" s="1604"/>
      <c r="Q5" s="1604"/>
      <c r="R5" s="1604"/>
      <c r="S5" s="1604"/>
      <c r="T5" s="1604"/>
      <c r="U5" s="1604"/>
      <c r="V5" s="1604"/>
      <c r="W5" s="1604"/>
      <c r="X5" s="1604"/>
      <c r="Y5" s="1604"/>
      <c r="Z5" s="1604"/>
      <c r="AA5" s="1604"/>
      <c r="AB5" s="1604"/>
      <c r="AC5" s="1604"/>
      <c r="AD5" s="1604"/>
      <c r="AE5" s="1604"/>
      <c r="AF5" s="1604"/>
      <c r="AG5" s="1604"/>
      <c r="AH5" s="1604"/>
      <c r="AI5" s="1604"/>
      <c r="AJ5" s="1604"/>
      <c r="AK5" s="1604"/>
      <c r="AL5" s="1604"/>
      <c r="AM5" s="1604"/>
      <c r="AN5" s="1604"/>
      <c r="AO5" s="1604"/>
      <c r="AP5" s="1604"/>
      <c r="AQ5" s="1604"/>
      <c r="AR5" s="1604"/>
      <c r="AS5" s="1604"/>
      <c r="AT5" s="1604"/>
      <c r="AU5" s="1604"/>
      <c r="AV5" s="1604"/>
      <c r="AW5" s="1604"/>
      <c r="AX5" s="1604"/>
      <c r="AY5" s="1604"/>
      <c r="AZ5" s="1604"/>
      <c r="BA5" s="1604"/>
      <c r="BB5" s="1604"/>
      <c r="BC5" s="1604"/>
      <c r="BD5" s="1604"/>
      <c r="BE5" s="1604"/>
      <c r="BF5" s="1605"/>
      <c r="BG5" s="211" t="s">
        <v>30</v>
      </c>
      <c r="BH5" s="212"/>
    </row>
    <row r="6" spans="2:60" ht="15.6" customHeight="1" thickBot="1">
      <c r="B6" s="1577"/>
      <c r="C6" s="1606"/>
      <c r="D6" s="1607"/>
      <c r="E6" s="1607"/>
      <c r="F6" s="1607"/>
      <c r="G6" s="1607"/>
      <c r="H6" s="1607"/>
      <c r="I6" s="1607"/>
      <c r="J6" s="1607"/>
      <c r="K6" s="1607"/>
      <c r="L6" s="1607"/>
      <c r="M6" s="1607"/>
      <c r="N6" s="1607"/>
      <c r="O6" s="1607"/>
      <c r="P6" s="1607"/>
      <c r="Q6" s="1607"/>
      <c r="R6" s="1607"/>
      <c r="S6" s="1607"/>
      <c r="T6" s="1607"/>
      <c r="U6" s="1607"/>
      <c r="V6" s="1607"/>
      <c r="W6" s="1607"/>
      <c r="X6" s="1607"/>
      <c r="Y6" s="1607"/>
      <c r="Z6" s="1607"/>
      <c r="AA6" s="1607"/>
      <c r="AB6" s="1607"/>
      <c r="AC6" s="1607"/>
      <c r="AD6" s="1607"/>
      <c r="AE6" s="1607"/>
      <c r="AF6" s="1607"/>
      <c r="AG6" s="1607"/>
      <c r="AH6" s="1607"/>
      <c r="AI6" s="1607"/>
      <c r="AJ6" s="1607"/>
      <c r="AK6" s="1607"/>
      <c r="AL6" s="1607"/>
      <c r="AM6" s="1607"/>
      <c r="AN6" s="1607"/>
      <c r="AO6" s="1607"/>
      <c r="AP6" s="1607"/>
      <c r="AQ6" s="1607"/>
      <c r="AR6" s="1607"/>
      <c r="AS6" s="1607"/>
      <c r="AT6" s="1607"/>
      <c r="AU6" s="1607"/>
      <c r="AV6" s="1607"/>
      <c r="AW6" s="1607"/>
      <c r="AX6" s="1607"/>
      <c r="AY6" s="1607"/>
      <c r="AZ6" s="1607"/>
      <c r="BA6" s="1607"/>
      <c r="BB6" s="1607"/>
      <c r="BC6" s="1607"/>
      <c r="BD6" s="1607"/>
      <c r="BE6" s="1607"/>
      <c r="BF6" s="1608"/>
      <c r="BG6" s="1566">
        <v>44306</v>
      </c>
      <c r="BH6" s="1567"/>
    </row>
    <row r="7" spans="2:60">
      <c r="B7" s="136"/>
      <c r="C7" s="136"/>
      <c r="D7" s="136"/>
      <c r="E7" s="136"/>
      <c r="F7" s="136"/>
      <c r="G7" s="137"/>
      <c r="H7" s="137"/>
      <c r="I7" s="136"/>
      <c r="J7" s="136"/>
      <c r="K7" s="136"/>
      <c r="L7" s="136"/>
      <c r="M7" s="136"/>
      <c r="N7" s="136"/>
      <c r="O7" s="136"/>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589"/>
      <c r="AX7" s="1633"/>
      <c r="AY7" s="1633"/>
      <c r="AZ7" s="1633"/>
      <c r="BA7" s="1591"/>
      <c r="BB7" s="232"/>
      <c r="BC7" s="232"/>
      <c r="BD7" s="232"/>
      <c r="BE7" s="138"/>
      <c r="BF7" s="138"/>
    </row>
    <row r="8" spans="2:60" ht="21">
      <c r="B8" s="213" t="s">
        <v>45</v>
      </c>
      <c r="C8" s="1651" t="s">
        <v>93</v>
      </c>
      <c r="D8" s="1651"/>
      <c r="E8" s="214"/>
      <c r="F8" s="214"/>
      <c r="G8" s="214"/>
      <c r="H8" s="214"/>
      <c r="I8" s="214"/>
      <c r="J8" s="214"/>
      <c r="K8" s="214"/>
      <c r="L8" s="214"/>
      <c r="M8" s="214"/>
      <c r="N8" s="214"/>
      <c r="O8" s="214"/>
      <c r="AW8" s="232"/>
      <c r="AX8" s="232"/>
      <c r="AY8" s="232"/>
      <c r="AZ8" s="232"/>
      <c r="BA8" s="232"/>
      <c r="BB8" s="232"/>
      <c r="BC8" s="232"/>
      <c r="BD8" s="232"/>
    </row>
    <row r="9" spans="2:60" ht="73.5" customHeight="1">
      <c r="B9" s="213" t="s">
        <v>34</v>
      </c>
      <c r="C9" s="1610" t="s">
        <v>471</v>
      </c>
      <c r="D9" s="1611"/>
      <c r="E9" s="214"/>
      <c r="F9" s="214"/>
      <c r="G9" s="214"/>
      <c r="H9" s="214"/>
      <c r="I9" s="214"/>
      <c r="J9" s="214"/>
      <c r="K9" s="214"/>
      <c r="L9" s="214"/>
      <c r="M9" s="214"/>
      <c r="N9" s="214"/>
      <c r="O9" s="214"/>
      <c r="AW9" s="232"/>
      <c r="AX9" s="232"/>
      <c r="AY9" s="232"/>
      <c r="AZ9" s="232"/>
      <c r="BA9" s="232"/>
      <c r="BB9" s="232"/>
      <c r="BC9" s="232"/>
      <c r="BD9" s="232"/>
    </row>
    <row r="10" spans="2:60" ht="24.6">
      <c r="B10" s="213" t="s">
        <v>101</v>
      </c>
      <c r="C10" s="1612">
        <v>2022</v>
      </c>
      <c r="D10" s="1613"/>
      <c r="E10" s="214"/>
      <c r="F10" s="214"/>
      <c r="G10" s="214"/>
      <c r="H10" s="214"/>
      <c r="I10" s="214"/>
      <c r="J10" s="214"/>
      <c r="K10" s="214"/>
      <c r="L10" s="214"/>
      <c r="M10" s="214"/>
      <c r="N10" s="214"/>
      <c r="O10" s="214"/>
      <c r="AW10" s="232"/>
      <c r="AX10" s="232"/>
      <c r="AY10" s="232"/>
      <c r="AZ10" s="232"/>
      <c r="BA10" s="232"/>
      <c r="BB10" s="232"/>
      <c r="BC10" s="232"/>
      <c r="BD10" s="232"/>
    </row>
    <row r="11" spans="2:60">
      <c r="B11" s="136"/>
      <c r="C11" s="136"/>
      <c r="D11" s="136"/>
      <c r="E11" s="136"/>
      <c r="F11" s="136"/>
      <c r="G11" s="137"/>
      <c r="H11" s="137"/>
      <c r="I11" s="136"/>
      <c r="J11" s="136"/>
      <c r="K11" s="136"/>
      <c r="L11" s="136"/>
      <c r="M11" s="136"/>
      <c r="N11" s="136"/>
      <c r="O11" s="136"/>
      <c r="AW11" s="232"/>
      <c r="AX11" s="232"/>
      <c r="AY11" s="232"/>
      <c r="AZ11" s="232"/>
      <c r="BA11" s="232"/>
      <c r="BB11" s="232"/>
      <c r="BC11" s="232"/>
      <c r="BD11" s="232"/>
    </row>
    <row r="12" spans="2:60" ht="15.6" customHeight="1">
      <c r="B12" s="1476" t="s">
        <v>0</v>
      </c>
      <c r="C12" s="1476" t="s">
        <v>52</v>
      </c>
      <c r="D12" s="1302" t="s">
        <v>711</v>
      </c>
      <c r="E12" s="1476" t="s">
        <v>61</v>
      </c>
      <c r="F12" s="1302" t="s">
        <v>682</v>
      </c>
      <c r="G12" s="1476" t="s">
        <v>58</v>
      </c>
      <c r="H12" s="1476" t="s">
        <v>25</v>
      </c>
      <c r="I12" s="1476" t="s">
        <v>60</v>
      </c>
      <c r="J12" s="1476" t="s">
        <v>39</v>
      </c>
      <c r="K12" s="1476" t="s">
        <v>36</v>
      </c>
      <c r="L12" s="1476" t="s">
        <v>20</v>
      </c>
      <c r="M12" s="1476" t="s">
        <v>51</v>
      </c>
      <c r="N12" s="1476" t="s">
        <v>40</v>
      </c>
      <c r="O12" s="1476" t="s">
        <v>42</v>
      </c>
      <c r="P12" s="1528" t="s">
        <v>112</v>
      </c>
      <c r="Q12" s="1528"/>
      <c r="R12" s="1528"/>
      <c r="S12" s="1528"/>
      <c r="T12" s="1528"/>
      <c r="U12" s="1528"/>
      <c r="V12" s="1528"/>
      <c r="W12" s="1528"/>
      <c r="X12" s="1528"/>
      <c r="Y12" s="1528"/>
      <c r="Z12" s="1528"/>
      <c r="AA12" s="1528"/>
      <c r="AB12" s="1528"/>
      <c r="AC12" s="1528"/>
      <c r="AD12" s="1528"/>
      <c r="AE12" s="1528"/>
      <c r="AF12" s="1528"/>
      <c r="AG12" s="1528"/>
      <c r="AH12" s="1528"/>
      <c r="AI12" s="1528"/>
      <c r="AJ12" s="1528"/>
      <c r="AK12" s="1528"/>
      <c r="AL12" s="1528"/>
      <c r="AM12" s="1528"/>
      <c r="AN12" s="1528"/>
      <c r="AO12" s="1528"/>
      <c r="AP12" s="1528"/>
      <c r="AQ12" s="1528"/>
      <c r="AR12" s="1528"/>
      <c r="AS12" s="1528"/>
      <c r="AT12" s="1528"/>
      <c r="AU12" s="1528"/>
      <c r="AV12" s="1592" t="s">
        <v>62</v>
      </c>
      <c r="AW12" s="1594" t="s">
        <v>683</v>
      </c>
      <c r="AX12" s="1595"/>
      <c r="AY12" s="1595"/>
      <c r="AZ12" s="1596"/>
      <c r="BA12" s="1583" t="s">
        <v>684</v>
      </c>
      <c r="BB12" s="1584"/>
      <c r="BC12" s="1584"/>
      <c r="BD12" s="1585"/>
      <c r="BE12" s="1618" t="s">
        <v>685</v>
      </c>
      <c r="BF12" s="1619"/>
      <c r="BG12" s="1619"/>
      <c r="BH12" s="1620"/>
    </row>
    <row r="13" spans="2:60" ht="15.6">
      <c r="B13" s="1476"/>
      <c r="C13" s="1476"/>
      <c r="D13" s="1302"/>
      <c r="E13" s="1476"/>
      <c r="F13" s="1302"/>
      <c r="G13" s="1476"/>
      <c r="H13" s="1476"/>
      <c r="I13" s="1476"/>
      <c r="J13" s="1476"/>
      <c r="K13" s="1476"/>
      <c r="L13" s="1476"/>
      <c r="M13" s="1476"/>
      <c r="N13" s="1476"/>
      <c r="O13" s="1476"/>
      <c r="P13" s="1593" t="s">
        <v>21</v>
      </c>
      <c r="Q13" s="1593"/>
      <c r="R13" s="1593"/>
      <c r="S13" s="1593"/>
      <c r="T13" s="1593"/>
      <c r="U13" s="1593"/>
      <c r="V13" s="1593"/>
      <c r="W13" s="1593"/>
      <c r="X13" s="1593" t="s">
        <v>22</v>
      </c>
      <c r="Y13" s="1593"/>
      <c r="Z13" s="1593"/>
      <c r="AA13" s="1593"/>
      <c r="AB13" s="1593"/>
      <c r="AC13" s="1593"/>
      <c r="AD13" s="1593"/>
      <c r="AE13" s="1593"/>
      <c r="AF13" s="1593" t="s">
        <v>23</v>
      </c>
      <c r="AG13" s="1593"/>
      <c r="AH13" s="1593"/>
      <c r="AI13" s="1593"/>
      <c r="AJ13" s="1593"/>
      <c r="AK13" s="1593"/>
      <c r="AL13" s="1593"/>
      <c r="AM13" s="1593"/>
      <c r="AN13" s="1593" t="s">
        <v>24</v>
      </c>
      <c r="AO13" s="1593"/>
      <c r="AP13" s="1593"/>
      <c r="AQ13" s="1593"/>
      <c r="AR13" s="1593"/>
      <c r="AS13" s="1593"/>
      <c r="AT13" s="1593"/>
      <c r="AU13" s="1593"/>
      <c r="AV13" s="1592"/>
      <c r="AW13" s="1597" t="s">
        <v>119</v>
      </c>
      <c r="AX13" s="1597" t="s">
        <v>22</v>
      </c>
      <c r="AY13" s="1597" t="s">
        <v>120</v>
      </c>
      <c r="AZ13" s="1597" t="s">
        <v>121</v>
      </c>
      <c r="BA13" s="1586" t="s">
        <v>119</v>
      </c>
      <c r="BB13" s="1586" t="s">
        <v>122</v>
      </c>
      <c r="BC13" s="1586" t="s">
        <v>123</v>
      </c>
      <c r="BD13" s="1586" t="s">
        <v>124</v>
      </c>
      <c r="BE13" s="1580" t="s">
        <v>21</v>
      </c>
      <c r="BF13" s="1580" t="s">
        <v>22</v>
      </c>
      <c r="BG13" s="1580" t="s">
        <v>23</v>
      </c>
      <c r="BH13" s="1580" t="s">
        <v>24</v>
      </c>
    </row>
    <row r="14" spans="2:60" ht="15.6">
      <c r="B14" s="1476"/>
      <c r="C14" s="1476"/>
      <c r="D14" s="1302"/>
      <c r="E14" s="1476"/>
      <c r="F14" s="1302"/>
      <c r="G14" s="1476"/>
      <c r="H14" s="1476"/>
      <c r="I14" s="1476"/>
      <c r="J14" s="1476"/>
      <c r="K14" s="1476"/>
      <c r="L14" s="1476"/>
      <c r="M14" s="1476"/>
      <c r="N14" s="1476"/>
      <c r="O14" s="1476"/>
      <c r="P14" s="1641" t="s">
        <v>5</v>
      </c>
      <c r="Q14" s="1641"/>
      <c r="R14" s="1641" t="s">
        <v>6</v>
      </c>
      <c r="S14" s="1641"/>
      <c r="T14" s="1641" t="s">
        <v>7</v>
      </c>
      <c r="U14" s="1641"/>
      <c r="V14" s="1528" t="s">
        <v>8</v>
      </c>
      <c r="W14" s="1528"/>
      <c r="X14" s="1641" t="s">
        <v>27</v>
      </c>
      <c r="Y14" s="1641"/>
      <c r="Z14" s="1641" t="s">
        <v>9</v>
      </c>
      <c r="AA14" s="1641"/>
      <c r="AB14" s="1641" t="s">
        <v>10</v>
      </c>
      <c r="AC14" s="1641"/>
      <c r="AD14" s="1528" t="s">
        <v>8</v>
      </c>
      <c r="AE14" s="1528"/>
      <c r="AF14" s="1641" t="s">
        <v>11</v>
      </c>
      <c r="AG14" s="1641"/>
      <c r="AH14" s="1641" t="s">
        <v>12</v>
      </c>
      <c r="AI14" s="1641"/>
      <c r="AJ14" s="1641" t="s">
        <v>13</v>
      </c>
      <c r="AK14" s="1641"/>
      <c r="AL14" s="1528" t="s">
        <v>8</v>
      </c>
      <c r="AM14" s="1528"/>
      <c r="AN14" s="1641" t="s">
        <v>14</v>
      </c>
      <c r="AO14" s="1641"/>
      <c r="AP14" s="1641" t="s">
        <v>15</v>
      </c>
      <c r="AQ14" s="1641"/>
      <c r="AR14" s="1641" t="s">
        <v>16</v>
      </c>
      <c r="AS14" s="1641"/>
      <c r="AT14" s="1528" t="s">
        <v>8</v>
      </c>
      <c r="AU14" s="1528"/>
      <c r="AV14" s="1592"/>
      <c r="AW14" s="1598"/>
      <c r="AX14" s="1598"/>
      <c r="AY14" s="1598"/>
      <c r="AZ14" s="1598"/>
      <c r="BA14" s="1587"/>
      <c r="BB14" s="1587"/>
      <c r="BC14" s="1587"/>
      <c r="BD14" s="1587"/>
      <c r="BE14" s="1581"/>
      <c r="BF14" s="1581"/>
      <c r="BG14" s="1581"/>
      <c r="BH14" s="1581"/>
    </row>
    <row r="15" spans="2:60" ht="13.2" customHeight="1">
      <c r="B15" s="1476"/>
      <c r="C15" s="1476"/>
      <c r="D15" s="1302"/>
      <c r="E15" s="1476"/>
      <c r="F15" s="1302"/>
      <c r="G15" s="1476"/>
      <c r="H15" s="1476"/>
      <c r="I15" s="1476"/>
      <c r="J15" s="1476"/>
      <c r="K15" s="1476"/>
      <c r="L15" s="1476"/>
      <c r="M15" s="1476"/>
      <c r="N15" s="1476"/>
      <c r="O15" s="1476"/>
      <c r="P15" s="233" t="s">
        <v>17</v>
      </c>
      <c r="Q15" s="234" t="s">
        <v>18</v>
      </c>
      <c r="R15" s="233" t="s">
        <v>17</v>
      </c>
      <c r="S15" s="234" t="s">
        <v>18</v>
      </c>
      <c r="T15" s="233" t="s">
        <v>17</v>
      </c>
      <c r="U15" s="234" t="s">
        <v>18</v>
      </c>
      <c r="V15" s="75" t="s">
        <v>17</v>
      </c>
      <c r="W15" s="76" t="s">
        <v>18</v>
      </c>
      <c r="X15" s="233" t="s">
        <v>17</v>
      </c>
      <c r="Y15" s="234" t="s">
        <v>18</v>
      </c>
      <c r="Z15" s="233" t="s">
        <v>17</v>
      </c>
      <c r="AA15" s="234" t="s">
        <v>18</v>
      </c>
      <c r="AB15" s="233" t="s">
        <v>17</v>
      </c>
      <c r="AC15" s="234" t="s">
        <v>18</v>
      </c>
      <c r="AD15" s="75" t="s">
        <v>17</v>
      </c>
      <c r="AE15" s="76" t="s">
        <v>18</v>
      </c>
      <c r="AF15" s="233" t="s">
        <v>17</v>
      </c>
      <c r="AG15" s="234" t="s">
        <v>18</v>
      </c>
      <c r="AH15" s="233" t="s">
        <v>17</v>
      </c>
      <c r="AI15" s="234" t="s">
        <v>18</v>
      </c>
      <c r="AJ15" s="233" t="s">
        <v>17</v>
      </c>
      <c r="AK15" s="234" t="s">
        <v>18</v>
      </c>
      <c r="AL15" s="75" t="s">
        <v>17</v>
      </c>
      <c r="AM15" s="76" t="s">
        <v>18</v>
      </c>
      <c r="AN15" s="233" t="s">
        <v>17</v>
      </c>
      <c r="AO15" s="234" t="s">
        <v>18</v>
      </c>
      <c r="AP15" s="233" t="s">
        <v>17</v>
      </c>
      <c r="AQ15" s="234" t="s">
        <v>18</v>
      </c>
      <c r="AR15" s="233" t="s">
        <v>17</v>
      </c>
      <c r="AS15" s="234" t="s">
        <v>18</v>
      </c>
      <c r="AT15" s="75" t="s">
        <v>17</v>
      </c>
      <c r="AU15" s="76" t="s">
        <v>18</v>
      </c>
      <c r="AV15" s="1592"/>
      <c r="AW15" s="1599"/>
      <c r="AX15" s="1599"/>
      <c r="AY15" s="1599"/>
      <c r="AZ15" s="1599"/>
      <c r="BA15" s="1588"/>
      <c r="BB15" s="1588"/>
      <c r="BC15" s="1588"/>
      <c r="BD15" s="1588"/>
      <c r="BE15" s="1582"/>
      <c r="BF15" s="1582"/>
      <c r="BG15" s="1582"/>
      <c r="BH15" s="1582"/>
    </row>
    <row r="16" spans="2:60" ht="159" customHeight="1">
      <c r="B16" s="1493"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493" t="str">
        <f>+'01-FR-03 POA INSTITUCIONAL'!C69</f>
        <v>4.4. Implementar el 100% de las acciones necesarias para la modernización de la gestión institucional a través de los procesos de apoyo, que permita una mejor prestación del servicio.</v>
      </c>
      <c r="D16" s="225" t="str">
        <f>+'01-FR-03 POA INSTITUCIONAL'!D71</f>
        <v>4.4.3 Ejecutar el 95% del presupuesto aprobado para la Entidad</v>
      </c>
      <c r="E16" s="59">
        <f>+'01-FR-03 POA INSTITUCIONAL'!E71</f>
        <v>7.0000000000000007E-2</v>
      </c>
      <c r="F16" s="328">
        <f>+'01-FR-03 POA INSTITUCIONAL'!F71</f>
        <v>0.95</v>
      </c>
      <c r="G16" s="59">
        <f>+'01-FR-03 POA INSTITUCIONAL'!L71</f>
        <v>0.95</v>
      </c>
      <c r="H16" s="140" t="str">
        <f>+'01-FR-03 POA INSTITUCIONAL'!G71</f>
        <v>S.I.</v>
      </c>
      <c r="I16" s="140" t="str">
        <f>+'01-FR-03 POA INSTITUCIONAL'!H71</f>
        <v>Porcentaje del presupuesto aprobado y ejecutado.</v>
      </c>
      <c r="J16" s="288" t="s">
        <v>472</v>
      </c>
      <c r="K16" s="275" t="s">
        <v>473</v>
      </c>
      <c r="L16" s="217" t="s">
        <v>474</v>
      </c>
      <c r="M16" s="236" t="s">
        <v>487</v>
      </c>
      <c r="N16" s="217" t="s">
        <v>475</v>
      </c>
      <c r="O16" s="289" t="str">
        <f>+'01-FR-03 POA INSTITUCIONAL'!J71</f>
        <v>Subdirección de Gestión Financiera
Dirección Administrativa y Financiera</v>
      </c>
      <c r="P16" s="1013">
        <v>7.0000000000000007E-2</v>
      </c>
      <c r="Q16" s="1013">
        <v>0.15</v>
      </c>
      <c r="R16" s="1013">
        <v>7.0000000000000007E-2</v>
      </c>
      <c r="S16" s="1013">
        <v>5.3999999999999999E-2</v>
      </c>
      <c r="T16" s="1013">
        <v>0.08</v>
      </c>
      <c r="U16" s="1013">
        <v>6.7000000000000004E-2</v>
      </c>
      <c r="V16" s="321">
        <f>P16+R16+T16</f>
        <v>0.22000000000000003</v>
      </c>
      <c r="W16" s="321">
        <f>Q16+S16+U16</f>
        <v>0.27100000000000002</v>
      </c>
      <c r="X16" s="1013">
        <v>0.08</v>
      </c>
      <c r="Y16" s="1013"/>
      <c r="Z16" s="1013">
        <v>0.08</v>
      </c>
      <c r="AA16" s="1013"/>
      <c r="AB16" s="1013">
        <v>0.09</v>
      </c>
      <c r="AC16" s="999"/>
      <c r="AD16" s="321">
        <f>X16+Z16+AB16</f>
        <v>0.25</v>
      </c>
      <c r="AE16" s="321">
        <f>Y16+AA16+AC16</f>
        <v>0</v>
      </c>
      <c r="AF16" s="1013">
        <v>0.08</v>
      </c>
      <c r="AG16" s="1013"/>
      <c r="AH16" s="1013">
        <v>0.08</v>
      </c>
      <c r="AI16" s="1013"/>
      <c r="AJ16" s="1027">
        <v>0.09</v>
      </c>
      <c r="AK16" s="1028"/>
      <c r="AL16" s="321">
        <f>AF16+AH16+AJ16</f>
        <v>0.25</v>
      </c>
      <c r="AM16" s="321">
        <f>AG16+AI16+AK16</f>
        <v>0</v>
      </c>
      <c r="AN16" s="1013">
        <v>0.08</v>
      </c>
      <c r="AO16" s="1013"/>
      <c r="AP16" s="1013">
        <v>0.08</v>
      </c>
      <c r="AQ16" s="1013"/>
      <c r="AR16" s="1013">
        <v>7.0000000000000007E-2</v>
      </c>
      <c r="AS16" s="999"/>
      <c r="AT16" s="321">
        <f>AN16+AP16+AR16</f>
        <v>0.23</v>
      </c>
      <c r="AU16" s="321">
        <f>AO16+AQ16+AS16</f>
        <v>0</v>
      </c>
      <c r="AV16" s="321">
        <f>V16+AD16+AL16+AT16</f>
        <v>0.95</v>
      </c>
      <c r="AW16" s="307">
        <f>+W16</f>
        <v>0.27100000000000002</v>
      </c>
      <c r="AX16" s="1057">
        <f>+W16+AE16</f>
        <v>0.27100000000000002</v>
      </c>
      <c r="AY16" s="1057">
        <f>+W16+AE16+AM16</f>
        <v>0.27100000000000002</v>
      </c>
      <c r="AZ16" s="1057">
        <f>+W16+AE16+AM16+AU16</f>
        <v>0.27100000000000002</v>
      </c>
      <c r="BA16" s="349">
        <f>IF(AND(AW16&gt;0,$AV16&gt;0),AW16/$AV16,0)</f>
        <v>0.28526315789473689</v>
      </c>
      <c r="BB16" s="341">
        <f t="shared" ref="BB16:BD16" si="0">IF(AND(AX16&gt;0,$AV16&gt;0),AX16/$AV16,0)</f>
        <v>0.28526315789473689</v>
      </c>
      <c r="BC16" s="341">
        <f t="shared" si="0"/>
        <v>0.28526315789473689</v>
      </c>
      <c r="BD16" s="341">
        <f t="shared" si="0"/>
        <v>0.28526315789473689</v>
      </c>
      <c r="BE16" s="346">
        <f>((IF(AND(AW16&gt;0,$F16&gt;0),AW16/$F16,0))/4)</f>
        <v>7.1315789473684221E-2</v>
      </c>
      <c r="BF16" s="1056">
        <f>((IF(AND(AX16&gt;0,$F16&gt;0),AX16/$F16,0))/4)</f>
        <v>7.1315789473684221E-2</v>
      </c>
      <c r="BG16" s="1056">
        <f>((IF(AND(AY16&gt;0,$F16&gt;0),AY16/$F16,0))/4)</f>
        <v>7.1315789473684221E-2</v>
      </c>
      <c r="BH16" s="1056">
        <f>((IF(AND(AZ16&gt;0,$F16&gt;0),AZ16/$F16,0))/4)</f>
        <v>7.1315789473684221E-2</v>
      </c>
    </row>
    <row r="17" spans="2:60" ht="118.95" customHeight="1">
      <c r="B17" s="1494"/>
      <c r="C17" s="1494"/>
      <c r="D17" s="225" t="str">
        <f>+'01-FR-03 POA INSTITUCIONAL'!D72</f>
        <v>4.4.4 Programar y ejecutar el 95% de los compromisos de pago adquiridos por la Entidad</v>
      </c>
      <c r="E17" s="59">
        <f>+'01-FR-03 POA INSTITUCIONAL'!E72</f>
        <v>7.0000000000000007E-2</v>
      </c>
      <c r="F17" s="328">
        <f>+'01-FR-03 POA INSTITUCIONAL'!F72</f>
        <v>0.95</v>
      </c>
      <c r="G17" s="59">
        <f>+'01-FR-03 POA INSTITUCIONAL'!L72</f>
        <v>0.95</v>
      </c>
      <c r="H17" s="140" t="str">
        <f>+'01-FR-03 POA INSTITUCIONAL'!G72</f>
        <v>S.I.</v>
      </c>
      <c r="I17" s="140" t="str">
        <f>+'01-FR-03 POA INSTITUCIONAL'!H72</f>
        <v>Porcentaje de los compromisos de pago programados y ejecutados.</v>
      </c>
      <c r="J17" s="288" t="s">
        <v>476</v>
      </c>
      <c r="K17" s="275" t="s">
        <v>477</v>
      </c>
      <c r="L17" s="217" t="s">
        <v>478</v>
      </c>
      <c r="M17" s="236" t="s">
        <v>485</v>
      </c>
      <c r="N17" s="217" t="s">
        <v>479</v>
      </c>
      <c r="O17" s="289" t="str">
        <f>+'01-FR-03 POA INSTITUCIONAL'!J72</f>
        <v>Subdirección de Gestión Financiera
Dirección Administrativa y Financiera</v>
      </c>
      <c r="P17" s="1019">
        <v>0.03</v>
      </c>
      <c r="Q17" s="1019">
        <v>7.7000000000000002E-3</v>
      </c>
      <c r="R17" s="1019">
        <v>0.05</v>
      </c>
      <c r="S17" s="1019">
        <v>5.3800000000000001E-2</v>
      </c>
      <c r="T17" s="1019">
        <v>0.06</v>
      </c>
      <c r="U17" s="1019">
        <v>7.0099999999999996E-2</v>
      </c>
      <c r="V17" s="322">
        <f t="shared" ref="V17:W18" si="1">P17+R17+T17</f>
        <v>0.14000000000000001</v>
      </c>
      <c r="W17" s="322">
        <f t="shared" si="1"/>
        <v>0.13159999999999999</v>
      </c>
      <c r="X17" s="1019">
        <v>7.0000000000000007E-2</v>
      </c>
      <c r="Y17" s="1019"/>
      <c r="Z17" s="1019">
        <v>0.08</v>
      </c>
      <c r="AA17" s="1019"/>
      <c r="AB17" s="1019">
        <v>0.1</v>
      </c>
      <c r="AC17" s="999"/>
      <c r="AD17" s="322">
        <f t="shared" ref="AD17:AE18" si="2">X17+Z17+AB17</f>
        <v>0.25</v>
      </c>
      <c r="AE17" s="322">
        <f t="shared" si="2"/>
        <v>0</v>
      </c>
      <c r="AF17" s="1019">
        <v>7.0000000000000007E-2</v>
      </c>
      <c r="AG17" s="1019"/>
      <c r="AH17" s="1019">
        <v>0.08</v>
      </c>
      <c r="AI17" s="1019"/>
      <c r="AJ17" s="1019">
        <v>0.08</v>
      </c>
      <c r="AK17" s="999"/>
      <c r="AL17" s="322">
        <f t="shared" ref="AL17:AM18" si="3">AF17+AH17+AJ17</f>
        <v>0.23000000000000004</v>
      </c>
      <c r="AM17" s="322">
        <f t="shared" si="3"/>
        <v>0</v>
      </c>
      <c r="AN17" s="1019">
        <v>0.08</v>
      </c>
      <c r="AO17" s="1019"/>
      <c r="AP17" s="1019">
        <v>0.09</v>
      </c>
      <c r="AQ17" s="1019"/>
      <c r="AR17" s="1019">
        <v>0.16</v>
      </c>
      <c r="AS17" s="999"/>
      <c r="AT17" s="322">
        <f t="shared" ref="AT17:AU18" si="4">AN17+AP17+AR17</f>
        <v>0.32999999999999996</v>
      </c>
      <c r="AU17" s="322">
        <f t="shared" si="4"/>
        <v>0</v>
      </c>
      <c r="AV17" s="322">
        <f t="shared" ref="AV17:AV18" si="5">V17+AD17+AL17+AT17</f>
        <v>0.95000000000000007</v>
      </c>
      <c r="AW17" s="326">
        <f t="shared" ref="AW17:AW18" si="6">+W17</f>
        <v>0.13159999999999999</v>
      </c>
      <c r="AX17" s="1065">
        <f t="shared" ref="AX17:AX18" si="7">+W17+AE17</f>
        <v>0.13159999999999999</v>
      </c>
      <c r="AY17" s="1065">
        <f t="shared" ref="AY17:AY18" si="8">+W17+AE17+AM17</f>
        <v>0.13159999999999999</v>
      </c>
      <c r="AZ17" s="1065">
        <f t="shared" ref="AZ17:AZ18" si="9">+W17+AE17+AM17+AU17</f>
        <v>0.13159999999999999</v>
      </c>
      <c r="BA17" s="351">
        <f t="shared" ref="BA17:BA18" si="10">IF(AND(AW17&gt;0,$AV17&gt;0),AW17/$AV17,0)</f>
        <v>0.13852631578947366</v>
      </c>
      <c r="BB17" s="352">
        <f t="shared" ref="BB17:BB18" si="11">IF(AND(AX17&gt;0,$AV17&gt;0),AX17/$AV17,0)</f>
        <v>0.13852631578947366</v>
      </c>
      <c r="BC17" s="352">
        <f t="shared" ref="BC17:BC18" si="12">IF(AND(AY17&gt;0,$AV17&gt;0),AY17/$AV17,0)</f>
        <v>0.13852631578947366</v>
      </c>
      <c r="BD17" s="352">
        <f t="shared" ref="BD17:BD18" si="13">IF(AND(AZ17&gt;0,$AV17&gt;0),AZ17/$AV17,0)</f>
        <v>0.13852631578947366</v>
      </c>
      <c r="BE17" s="346">
        <f>((IF(AND(AW17&gt;0,$F17&gt;0),AW17/$F17,0))/4)</f>
        <v>3.4631578947368423E-2</v>
      </c>
      <c r="BF17" s="1056">
        <f t="shared" ref="BF17:BH18" si="14">((IF(AND(AX17&gt;0,$F17&gt;0),AX17/$F17,0))/4)</f>
        <v>3.4631578947368423E-2</v>
      </c>
      <c r="BG17" s="1056">
        <f t="shared" si="14"/>
        <v>3.4631578947368423E-2</v>
      </c>
      <c r="BH17" s="1056">
        <f t="shared" si="14"/>
        <v>3.4631578947368423E-2</v>
      </c>
    </row>
    <row r="18" spans="2:60" ht="120.6" customHeight="1">
      <c r="B18" s="1494"/>
      <c r="C18" s="1494"/>
      <c r="D18" s="225" t="str">
        <f>+'01-FR-03 POA INSTITUCIONAL'!D73</f>
        <v>4.4.5 Elaborar y presentar el 100% de los estados financieros de la Entidad</v>
      </c>
      <c r="E18" s="59">
        <f>+'01-FR-03 POA INSTITUCIONAL'!E73</f>
        <v>0.06</v>
      </c>
      <c r="F18" s="328">
        <f>+'01-FR-03 POA INSTITUCIONAL'!F73</f>
        <v>1</v>
      </c>
      <c r="G18" s="59">
        <f>+'01-FR-03 POA INSTITUCIONAL'!L73</f>
        <v>1</v>
      </c>
      <c r="H18" s="140" t="str">
        <f>+'01-FR-03 POA INSTITUCIONAL'!G73</f>
        <v>S.I.</v>
      </c>
      <c r="I18" s="140" t="str">
        <f>+'01-FR-03 POA INSTITUCIONAL'!H73</f>
        <v>Porcentaje de estados financieros de la Entidad elaborados y presentados.</v>
      </c>
      <c r="J18" s="288" t="s">
        <v>480</v>
      </c>
      <c r="K18" s="275" t="s">
        <v>481</v>
      </c>
      <c r="L18" s="217" t="s">
        <v>482</v>
      </c>
      <c r="M18" s="236" t="s">
        <v>486</v>
      </c>
      <c r="N18" s="217" t="s">
        <v>483</v>
      </c>
      <c r="O18" s="289" t="str">
        <f>+'01-FR-03 POA INSTITUCIONAL'!J73</f>
        <v>Subdirección de Gestión Financiera
Dirección Administrativa y Financiera</v>
      </c>
      <c r="P18" s="1013">
        <v>0.08</v>
      </c>
      <c r="Q18" s="1013">
        <v>0.08</v>
      </c>
      <c r="R18" s="1013">
        <v>0.08</v>
      </c>
      <c r="S18" s="1013">
        <v>0.08</v>
      </c>
      <c r="T18" s="1013">
        <v>0.09</v>
      </c>
      <c r="U18" s="999">
        <v>0.09</v>
      </c>
      <c r="V18" s="321">
        <f t="shared" si="1"/>
        <v>0.25</v>
      </c>
      <c r="W18" s="321">
        <f t="shared" si="1"/>
        <v>0.25</v>
      </c>
      <c r="X18" s="1013">
        <v>0.08</v>
      </c>
      <c r="Y18" s="1013"/>
      <c r="Z18" s="1013">
        <v>0.08</v>
      </c>
      <c r="AA18" s="1013"/>
      <c r="AB18" s="1013">
        <v>0.09</v>
      </c>
      <c r="AC18" s="999"/>
      <c r="AD18" s="321">
        <f t="shared" si="2"/>
        <v>0.25</v>
      </c>
      <c r="AE18" s="321">
        <f t="shared" si="2"/>
        <v>0</v>
      </c>
      <c r="AF18" s="1013">
        <v>0.08</v>
      </c>
      <c r="AG18" s="1013"/>
      <c r="AH18" s="1013">
        <v>0.08</v>
      </c>
      <c r="AI18" s="1013"/>
      <c r="AJ18" s="1013">
        <v>0.09</v>
      </c>
      <c r="AK18" s="999"/>
      <c r="AL18" s="321">
        <f t="shared" si="3"/>
        <v>0.25</v>
      </c>
      <c r="AM18" s="321">
        <f t="shared" si="3"/>
        <v>0</v>
      </c>
      <c r="AN18" s="1013">
        <v>0.08</v>
      </c>
      <c r="AO18" s="1013"/>
      <c r="AP18" s="1013">
        <v>0.08</v>
      </c>
      <c r="AQ18" s="1013"/>
      <c r="AR18" s="1013">
        <v>0.09</v>
      </c>
      <c r="AS18" s="999"/>
      <c r="AT18" s="321">
        <f t="shared" si="4"/>
        <v>0.25</v>
      </c>
      <c r="AU18" s="321">
        <f t="shared" si="4"/>
        <v>0</v>
      </c>
      <c r="AV18" s="321">
        <f t="shared" si="5"/>
        <v>1</v>
      </c>
      <c r="AW18" s="307">
        <f t="shared" si="6"/>
        <v>0.25</v>
      </c>
      <c r="AX18" s="1057">
        <f t="shared" si="7"/>
        <v>0.25</v>
      </c>
      <c r="AY18" s="1057">
        <f t="shared" si="8"/>
        <v>0.25</v>
      </c>
      <c r="AZ18" s="1057">
        <f t="shared" si="9"/>
        <v>0.25</v>
      </c>
      <c r="BA18" s="349">
        <f t="shared" si="10"/>
        <v>0.25</v>
      </c>
      <c r="BB18" s="350">
        <f t="shared" si="11"/>
        <v>0.25</v>
      </c>
      <c r="BC18" s="350">
        <f t="shared" si="12"/>
        <v>0.25</v>
      </c>
      <c r="BD18" s="350">
        <f t="shared" si="13"/>
        <v>0.25</v>
      </c>
      <c r="BE18" s="346">
        <f>((IF(AND(AW18&gt;0,$F18&gt;0),AW18/$F18,0))/4)</f>
        <v>6.25E-2</v>
      </c>
      <c r="BF18" s="1056">
        <f t="shared" si="14"/>
        <v>6.25E-2</v>
      </c>
      <c r="BG18" s="1056">
        <f t="shared" si="14"/>
        <v>6.25E-2</v>
      </c>
      <c r="BH18" s="1056">
        <f t="shared" si="14"/>
        <v>6.25E-2</v>
      </c>
    </row>
    <row r="19" spans="2:60" ht="22.8">
      <c r="B19" s="1560"/>
      <c r="C19" s="1561"/>
      <c r="D19" s="1561"/>
      <c r="E19" s="1561"/>
      <c r="F19" s="1561"/>
      <c r="G19" s="1561"/>
      <c r="H19" s="1561"/>
      <c r="I19" s="1561"/>
      <c r="J19" s="1561"/>
      <c r="K19" s="1561"/>
      <c r="L19" s="1561"/>
      <c r="M19" s="1561"/>
      <c r="N19" s="1561"/>
      <c r="O19" s="1561"/>
      <c r="P19" s="1561"/>
      <c r="Q19" s="1561"/>
      <c r="R19" s="1561"/>
      <c r="S19" s="1561"/>
      <c r="T19" s="1561"/>
      <c r="U19" s="1561"/>
      <c r="V19" s="1561"/>
      <c r="W19" s="1561"/>
      <c r="X19" s="1561"/>
      <c r="Y19" s="1561"/>
      <c r="Z19" s="1561"/>
      <c r="AA19" s="1561"/>
      <c r="AB19" s="1561"/>
      <c r="AC19" s="1561"/>
      <c r="AD19" s="1561"/>
      <c r="AE19" s="1561"/>
      <c r="AF19" s="1561"/>
      <c r="AG19" s="1561"/>
      <c r="AH19" s="1561"/>
      <c r="AI19" s="1561"/>
      <c r="AJ19" s="1561"/>
      <c r="AK19" s="1561"/>
      <c r="AL19" s="1561"/>
      <c r="AM19" s="1561"/>
      <c r="AN19" s="1561"/>
      <c r="AO19" s="1561"/>
      <c r="AP19" s="1561"/>
      <c r="AQ19" s="1561"/>
      <c r="AR19" s="1561"/>
      <c r="AS19" s="1561"/>
      <c r="AT19" s="1561"/>
      <c r="AU19" s="1561"/>
      <c r="AV19" s="1561"/>
      <c r="AW19" s="1644"/>
      <c r="AX19" s="1614" t="s">
        <v>19</v>
      </c>
      <c r="AY19" s="1642"/>
      <c r="AZ19" s="1642"/>
      <c r="BA19" s="70">
        <f t="shared" ref="BA19:BD19" si="15">AVERAGE(BA16:BA18)</f>
        <v>0.22459649122807016</v>
      </c>
      <c r="BB19" s="70">
        <f t="shared" si="15"/>
        <v>0.22459649122807016</v>
      </c>
      <c r="BC19" s="70">
        <f t="shared" si="15"/>
        <v>0.22459649122807016</v>
      </c>
      <c r="BD19" s="70">
        <f t="shared" si="15"/>
        <v>0.22459649122807016</v>
      </c>
      <c r="BE19" s="1652"/>
      <c r="BF19" s="1653"/>
      <c r="BG19" s="1653"/>
      <c r="BH19" s="1654"/>
    </row>
    <row r="20" spans="2:60">
      <c r="B20" s="1553"/>
      <c r="C20" s="1553"/>
      <c r="D20" s="1553"/>
      <c r="E20" s="1553"/>
      <c r="F20" s="1553"/>
      <c r="G20" s="1553"/>
      <c r="H20" s="239"/>
      <c r="I20" s="240"/>
      <c r="J20" s="240"/>
      <c r="K20" s="240"/>
      <c r="L20" s="240"/>
      <c r="M20" s="240"/>
      <c r="N20" s="240"/>
      <c r="O20" s="240"/>
    </row>
    <row r="21" spans="2:60">
      <c r="B21" s="240"/>
      <c r="C21" s="240"/>
      <c r="D21" s="1624"/>
      <c r="E21" s="1624"/>
      <c r="F21" s="1624"/>
      <c r="G21" s="1624"/>
      <c r="H21" s="1624"/>
      <c r="I21" s="1624"/>
      <c r="J21" s="1624"/>
      <c r="K21" s="1624"/>
      <c r="L21" s="1624"/>
      <c r="M21" s="1624"/>
      <c r="N21" s="1624"/>
      <c r="O21" s="1624"/>
    </row>
    <row r="22" spans="2:60" ht="15.6" customHeight="1">
      <c r="B22" s="77" t="s">
        <v>26</v>
      </c>
      <c r="C22" s="241">
        <v>44224</v>
      </c>
      <c r="D22" s="242"/>
      <c r="E22" s="1625" t="s">
        <v>50</v>
      </c>
      <c r="F22" s="1743" t="s">
        <v>484</v>
      </c>
      <c r="G22" s="1744"/>
      <c r="H22" s="1744"/>
      <c r="I22" s="1744"/>
      <c r="J22" s="1745"/>
      <c r="K22" s="243"/>
      <c r="L22" s="1633"/>
      <c r="M22" s="1633"/>
      <c r="N22" s="1633"/>
      <c r="O22" s="1634"/>
    </row>
    <row r="23" spans="2:60" ht="15.6">
      <c r="B23" s="240"/>
      <c r="C23" s="240"/>
      <c r="D23" s="243"/>
      <c r="E23" s="1625"/>
      <c r="F23" s="1746"/>
      <c r="G23" s="1747"/>
      <c r="H23" s="1747"/>
      <c r="I23" s="1747"/>
      <c r="J23" s="1748"/>
      <c r="K23" s="240"/>
      <c r="L23" s="240"/>
      <c r="M23" s="240"/>
      <c r="N23" s="240"/>
      <c r="O23" s="240"/>
    </row>
    <row r="24" spans="2:60" ht="15.6">
      <c r="B24" s="77" t="s">
        <v>49</v>
      </c>
      <c r="C24" s="80">
        <v>44581</v>
      </c>
      <c r="D24" s="240"/>
      <c r="E24" s="240"/>
      <c r="F24" s="240"/>
      <c r="K24" s="240"/>
      <c r="L24" s="240"/>
      <c r="M24" s="240"/>
      <c r="N24" s="240"/>
      <c r="O24" s="240"/>
    </row>
    <row r="25" spans="2:60">
      <c r="B25" s="240"/>
      <c r="C25" s="240"/>
      <c r="D25" s="240"/>
      <c r="E25" s="240"/>
      <c r="F25" s="240"/>
      <c r="K25" s="240"/>
      <c r="L25" s="240"/>
      <c r="M25" s="240"/>
      <c r="N25" s="240"/>
      <c r="O25" s="240"/>
    </row>
    <row r="26" spans="2:60">
      <c r="B26" s="606" t="s">
        <v>924</v>
      </c>
      <c r="C26" s="240"/>
      <c r="D26" s="240"/>
      <c r="E26" s="240"/>
      <c r="F26" s="240"/>
      <c r="G26" s="239"/>
      <c r="H26" s="239"/>
      <c r="I26" s="1632"/>
      <c r="J26" s="1632"/>
      <c r="K26" s="1632"/>
      <c r="L26" s="1632"/>
      <c r="M26" s="244"/>
      <c r="N26" s="244"/>
      <c r="O26" s="244"/>
    </row>
    <row r="27" spans="2:60">
      <c r="B27" s="240"/>
      <c r="C27" s="240"/>
      <c r="D27" s="240"/>
      <c r="E27" s="240"/>
      <c r="F27" s="240"/>
      <c r="G27" s="239"/>
      <c r="H27" s="239"/>
      <c r="I27" s="240"/>
      <c r="J27" s="240"/>
      <c r="K27" s="245"/>
      <c r="L27" s="240"/>
      <c r="M27" s="240"/>
      <c r="N27" s="240"/>
      <c r="O27" s="240"/>
    </row>
    <row r="28" spans="2:60">
      <c r="B28" s="240"/>
      <c r="C28" s="240"/>
      <c r="D28" s="240"/>
      <c r="E28" s="240"/>
      <c r="F28" s="240"/>
      <c r="G28" s="239"/>
      <c r="H28" s="239"/>
      <c r="I28" s="1632"/>
      <c r="J28" s="1632"/>
      <c r="K28" s="1632"/>
      <c r="L28" s="1632"/>
      <c r="M28" s="244"/>
      <c r="N28" s="244"/>
      <c r="O28" s="244"/>
    </row>
    <row r="29" spans="2:60">
      <c r="B29" s="240"/>
      <c r="C29" s="240"/>
      <c r="D29" s="240"/>
      <c r="E29" s="240"/>
      <c r="F29" s="240"/>
      <c r="G29" s="239"/>
      <c r="H29" s="239"/>
      <c r="I29" s="240"/>
      <c r="J29" s="240"/>
      <c r="K29" s="245"/>
      <c r="L29" s="240"/>
      <c r="M29" s="240"/>
      <c r="N29" s="240"/>
      <c r="O29" s="240"/>
    </row>
    <row r="30" spans="2:60">
      <c r="B30" s="240"/>
      <c r="C30" s="240"/>
      <c r="D30" s="240"/>
      <c r="E30" s="240"/>
      <c r="F30" s="240"/>
      <c r="G30" s="239"/>
      <c r="H30" s="239"/>
      <c r="I30" s="1632"/>
      <c r="J30" s="1632"/>
      <c r="K30" s="1632"/>
      <c r="L30" s="1632"/>
      <c r="M30" s="244"/>
      <c r="N30" s="244"/>
      <c r="O30" s="244"/>
    </row>
  </sheetData>
  <sheetProtection algorithmName="SHA-512" hashValue="+oV6FZtDoXwgwdpxvwn+1qSZmepPm3M2vn+5FPHj06TrdzTT/hcRGc3E0EAfzhEtJNYcZMGBgoMbyvEuWh/XUQ==" saltValue="MkQMHTlWDWw9el1T31251w==" spinCount="100000" sheet="1" objects="1" scenarios="1"/>
  <mergeCells count="71">
    <mergeCell ref="BE19:BH19"/>
    <mergeCell ref="C9:D9"/>
    <mergeCell ref="B2:B6"/>
    <mergeCell ref="C2:BF6"/>
    <mergeCell ref="BG6:BH6"/>
    <mergeCell ref="AW7:BA7"/>
    <mergeCell ref="C8:D8"/>
    <mergeCell ref="C10:D10"/>
    <mergeCell ref="B12:B15"/>
    <mergeCell ref="C12:C15"/>
    <mergeCell ref="D12:D15"/>
    <mergeCell ref="E12:E15"/>
    <mergeCell ref="BE12:BH12"/>
    <mergeCell ref="P13:W13"/>
    <mergeCell ref="X13:AE13"/>
    <mergeCell ref="AF13:AM13"/>
    <mergeCell ref="BA13:BA15"/>
    <mergeCell ref="P12:AU12"/>
    <mergeCell ref="AV12:AV15"/>
    <mergeCell ref="AW12:AZ12"/>
    <mergeCell ref="BA12:BD12"/>
    <mergeCell ref="BB13:BB15"/>
    <mergeCell ref="BC13:BC15"/>
    <mergeCell ref="AL14:AM14"/>
    <mergeCell ref="AN14:AO14"/>
    <mergeCell ref="AN13:AU13"/>
    <mergeCell ref="AW13:AW15"/>
    <mergeCell ref="AX13:AX15"/>
    <mergeCell ref="AY13:AY15"/>
    <mergeCell ref="AZ13:AZ15"/>
    <mergeCell ref="BE13:BE15"/>
    <mergeCell ref="BF13:BF15"/>
    <mergeCell ref="BG13:BG15"/>
    <mergeCell ref="BH13:BH15"/>
    <mergeCell ref="P14:Q14"/>
    <mergeCell ref="R14:S14"/>
    <mergeCell ref="T14:U14"/>
    <mergeCell ref="V14:W14"/>
    <mergeCell ref="X14:Y14"/>
    <mergeCell ref="Z14:AA14"/>
    <mergeCell ref="BD13:BD15"/>
    <mergeCell ref="AB14:AC14"/>
    <mergeCell ref="AP14:AQ14"/>
    <mergeCell ref="AR14:AS14"/>
    <mergeCell ref="AT14:AU14"/>
    <mergeCell ref="AJ14:AK14"/>
    <mergeCell ref="B16:B18"/>
    <mergeCell ref="C16:C18"/>
    <mergeCell ref="AD14:AE14"/>
    <mergeCell ref="AF14:AG14"/>
    <mergeCell ref="AH14:AI14"/>
    <mergeCell ref="K12:K15"/>
    <mergeCell ref="L12:L15"/>
    <mergeCell ref="M12:M15"/>
    <mergeCell ref="G12:G15"/>
    <mergeCell ref="F12:F15"/>
    <mergeCell ref="N12:N15"/>
    <mergeCell ref="O12:O15"/>
    <mergeCell ref="H12:H15"/>
    <mergeCell ref="I12:I15"/>
    <mergeCell ref="J12:J15"/>
    <mergeCell ref="I28:L28"/>
    <mergeCell ref="I30:L30"/>
    <mergeCell ref="B20:G20"/>
    <mergeCell ref="AX19:AZ19"/>
    <mergeCell ref="D21:O21"/>
    <mergeCell ref="E22:E23"/>
    <mergeCell ref="L22:O22"/>
    <mergeCell ref="I26:L26"/>
    <mergeCell ref="B19:AW19"/>
    <mergeCell ref="F22:J23"/>
  </mergeCells>
  <conditionalFormatting sqref="BA16:BD18">
    <cfRule type="cellIs" dxfId="30" priority="1" operator="greaterThan">
      <formula>1</formula>
    </cfRule>
    <cfRule type="cellIs" dxfId="29" priority="2" operator="between">
      <formula>0.8</formula>
      <formula>1</formula>
    </cfRule>
    <cfRule type="cellIs" dxfId="28" priority="3" operator="between">
      <formula>0.61</formula>
      <formula>0.79</formula>
    </cfRule>
    <cfRule type="cellIs" dxfId="27" priority="4" operator="between">
      <formula>0</formula>
      <formula>0.6</formula>
    </cfRule>
  </conditionalFormatting>
  <dataValidations count="1">
    <dataValidation allowBlank="1" showInputMessage="1" showErrorMessage="1" prompt="Transcriba de manera exacta el objetivo definido en la caracterización del proceso." sqref="C9:D9" xr:uid="{38ED5FE9-E1A0-4491-9707-93294B97E159}"/>
  </dataValidation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C84D8-AC24-4DC5-A666-D82B445F2205}">
  <sheetPr>
    <tabColor rgb="FF66FF33"/>
  </sheetPr>
  <dimension ref="B1:BH37"/>
  <sheetViews>
    <sheetView showGridLines="0" topLeftCell="C10" zoomScale="55" zoomScaleNormal="55" workbookViewId="0">
      <selection activeCell="B20" sqref="B20:AW20"/>
    </sheetView>
  </sheetViews>
  <sheetFormatPr baseColWidth="10" defaultColWidth="17.33203125" defaultRowHeight="15" customHeight="1"/>
  <cols>
    <col min="1" max="1" width="4.33203125" style="135" customWidth="1"/>
    <col min="2" max="2" width="50.44140625" style="133" customWidth="1"/>
    <col min="3" max="3" width="31.44140625" style="133" customWidth="1"/>
    <col min="4" max="4" width="49.6640625" style="133" customWidth="1"/>
    <col min="5" max="6" width="27.5546875" style="133" customWidth="1"/>
    <col min="7" max="8" width="29.33203125" style="134" customWidth="1"/>
    <col min="9" max="9" width="26" style="133" customWidth="1"/>
    <col min="10" max="10" width="37" style="133" customWidth="1"/>
    <col min="11" max="11" width="55.88671875" style="133" customWidth="1"/>
    <col min="12" max="12" width="48.44140625" style="133" customWidth="1"/>
    <col min="13" max="14" width="28.5546875" style="133" customWidth="1"/>
    <col min="15" max="15" width="50" style="133" customWidth="1"/>
    <col min="16" max="47" width="15.88671875" style="135" customWidth="1"/>
    <col min="48" max="48" width="24.5546875" style="135" customWidth="1"/>
    <col min="49" max="49" width="22.88671875" style="135" customWidth="1"/>
    <col min="50" max="50" width="19.33203125" style="135" customWidth="1"/>
    <col min="51" max="51" width="18.44140625" style="135" customWidth="1"/>
    <col min="52" max="52" width="19.44140625" style="135" customWidth="1"/>
    <col min="53" max="53" width="23.33203125" style="135" customWidth="1"/>
    <col min="54" max="55" width="25.109375" style="135" customWidth="1"/>
    <col min="56" max="56" width="26.6640625" style="135" customWidth="1"/>
    <col min="57" max="57" width="26.33203125" style="135" customWidth="1"/>
    <col min="58" max="58" width="26.5546875" style="135" customWidth="1"/>
    <col min="59" max="59" width="26.33203125" style="135" customWidth="1"/>
    <col min="60" max="60" width="27.33203125" style="135" customWidth="1"/>
    <col min="61" max="16384" width="17.33203125" style="135"/>
  </cols>
  <sheetData>
    <row r="1" spans="2:60" ht="15.6" thickBot="1"/>
    <row r="2" spans="2:60" ht="15.6">
      <c r="B2" s="1575" t="s">
        <v>686</v>
      </c>
      <c r="C2" s="1600" t="s">
        <v>118</v>
      </c>
      <c r="D2" s="1601"/>
      <c r="E2" s="1601"/>
      <c r="F2" s="1601"/>
      <c r="G2" s="1601"/>
      <c r="H2" s="1601"/>
      <c r="I2" s="1601"/>
      <c r="J2" s="1601"/>
      <c r="K2" s="1601"/>
      <c r="L2" s="1601"/>
      <c r="M2" s="1601"/>
      <c r="N2" s="1601"/>
      <c r="O2" s="1601"/>
      <c r="P2" s="1601"/>
      <c r="Q2" s="1601"/>
      <c r="R2" s="1601"/>
      <c r="S2" s="1601"/>
      <c r="T2" s="1601"/>
      <c r="U2" s="1601"/>
      <c r="V2" s="1601"/>
      <c r="W2" s="1601"/>
      <c r="X2" s="1601"/>
      <c r="Y2" s="1601"/>
      <c r="Z2" s="1601"/>
      <c r="AA2" s="1601"/>
      <c r="AB2" s="1601"/>
      <c r="AC2" s="1601"/>
      <c r="AD2" s="1601"/>
      <c r="AE2" s="1601"/>
      <c r="AF2" s="1601"/>
      <c r="AG2" s="1601"/>
      <c r="AH2" s="1601"/>
      <c r="AI2" s="1601"/>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2"/>
      <c r="BG2" s="230" t="s">
        <v>31</v>
      </c>
      <c r="BH2" s="231"/>
    </row>
    <row r="3" spans="2:60" ht="15.6">
      <c r="B3" s="1576"/>
      <c r="C3" s="1603"/>
      <c r="D3" s="1604"/>
      <c r="E3" s="1604"/>
      <c r="F3" s="1604"/>
      <c r="G3" s="1604"/>
      <c r="H3" s="1604"/>
      <c r="I3" s="1604"/>
      <c r="J3" s="1604"/>
      <c r="K3" s="1604"/>
      <c r="L3" s="1604"/>
      <c r="M3" s="1604"/>
      <c r="N3" s="1604"/>
      <c r="O3" s="1604"/>
      <c r="P3" s="1604"/>
      <c r="Q3" s="1604"/>
      <c r="R3" s="1604"/>
      <c r="S3" s="1604"/>
      <c r="T3" s="1604"/>
      <c r="U3" s="1604"/>
      <c r="V3" s="1604"/>
      <c r="W3" s="1604"/>
      <c r="X3" s="1604"/>
      <c r="Y3" s="1604"/>
      <c r="Z3" s="1604"/>
      <c r="AA3" s="1604"/>
      <c r="AB3" s="1604"/>
      <c r="AC3" s="1604"/>
      <c r="AD3" s="1604"/>
      <c r="AE3" s="1604"/>
      <c r="AF3" s="1604"/>
      <c r="AG3" s="1604"/>
      <c r="AH3" s="1604"/>
      <c r="AI3" s="1604"/>
      <c r="AJ3" s="1604"/>
      <c r="AK3" s="1604"/>
      <c r="AL3" s="1604"/>
      <c r="AM3" s="1604"/>
      <c r="AN3" s="1604"/>
      <c r="AO3" s="1604"/>
      <c r="AP3" s="1604"/>
      <c r="AQ3" s="1604"/>
      <c r="AR3" s="1604"/>
      <c r="AS3" s="1604"/>
      <c r="AT3" s="1604"/>
      <c r="AU3" s="1604"/>
      <c r="AV3" s="1604"/>
      <c r="AW3" s="1604"/>
      <c r="AX3" s="1604"/>
      <c r="AY3" s="1604"/>
      <c r="AZ3" s="1604"/>
      <c r="BA3" s="1604"/>
      <c r="BB3" s="1604"/>
      <c r="BC3" s="1604"/>
      <c r="BD3" s="1604"/>
      <c r="BE3" s="1604"/>
      <c r="BF3" s="1605"/>
      <c r="BG3" s="209" t="s">
        <v>28</v>
      </c>
      <c r="BH3" s="28" t="s">
        <v>29</v>
      </c>
    </row>
    <row r="4" spans="2:60" ht="15" customHeight="1">
      <c r="B4" s="1576"/>
      <c r="C4" s="1603"/>
      <c r="D4" s="1604"/>
      <c r="E4" s="1604"/>
      <c r="F4" s="1604"/>
      <c r="G4" s="1604"/>
      <c r="H4" s="1604"/>
      <c r="I4" s="1604"/>
      <c r="J4" s="1604"/>
      <c r="K4" s="1604"/>
      <c r="L4" s="1604"/>
      <c r="M4" s="1604"/>
      <c r="N4" s="1604"/>
      <c r="O4" s="1604"/>
      <c r="P4" s="1604"/>
      <c r="Q4" s="1604"/>
      <c r="R4" s="1604"/>
      <c r="S4" s="1604"/>
      <c r="T4" s="1604"/>
      <c r="U4" s="1604"/>
      <c r="V4" s="1604"/>
      <c r="W4" s="1604"/>
      <c r="X4" s="1604"/>
      <c r="Y4" s="1604"/>
      <c r="Z4" s="1604"/>
      <c r="AA4" s="1604"/>
      <c r="AB4" s="1604"/>
      <c r="AC4" s="1604"/>
      <c r="AD4" s="1604"/>
      <c r="AE4" s="1604"/>
      <c r="AF4" s="1604"/>
      <c r="AG4" s="1604"/>
      <c r="AH4" s="1604"/>
      <c r="AI4" s="1604"/>
      <c r="AJ4" s="1604"/>
      <c r="AK4" s="1604"/>
      <c r="AL4" s="1604"/>
      <c r="AM4" s="1604"/>
      <c r="AN4" s="1604"/>
      <c r="AO4" s="1604"/>
      <c r="AP4" s="1604"/>
      <c r="AQ4" s="1604"/>
      <c r="AR4" s="1604"/>
      <c r="AS4" s="1604"/>
      <c r="AT4" s="1604"/>
      <c r="AU4" s="1604"/>
      <c r="AV4" s="1604"/>
      <c r="AW4" s="1604"/>
      <c r="AX4" s="1604"/>
      <c r="AY4" s="1604"/>
      <c r="AZ4" s="1604"/>
      <c r="BA4" s="1604"/>
      <c r="BB4" s="1604"/>
      <c r="BC4" s="1604"/>
      <c r="BD4" s="1604"/>
      <c r="BE4" s="1604"/>
      <c r="BF4" s="1605"/>
      <c r="BG4" s="210">
        <v>5</v>
      </c>
      <c r="BH4" s="30" t="s">
        <v>657</v>
      </c>
    </row>
    <row r="5" spans="2:60" ht="15.6">
      <c r="B5" s="1576"/>
      <c r="C5" s="1603"/>
      <c r="D5" s="1604"/>
      <c r="E5" s="1604"/>
      <c r="F5" s="1604"/>
      <c r="G5" s="1604"/>
      <c r="H5" s="1604"/>
      <c r="I5" s="1604"/>
      <c r="J5" s="1604"/>
      <c r="K5" s="1604"/>
      <c r="L5" s="1604"/>
      <c r="M5" s="1604"/>
      <c r="N5" s="1604"/>
      <c r="O5" s="1604"/>
      <c r="P5" s="1604"/>
      <c r="Q5" s="1604"/>
      <c r="R5" s="1604"/>
      <c r="S5" s="1604"/>
      <c r="T5" s="1604"/>
      <c r="U5" s="1604"/>
      <c r="V5" s="1604"/>
      <c r="W5" s="1604"/>
      <c r="X5" s="1604"/>
      <c r="Y5" s="1604"/>
      <c r="Z5" s="1604"/>
      <c r="AA5" s="1604"/>
      <c r="AB5" s="1604"/>
      <c r="AC5" s="1604"/>
      <c r="AD5" s="1604"/>
      <c r="AE5" s="1604"/>
      <c r="AF5" s="1604"/>
      <c r="AG5" s="1604"/>
      <c r="AH5" s="1604"/>
      <c r="AI5" s="1604"/>
      <c r="AJ5" s="1604"/>
      <c r="AK5" s="1604"/>
      <c r="AL5" s="1604"/>
      <c r="AM5" s="1604"/>
      <c r="AN5" s="1604"/>
      <c r="AO5" s="1604"/>
      <c r="AP5" s="1604"/>
      <c r="AQ5" s="1604"/>
      <c r="AR5" s="1604"/>
      <c r="AS5" s="1604"/>
      <c r="AT5" s="1604"/>
      <c r="AU5" s="1604"/>
      <c r="AV5" s="1604"/>
      <c r="AW5" s="1604"/>
      <c r="AX5" s="1604"/>
      <c r="AY5" s="1604"/>
      <c r="AZ5" s="1604"/>
      <c r="BA5" s="1604"/>
      <c r="BB5" s="1604"/>
      <c r="BC5" s="1604"/>
      <c r="BD5" s="1604"/>
      <c r="BE5" s="1604"/>
      <c r="BF5" s="1605"/>
      <c r="BG5" s="211" t="s">
        <v>30</v>
      </c>
      <c r="BH5" s="212"/>
    </row>
    <row r="6" spans="2:60" ht="15.6" customHeight="1" thickBot="1">
      <c r="B6" s="1577"/>
      <c r="C6" s="1606"/>
      <c r="D6" s="1607"/>
      <c r="E6" s="1607"/>
      <c r="F6" s="1607"/>
      <c r="G6" s="1607"/>
      <c r="H6" s="1607"/>
      <c r="I6" s="1607"/>
      <c r="J6" s="1607"/>
      <c r="K6" s="1607"/>
      <c r="L6" s="1607"/>
      <c r="M6" s="1607"/>
      <c r="N6" s="1607"/>
      <c r="O6" s="1607"/>
      <c r="P6" s="1607"/>
      <c r="Q6" s="1607"/>
      <c r="R6" s="1607"/>
      <c r="S6" s="1607"/>
      <c r="T6" s="1607"/>
      <c r="U6" s="1607"/>
      <c r="V6" s="1607"/>
      <c r="W6" s="1607"/>
      <c r="X6" s="1607"/>
      <c r="Y6" s="1607"/>
      <c r="Z6" s="1607"/>
      <c r="AA6" s="1607"/>
      <c r="AB6" s="1607"/>
      <c r="AC6" s="1607"/>
      <c r="AD6" s="1607"/>
      <c r="AE6" s="1607"/>
      <c r="AF6" s="1607"/>
      <c r="AG6" s="1607"/>
      <c r="AH6" s="1607"/>
      <c r="AI6" s="1607"/>
      <c r="AJ6" s="1607"/>
      <c r="AK6" s="1607"/>
      <c r="AL6" s="1607"/>
      <c r="AM6" s="1607"/>
      <c r="AN6" s="1607"/>
      <c r="AO6" s="1607"/>
      <c r="AP6" s="1607"/>
      <c r="AQ6" s="1607"/>
      <c r="AR6" s="1607"/>
      <c r="AS6" s="1607"/>
      <c r="AT6" s="1607"/>
      <c r="AU6" s="1607"/>
      <c r="AV6" s="1607"/>
      <c r="AW6" s="1607"/>
      <c r="AX6" s="1607"/>
      <c r="AY6" s="1607"/>
      <c r="AZ6" s="1607"/>
      <c r="BA6" s="1607"/>
      <c r="BB6" s="1607"/>
      <c r="BC6" s="1607"/>
      <c r="BD6" s="1607"/>
      <c r="BE6" s="1607"/>
      <c r="BF6" s="1608"/>
      <c r="BG6" s="1566">
        <v>44306</v>
      </c>
      <c r="BH6" s="1567"/>
    </row>
    <row r="7" spans="2:60">
      <c r="B7" s="136"/>
      <c r="C7" s="136"/>
      <c r="D7" s="136"/>
      <c r="E7" s="136"/>
      <c r="F7" s="136"/>
      <c r="G7" s="137"/>
      <c r="H7" s="137"/>
      <c r="I7" s="136"/>
      <c r="J7" s="136"/>
      <c r="K7" s="136"/>
      <c r="L7" s="136"/>
      <c r="M7" s="136"/>
      <c r="N7" s="136"/>
      <c r="O7" s="136"/>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589"/>
      <c r="AX7" s="1633"/>
      <c r="AY7" s="1633"/>
      <c r="AZ7" s="1633"/>
      <c r="BA7" s="1591"/>
      <c r="BB7" s="232"/>
      <c r="BC7" s="232"/>
      <c r="BD7" s="232"/>
      <c r="BE7" s="138"/>
      <c r="BF7" s="138"/>
    </row>
    <row r="8" spans="2:60" ht="21">
      <c r="B8" s="213" t="s">
        <v>45</v>
      </c>
      <c r="C8" s="1651" t="s">
        <v>94</v>
      </c>
      <c r="D8" s="1651"/>
      <c r="E8" s="214"/>
      <c r="F8" s="214"/>
      <c r="G8" s="214"/>
      <c r="H8" s="214"/>
      <c r="I8" s="214"/>
      <c r="J8" s="214"/>
      <c r="K8" s="214"/>
      <c r="L8" s="214"/>
      <c r="M8" s="214"/>
      <c r="N8" s="214"/>
      <c r="O8" s="214"/>
      <c r="AW8" s="232"/>
      <c r="AX8" s="232"/>
      <c r="AY8" s="232"/>
      <c r="AZ8" s="232"/>
      <c r="BA8" s="232"/>
      <c r="BB8" s="232"/>
      <c r="BC8" s="232"/>
      <c r="BD8" s="232"/>
    </row>
    <row r="9" spans="2:60" ht="79.5" customHeight="1">
      <c r="B9" s="213" t="s">
        <v>34</v>
      </c>
      <c r="C9" s="1610" t="s">
        <v>455</v>
      </c>
      <c r="D9" s="1611"/>
      <c r="E9" s="214"/>
      <c r="F9" s="214"/>
      <c r="G9" s="214"/>
      <c r="H9" s="214"/>
      <c r="I9" s="214"/>
      <c r="J9" s="214"/>
      <c r="K9" s="214"/>
      <c r="L9" s="214"/>
      <c r="M9" s="214"/>
      <c r="N9" s="214"/>
      <c r="O9" s="214"/>
      <c r="AW9" s="232"/>
      <c r="AX9" s="232"/>
      <c r="AY9" s="232"/>
      <c r="AZ9" s="232"/>
      <c r="BA9" s="232"/>
      <c r="BB9" s="232"/>
      <c r="BC9" s="232"/>
      <c r="BD9" s="232"/>
    </row>
    <row r="10" spans="2:60" ht="24.6">
      <c r="B10" s="213" t="s">
        <v>101</v>
      </c>
      <c r="C10" s="1612">
        <v>2021</v>
      </c>
      <c r="D10" s="1613"/>
      <c r="E10" s="214"/>
      <c r="F10" s="214"/>
      <c r="G10" s="214"/>
      <c r="H10" s="214"/>
      <c r="I10" s="214"/>
      <c r="J10" s="214"/>
      <c r="K10" s="214"/>
      <c r="L10" s="214"/>
      <c r="M10" s="214"/>
      <c r="N10" s="214"/>
      <c r="O10" s="214"/>
      <c r="AW10" s="232"/>
      <c r="AX10" s="232"/>
      <c r="AY10" s="232"/>
      <c r="AZ10" s="232"/>
      <c r="BA10" s="232"/>
      <c r="BB10" s="232"/>
      <c r="BC10" s="232"/>
      <c r="BD10" s="232"/>
    </row>
    <row r="11" spans="2:60">
      <c r="B11" s="136"/>
      <c r="C11" s="136"/>
      <c r="D11" s="136"/>
      <c r="E11" s="136"/>
      <c r="F11" s="136"/>
      <c r="G11" s="137"/>
      <c r="H11" s="137"/>
      <c r="I11" s="136"/>
      <c r="J11" s="136"/>
      <c r="K11" s="136"/>
      <c r="L11" s="136"/>
      <c r="M11" s="136"/>
      <c r="N11" s="136"/>
      <c r="O11" s="136"/>
      <c r="AW11" s="232"/>
      <c r="AX11" s="232"/>
      <c r="AY11" s="232"/>
      <c r="AZ11" s="232"/>
      <c r="BA11" s="232"/>
      <c r="BB11" s="232"/>
      <c r="BC11" s="232"/>
      <c r="BD11" s="232"/>
    </row>
    <row r="12" spans="2:60" ht="15.6" customHeight="1">
      <c r="B12" s="1476" t="s">
        <v>0</v>
      </c>
      <c r="C12" s="1476" t="s">
        <v>52</v>
      </c>
      <c r="D12" s="1302" t="s">
        <v>711</v>
      </c>
      <c r="E12" s="1476" t="s">
        <v>61</v>
      </c>
      <c r="F12" s="1302" t="s">
        <v>682</v>
      </c>
      <c r="G12" s="1476" t="s">
        <v>58</v>
      </c>
      <c r="H12" s="1476" t="s">
        <v>25</v>
      </c>
      <c r="I12" s="1476" t="s">
        <v>60</v>
      </c>
      <c r="J12" s="1476" t="s">
        <v>39</v>
      </c>
      <c r="K12" s="1476" t="s">
        <v>36</v>
      </c>
      <c r="L12" s="1476" t="s">
        <v>20</v>
      </c>
      <c r="M12" s="1476" t="s">
        <v>51</v>
      </c>
      <c r="N12" s="1476" t="s">
        <v>40</v>
      </c>
      <c r="O12" s="1476" t="s">
        <v>42</v>
      </c>
      <c r="P12" s="1528" t="s">
        <v>112</v>
      </c>
      <c r="Q12" s="1528"/>
      <c r="R12" s="1528"/>
      <c r="S12" s="1528"/>
      <c r="T12" s="1528"/>
      <c r="U12" s="1528"/>
      <c r="V12" s="1528"/>
      <c r="W12" s="1528"/>
      <c r="X12" s="1528"/>
      <c r="Y12" s="1528"/>
      <c r="Z12" s="1528"/>
      <c r="AA12" s="1528"/>
      <c r="AB12" s="1528"/>
      <c r="AC12" s="1528"/>
      <c r="AD12" s="1528"/>
      <c r="AE12" s="1528"/>
      <c r="AF12" s="1528"/>
      <c r="AG12" s="1528"/>
      <c r="AH12" s="1528"/>
      <c r="AI12" s="1528"/>
      <c r="AJ12" s="1528"/>
      <c r="AK12" s="1528"/>
      <c r="AL12" s="1528"/>
      <c r="AM12" s="1528"/>
      <c r="AN12" s="1528"/>
      <c r="AO12" s="1528"/>
      <c r="AP12" s="1528"/>
      <c r="AQ12" s="1528"/>
      <c r="AR12" s="1528"/>
      <c r="AS12" s="1528"/>
      <c r="AT12" s="1528"/>
      <c r="AU12" s="1528"/>
      <c r="AV12" s="1592" t="s">
        <v>62</v>
      </c>
      <c r="AW12" s="1594" t="s">
        <v>683</v>
      </c>
      <c r="AX12" s="1595"/>
      <c r="AY12" s="1595"/>
      <c r="AZ12" s="1596"/>
      <c r="BA12" s="1583" t="s">
        <v>684</v>
      </c>
      <c r="BB12" s="1584"/>
      <c r="BC12" s="1584"/>
      <c r="BD12" s="1585"/>
      <c r="BE12" s="1618" t="s">
        <v>685</v>
      </c>
      <c r="BF12" s="1619"/>
      <c r="BG12" s="1619"/>
      <c r="BH12" s="1620"/>
    </row>
    <row r="13" spans="2:60" ht="15.6">
      <c r="B13" s="1476"/>
      <c r="C13" s="1476"/>
      <c r="D13" s="1302"/>
      <c r="E13" s="1476"/>
      <c r="F13" s="1302"/>
      <c r="G13" s="1476"/>
      <c r="H13" s="1476"/>
      <c r="I13" s="1476"/>
      <c r="J13" s="1476"/>
      <c r="K13" s="1476"/>
      <c r="L13" s="1476"/>
      <c r="M13" s="1476"/>
      <c r="N13" s="1476"/>
      <c r="O13" s="1476"/>
      <c r="P13" s="1593" t="s">
        <v>21</v>
      </c>
      <c r="Q13" s="1593"/>
      <c r="R13" s="1593"/>
      <c r="S13" s="1593"/>
      <c r="T13" s="1593"/>
      <c r="U13" s="1593"/>
      <c r="V13" s="1593"/>
      <c r="W13" s="1593"/>
      <c r="X13" s="1593" t="s">
        <v>22</v>
      </c>
      <c r="Y13" s="1593"/>
      <c r="Z13" s="1593"/>
      <c r="AA13" s="1593"/>
      <c r="AB13" s="1593"/>
      <c r="AC13" s="1593"/>
      <c r="AD13" s="1593"/>
      <c r="AE13" s="1593"/>
      <c r="AF13" s="1593" t="s">
        <v>23</v>
      </c>
      <c r="AG13" s="1593"/>
      <c r="AH13" s="1593"/>
      <c r="AI13" s="1593"/>
      <c r="AJ13" s="1593"/>
      <c r="AK13" s="1593"/>
      <c r="AL13" s="1593"/>
      <c r="AM13" s="1593"/>
      <c r="AN13" s="1593" t="s">
        <v>24</v>
      </c>
      <c r="AO13" s="1593"/>
      <c r="AP13" s="1593"/>
      <c r="AQ13" s="1593"/>
      <c r="AR13" s="1593"/>
      <c r="AS13" s="1593"/>
      <c r="AT13" s="1593"/>
      <c r="AU13" s="1593"/>
      <c r="AV13" s="1592"/>
      <c r="AW13" s="1597" t="s">
        <v>119</v>
      </c>
      <c r="AX13" s="1597" t="s">
        <v>22</v>
      </c>
      <c r="AY13" s="1597" t="s">
        <v>120</v>
      </c>
      <c r="AZ13" s="1597" t="s">
        <v>121</v>
      </c>
      <c r="BA13" s="1586" t="s">
        <v>119</v>
      </c>
      <c r="BB13" s="1586" t="s">
        <v>122</v>
      </c>
      <c r="BC13" s="1586" t="s">
        <v>123</v>
      </c>
      <c r="BD13" s="1586" t="s">
        <v>124</v>
      </c>
      <c r="BE13" s="1580" t="s">
        <v>21</v>
      </c>
      <c r="BF13" s="1580" t="s">
        <v>22</v>
      </c>
      <c r="BG13" s="1580" t="s">
        <v>23</v>
      </c>
      <c r="BH13" s="1580" t="s">
        <v>24</v>
      </c>
    </row>
    <row r="14" spans="2:60" ht="15.6">
      <c r="B14" s="1476"/>
      <c r="C14" s="1476"/>
      <c r="D14" s="1302"/>
      <c r="E14" s="1476"/>
      <c r="F14" s="1302"/>
      <c r="G14" s="1476"/>
      <c r="H14" s="1476"/>
      <c r="I14" s="1476"/>
      <c r="J14" s="1476"/>
      <c r="K14" s="1476"/>
      <c r="L14" s="1476"/>
      <c r="M14" s="1476"/>
      <c r="N14" s="1476"/>
      <c r="O14" s="1476"/>
      <c r="P14" s="1641" t="s">
        <v>5</v>
      </c>
      <c r="Q14" s="1641"/>
      <c r="R14" s="1641" t="s">
        <v>6</v>
      </c>
      <c r="S14" s="1641"/>
      <c r="T14" s="1641" t="s">
        <v>7</v>
      </c>
      <c r="U14" s="1641"/>
      <c r="V14" s="1528" t="s">
        <v>8</v>
      </c>
      <c r="W14" s="1528"/>
      <c r="X14" s="1641" t="s">
        <v>27</v>
      </c>
      <c r="Y14" s="1641"/>
      <c r="Z14" s="1641" t="s">
        <v>9</v>
      </c>
      <c r="AA14" s="1641"/>
      <c r="AB14" s="1641" t="s">
        <v>10</v>
      </c>
      <c r="AC14" s="1641"/>
      <c r="AD14" s="1528" t="s">
        <v>8</v>
      </c>
      <c r="AE14" s="1528"/>
      <c r="AF14" s="1641" t="s">
        <v>11</v>
      </c>
      <c r="AG14" s="1641"/>
      <c r="AH14" s="1641" t="s">
        <v>12</v>
      </c>
      <c r="AI14" s="1641"/>
      <c r="AJ14" s="1641" t="s">
        <v>13</v>
      </c>
      <c r="AK14" s="1641"/>
      <c r="AL14" s="1528" t="s">
        <v>8</v>
      </c>
      <c r="AM14" s="1528"/>
      <c r="AN14" s="1641" t="s">
        <v>14</v>
      </c>
      <c r="AO14" s="1641"/>
      <c r="AP14" s="1641" t="s">
        <v>15</v>
      </c>
      <c r="AQ14" s="1641"/>
      <c r="AR14" s="1641" t="s">
        <v>16</v>
      </c>
      <c r="AS14" s="1641"/>
      <c r="AT14" s="1528" t="s">
        <v>8</v>
      </c>
      <c r="AU14" s="1528"/>
      <c r="AV14" s="1592"/>
      <c r="AW14" s="1598"/>
      <c r="AX14" s="1598"/>
      <c r="AY14" s="1598"/>
      <c r="AZ14" s="1598"/>
      <c r="BA14" s="1587"/>
      <c r="BB14" s="1587"/>
      <c r="BC14" s="1587"/>
      <c r="BD14" s="1587"/>
      <c r="BE14" s="1581"/>
      <c r="BF14" s="1581"/>
      <c r="BG14" s="1581"/>
      <c r="BH14" s="1581"/>
    </row>
    <row r="15" spans="2:60" ht="13.2" customHeight="1">
      <c r="B15" s="1476"/>
      <c r="C15" s="1476"/>
      <c r="D15" s="1302"/>
      <c r="E15" s="1476"/>
      <c r="F15" s="1302"/>
      <c r="G15" s="1476"/>
      <c r="H15" s="1476"/>
      <c r="I15" s="1476"/>
      <c r="J15" s="1476"/>
      <c r="K15" s="1476"/>
      <c r="L15" s="1476"/>
      <c r="M15" s="1476"/>
      <c r="N15" s="1476"/>
      <c r="O15" s="1476"/>
      <c r="P15" s="233" t="s">
        <v>17</v>
      </c>
      <c r="Q15" s="234" t="s">
        <v>18</v>
      </c>
      <c r="R15" s="233" t="s">
        <v>17</v>
      </c>
      <c r="S15" s="234" t="s">
        <v>18</v>
      </c>
      <c r="T15" s="233" t="s">
        <v>17</v>
      </c>
      <c r="U15" s="234" t="s">
        <v>18</v>
      </c>
      <c r="V15" s="75" t="s">
        <v>17</v>
      </c>
      <c r="W15" s="76" t="s">
        <v>18</v>
      </c>
      <c r="X15" s="233" t="s">
        <v>17</v>
      </c>
      <c r="Y15" s="234" t="s">
        <v>18</v>
      </c>
      <c r="Z15" s="233" t="s">
        <v>17</v>
      </c>
      <c r="AA15" s="234" t="s">
        <v>18</v>
      </c>
      <c r="AB15" s="233" t="s">
        <v>17</v>
      </c>
      <c r="AC15" s="234" t="s">
        <v>18</v>
      </c>
      <c r="AD15" s="75" t="s">
        <v>17</v>
      </c>
      <c r="AE15" s="76" t="s">
        <v>18</v>
      </c>
      <c r="AF15" s="233" t="s">
        <v>17</v>
      </c>
      <c r="AG15" s="234" t="s">
        <v>18</v>
      </c>
      <c r="AH15" s="233" t="s">
        <v>17</v>
      </c>
      <c r="AI15" s="234" t="s">
        <v>18</v>
      </c>
      <c r="AJ15" s="233" t="s">
        <v>17</v>
      </c>
      <c r="AK15" s="234" t="s">
        <v>18</v>
      </c>
      <c r="AL15" s="75" t="s">
        <v>17</v>
      </c>
      <c r="AM15" s="76" t="s">
        <v>18</v>
      </c>
      <c r="AN15" s="233" t="s">
        <v>17</v>
      </c>
      <c r="AO15" s="234" t="s">
        <v>18</v>
      </c>
      <c r="AP15" s="233" t="s">
        <v>17</v>
      </c>
      <c r="AQ15" s="234" t="s">
        <v>18</v>
      </c>
      <c r="AR15" s="233" t="s">
        <v>17</v>
      </c>
      <c r="AS15" s="234" t="s">
        <v>18</v>
      </c>
      <c r="AT15" s="75" t="s">
        <v>17</v>
      </c>
      <c r="AU15" s="76" t="s">
        <v>18</v>
      </c>
      <c r="AV15" s="1592"/>
      <c r="AW15" s="1599"/>
      <c r="AX15" s="1599"/>
      <c r="AY15" s="1599"/>
      <c r="AZ15" s="1599"/>
      <c r="BA15" s="1588"/>
      <c r="BB15" s="1588"/>
      <c r="BC15" s="1588"/>
      <c r="BD15" s="1588"/>
      <c r="BE15" s="1582"/>
      <c r="BF15" s="1582"/>
      <c r="BG15" s="1582"/>
      <c r="BH15" s="1582"/>
    </row>
    <row r="16" spans="2:60" ht="135">
      <c r="B16" s="1616"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616" t="str">
        <f>+'01-FR-03 POA INSTITUCIONAL'!C69</f>
        <v>4.4. Implementar el 100% de las acciones necesarias para la modernización de la gestión institucional a través de los procesos de apoyo, que permita una mejor prestación del servicio.</v>
      </c>
      <c r="D16" s="140" t="str">
        <f>+'01-FR-03 POA INSTITUCIONAL'!D74</f>
        <v>4.4.6 Ejecutar el 95% del Plan Anual de Adquisiciones respecto de gastos generales</v>
      </c>
      <c r="E16" s="174">
        <f>+'01-FR-03 POA INSTITUCIONAL'!E74</f>
        <v>0.1</v>
      </c>
      <c r="F16" s="328">
        <f>+'01-FR-03 POA INSTITUCIONAL'!F74</f>
        <v>0.95</v>
      </c>
      <c r="G16" s="290">
        <f>+'01-FR-03 POA INSTITUCIONAL'!L74</f>
        <v>0.95</v>
      </c>
      <c r="H16" s="140" t="str">
        <f>+'01-FR-03 POA INSTITUCIONAL'!G74</f>
        <v>S.I.</v>
      </c>
      <c r="I16" s="140" t="str">
        <f>+'01-FR-03 POA INSTITUCIONAL'!H74</f>
        <v xml:space="preserve">Porcentaje del Plan Anual de Adquisiciones ejecutado </v>
      </c>
      <c r="J16" s="288" t="s">
        <v>456</v>
      </c>
      <c r="K16" s="197" t="s">
        <v>457</v>
      </c>
      <c r="L16" s="592" t="s">
        <v>458</v>
      </c>
      <c r="M16" s="593" t="s">
        <v>459</v>
      </c>
      <c r="N16" s="593" t="s">
        <v>460</v>
      </c>
      <c r="O16" s="289" t="str">
        <f>+'01-FR-03 POA INSTITUCIONAL'!J74</f>
        <v>Subdirección de Gestión Contractual
Dirección Administrativa y Financiera</v>
      </c>
      <c r="P16" s="999">
        <v>0.2</v>
      </c>
      <c r="Q16" s="999">
        <v>0.26</v>
      </c>
      <c r="R16" s="999">
        <v>0.08</v>
      </c>
      <c r="S16" s="999">
        <v>0.04</v>
      </c>
      <c r="T16" s="999">
        <v>0.08</v>
      </c>
      <c r="U16" s="999">
        <v>0.08</v>
      </c>
      <c r="V16" s="66">
        <f>P16+R16+T16</f>
        <v>0.36000000000000004</v>
      </c>
      <c r="W16" s="66">
        <f>Q16+S16+U16</f>
        <v>0.38</v>
      </c>
      <c r="X16" s="999">
        <v>0.08</v>
      </c>
      <c r="Y16" s="999"/>
      <c r="Z16" s="999">
        <v>7.0000000000000007E-2</v>
      </c>
      <c r="AA16" s="999"/>
      <c r="AB16" s="999">
        <v>7.0000000000000007E-2</v>
      </c>
      <c r="AC16" s="999"/>
      <c r="AD16" s="66">
        <f>X16+Z16+AB16</f>
        <v>0.22000000000000003</v>
      </c>
      <c r="AE16" s="66">
        <f>Y16+AA16+AC16</f>
        <v>0</v>
      </c>
      <c r="AF16" s="999">
        <v>0.12</v>
      </c>
      <c r="AG16" s="999"/>
      <c r="AH16" s="999">
        <v>0.05</v>
      </c>
      <c r="AI16" s="999"/>
      <c r="AJ16" s="1028">
        <v>0.05</v>
      </c>
      <c r="AK16" s="1028"/>
      <c r="AL16" s="66">
        <f>AF16+AH16+AJ16</f>
        <v>0.21999999999999997</v>
      </c>
      <c r="AM16" s="66">
        <f>AG16+AI16+AK16</f>
        <v>0</v>
      </c>
      <c r="AN16" s="999">
        <v>0.05</v>
      </c>
      <c r="AO16" s="999"/>
      <c r="AP16" s="999">
        <v>0.05</v>
      </c>
      <c r="AQ16" s="999"/>
      <c r="AR16" s="999">
        <v>0.05</v>
      </c>
      <c r="AS16" s="999"/>
      <c r="AT16" s="66">
        <f>AN16+AP16+AR16</f>
        <v>0.15000000000000002</v>
      </c>
      <c r="AU16" s="66">
        <f>AO16+AQ16+AS16</f>
        <v>0</v>
      </c>
      <c r="AV16" s="1029">
        <f>V16+AD16+AL16+AT16</f>
        <v>0.95000000000000007</v>
      </c>
      <c r="AW16" s="307">
        <f>+W16</f>
        <v>0.38</v>
      </c>
      <c r="AX16" s="1057">
        <f>+W16+AE16</f>
        <v>0.38</v>
      </c>
      <c r="AY16" s="1057">
        <f>+W16+AE16+AM16</f>
        <v>0.38</v>
      </c>
      <c r="AZ16" s="1057">
        <f>+W16+AE16+AM16+AU16</f>
        <v>0.38</v>
      </c>
      <c r="BA16" s="349">
        <f>IF(AND(AW16&gt;0,$AV16&gt;0),AW16/$AV16,0)</f>
        <v>0.39999999999999997</v>
      </c>
      <c r="BB16" s="350">
        <f t="shared" ref="BB16:BD16" si="0">IF(AND(AX16&gt;0,$AV16&gt;0),AX16/$AV16,0)</f>
        <v>0.39999999999999997</v>
      </c>
      <c r="BC16" s="341">
        <f t="shared" si="0"/>
        <v>0.39999999999999997</v>
      </c>
      <c r="BD16" s="341">
        <f t="shared" si="0"/>
        <v>0.39999999999999997</v>
      </c>
      <c r="BE16" s="346">
        <f>((IF(AND(AW16&gt;0,$F16&gt;0),AW16/$F16,0))/4)</f>
        <v>0.1</v>
      </c>
      <c r="BF16" s="1056">
        <f>((IF(AND(AX16&gt;0,$F16&gt;0),AX16/$F16,0))/4)</f>
        <v>0.1</v>
      </c>
      <c r="BG16" s="1056">
        <f>((IF(AND(AY16&gt;0,$F16&gt;0),AY16/$F16,0))/4)</f>
        <v>0.1</v>
      </c>
      <c r="BH16" s="1056">
        <f>((IF(AND(AZ16&gt;0,$F16&gt;0),AZ16/$F16,0))/4)</f>
        <v>0.1</v>
      </c>
    </row>
    <row r="17" spans="2:60" ht="111.6" customHeight="1">
      <c r="B17" s="1617"/>
      <c r="C17" s="1617"/>
      <c r="D17" s="1616" t="str">
        <f>+'01-FR-03 POA INSTITUCIONAL'!D84</f>
        <v>4.4.15 Elaborar el 95% de los contratos en cada una de las modalidades de selección en los tiempos óptimos</v>
      </c>
      <c r="E17" s="1496">
        <f>+'01-FR-03 POA INSTITUCIONAL'!E84</f>
        <v>0.1</v>
      </c>
      <c r="F17" s="52">
        <f>+'01-FR-03 POA INSTITUCIONAL'!F84</f>
        <v>0.95</v>
      </c>
      <c r="G17" s="594">
        <f>+'01-FR-03 POA INSTITUCIONAL'!L84</f>
        <v>0.8</v>
      </c>
      <c r="H17" s="594" t="str">
        <f>+'01-FR-03 POA INSTITUCIONAL'!G84</f>
        <v>S.I.</v>
      </c>
      <c r="I17" s="594" t="str">
        <f>+'01-FR-03 POA INSTITUCIONAL'!H84</f>
        <v xml:space="preserve">Porcentaje de contratos en la modalidad de contratacion directa elaborados en los tiempos óptimos </v>
      </c>
      <c r="J17" s="599" t="s">
        <v>914</v>
      </c>
      <c r="K17" s="600" t="s">
        <v>915</v>
      </c>
      <c r="L17" s="601" t="s">
        <v>916</v>
      </c>
      <c r="M17" s="602" t="s">
        <v>459</v>
      </c>
      <c r="N17" s="602" t="s">
        <v>917</v>
      </c>
      <c r="O17" s="603" t="s">
        <v>918</v>
      </c>
      <c r="P17" s="1028">
        <v>0.8</v>
      </c>
      <c r="Q17" s="999">
        <v>1</v>
      </c>
      <c r="R17" s="1028">
        <v>0</v>
      </c>
      <c r="S17" s="999">
        <v>0</v>
      </c>
      <c r="T17" s="1028">
        <v>0</v>
      </c>
      <c r="U17" s="999">
        <v>0</v>
      </c>
      <c r="V17" s="318">
        <f>IFERROR(ROUNDDOWN(AVERAGE($P17),3),0)</f>
        <v>0.8</v>
      </c>
      <c r="W17" s="318">
        <f>IFERROR(ROUNDDOWN(AVERAGE($Q17),3),0)</f>
        <v>1</v>
      </c>
      <c r="X17" s="1028">
        <v>0</v>
      </c>
      <c r="Y17" s="1016">
        <v>0</v>
      </c>
      <c r="Z17" s="1028">
        <v>0</v>
      </c>
      <c r="AA17" s="1016">
        <v>0</v>
      </c>
      <c r="AB17" s="1028">
        <v>0</v>
      </c>
      <c r="AC17" s="1016">
        <v>0</v>
      </c>
      <c r="AD17" s="89">
        <v>0</v>
      </c>
      <c r="AE17" s="318">
        <f>IFERROR(ROUNDDOWN(AVERAGE($Y17,$AA17,$AC17),3),0)</f>
        <v>0</v>
      </c>
      <c r="AF17" s="1028">
        <v>0.8</v>
      </c>
      <c r="AG17" s="1016">
        <v>0</v>
      </c>
      <c r="AH17" s="1028">
        <v>0.8</v>
      </c>
      <c r="AI17" s="1016">
        <v>0</v>
      </c>
      <c r="AJ17" s="1028">
        <v>0.8</v>
      </c>
      <c r="AK17" s="1016">
        <v>0</v>
      </c>
      <c r="AL17" s="89">
        <f>AVERAGE(AF17,AH17,AJ17)</f>
        <v>0.80000000000000016</v>
      </c>
      <c r="AM17" s="318">
        <f>IFERROR(ROUNDDOWN(AVERAGE($AG17,$AI17,$AK17),3),0)</f>
        <v>0</v>
      </c>
      <c r="AN17" s="1028">
        <v>0.8</v>
      </c>
      <c r="AO17" s="1016">
        <v>0</v>
      </c>
      <c r="AP17" s="1028">
        <v>0.8</v>
      </c>
      <c r="AQ17" s="1016">
        <v>0</v>
      </c>
      <c r="AR17" s="1028">
        <v>0.8</v>
      </c>
      <c r="AS17" s="1016">
        <v>0</v>
      </c>
      <c r="AT17" s="89">
        <f>AVERAGE(AN17,AP17,AR17)</f>
        <v>0.80000000000000016</v>
      </c>
      <c r="AU17" s="89">
        <f>IFERROR(ROUNDDOWN(AVERAGE(AO17,AQ17,AS17),3),0)</f>
        <v>0</v>
      </c>
      <c r="AV17" s="1029">
        <f>IFERROR(AVERAGE(P17,AF17,AH17,AJ17,AN17,AP17,AR17),0)</f>
        <v>0.79999999999999993</v>
      </c>
      <c r="AW17" s="307">
        <f>IFERROR(IF(OR($AV$17="",$AV$17=0),0,ROUNDDOWN(AVERAGE($Q17),3)),0)</f>
        <v>1</v>
      </c>
      <c r="AX17" s="1057">
        <f>IFERROR(IF(OR($AV$17="",$AV$17=0),0,ROUNDDOWN(AVERAGE($Q17,$Y17,$AA17,$AC17),3)),0)</f>
        <v>0.25</v>
      </c>
      <c r="AY17" s="1057">
        <f>IFERROR(IF(OR($AV$17="",$AV$17=0),0,ROUNDDOWN(AVERAGE($Q17,$AG17,$AI17,$AK17),3)),0)</f>
        <v>0.25</v>
      </c>
      <c r="AZ17" s="1057">
        <f>IFERROR(IF(OR($AV$17="",$AV$17=0),0,ROUNDDOWN(AVERAGE($Q17,$AG17,$AI17,$AK17,$AO17,$AQ17,$AS17),3)),0)</f>
        <v>0.14199999999999999</v>
      </c>
      <c r="BA17" s="341">
        <f>(IF(AND(AW17&gt;0,$AV17&gt;0),AW17/$AV17,0))*0.25</f>
        <v>0.3125</v>
      </c>
      <c r="BB17" s="341">
        <f>(IF(AND(AX17&gt;0,$AV17&gt;0),AX17/$AV17,0))*0.5</f>
        <v>0.15625</v>
      </c>
      <c r="BC17" s="341">
        <f>(IF(AND(AY17&gt;0,$AV17&gt;0),AY17/$AV17,0))*0.75</f>
        <v>0.234375</v>
      </c>
      <c r="BD17" s="341">
        <f>(IF(AND(AZ17&gt;0,$AV17&gt;0),AZ17/$AV17,0))*1</f>
        <v>0.17749999999999999</v>
      </c>
      <c r="BE17" s="346">
        <f>((IF(AND(AW17&gt;0,$AV17&gt;0),AW17/$AV17,0))/4)*0.25</f>
        <v>7.8125E-2</v>
      </c>
      <c r="BF17" s="1056">
        <f>((IF(AND(AX17&gt;0,$AV17&gt;0),AX17/$AV17,0))/4)*0.5</f>
        <v>3.90625E-2</v>
      </c>
      <c r="BG17" s="1056">
        <f>((IF(AND(AY17&gt;0,$F17&gt;0),AY17/$F17,0))/4)*0.75</f>
        <v>4.9342105263157895E-2</v>
      </c>
      <c r="BH17" s="1056">
        <f t="shared" ref="BH17:BH19" si="1">((IF(AND(AZ17&gt;0,$F17&gt;0),AZ17/$F17,0))/4)</f>
        <v>3.7368421052631579E-2</v>
      </c>
    </row>
    <row r="18" spans="2:60" ht="163.19999999999999" customHeight="1">
      <c r="B18" s="1617"/>
      <c r="C18" s="1617"/>
      <c r="D18" s="1617"/>
      <c r="E18" s="1279"/>
      <c r="F18" s="52">
        <f>+'01-FR-03 POA INSTITUCIONAL'!F85</f>
        <v>0.95</v>
      </c>
      <c r="G18" s="594">
        <f>+'01-FR-03 POA INSTITUCIONAL'!L85</f>
        <v>0.8</v>
      </c>
      <c r="H18" s="594" t="str">
        <f>+'01-FR-03 POA INSTITUCIONAL'!G85</f>
        <v>S.I.</v>
      </c>
      <c r="I18" s="594" t="str">
        <f>+'01-FR-03 POA INSTITUCIONAL'!H85</f>
        <v xml:space="preserve">Porcentaje de contratos en la modalidad de selección abreviada de menor cuantía elaborados en los tiempos óptimos </v>
      </c>
      <c r="J18" s="599" t="s">
        <v>920</v>
      </c>
      <c r="K18" s="600" t="s">
        <v>915</v>
      </c>
      <c r="L18" s="601" t="s">
        <v>916</v>
      </c>
      <c r="M18" s="602" t="s">
        <v>459</v>
      </c>
      <c r="N18" s="602" t="s">
        <v>917</v>
      </c>
      <c r="O18" s="603" t="s">
        <v>918</v>
      </c>
      <c r="P18" s="999">
        <v>0</v>
      </c>
      <c r="Q18" s="999">
        <v>0</v>
      </c>
      <c r="R18" s="999">
        <v>0</v>
      </c>
      <c r="S18" s="999">
        <v>0</v>
      </c>
      <c r="T18" s="999">
        <v>0</v>
      </c>
      <c r="U18" s="999">
        <v>1</v>
      </c>
      <c r="V18" s="318">
        <f>IFERROR(ROUNDDOWN(AVERAGE($P18,$R18,$T18),3),0)</f>
        <v>0</v>
      </c>
      <c r="W18" s="318">
        <f>IFERROR(ROUNDDOWN(AVERAGE($U18),3),0)</f>
        <v>1</v>
      </c>
      <c r="X18" s="999">
        <v>0</v>
      </c>
      <c r="Y18" s="1016">
        <v>0</v>
      </c>
      <c r="Z18" s="999">
        <v>0.8</v>
      </c>
      <c r="AA18" s="1016">
        <v>0</v>
      </c>
      <c r="AB18" s="999">
        <v>0.8</v>
      </c>
      <c r="AC18" s="1016">
        <v>0</v>
      </c>
      <c r="AD18" s="89">
        <v>0</v>
      </c>
      <c r="AE18" s="318">
        <f t="shared" ref="AE18:AE19" si="2">IFERROR(ROUNDDOWN(AVERAGE($Y18,$AA18,$AC18),3),0)</f>
        <v>0</v>
      </c>
      <c r="AF18" s="999">
        <v>0.8</v>
      </c>
      <c r="AG18" s="1016">
        <v>0</v>
      </c>
      <c r="AH18" s="999">
        <v>0.8</v>
      </c>
      <c r="AI18" s="1016">
        <v>0</v>
      </c>
      <c r="AJ18" s="999">
        <v>0.8</v>
      </c>
      <c r="AK18" s="1016">
        <v>0</v>
      </c>
      <c r="AL18" s="89">
        <f t="shared" ref="AL18:AL19" si="3">AVERAGE(AF18,AH18,AJ18)</f>
        <v>0.80000000000000016</v>
      </c>
      <c r="AM18" s="318">
        <f>IFERROR(ROUNDDOWN(AVERAGE($AG18,$AI18,$AK18),3),0)</f>
        <v>0</v>
      </c>
      <c r="AN18" s="999">
        <v>0.8</v>
      </c>
      <c r="AO18" s="1016">
        <v>0</v>
      </c>
      <c r="AP18" s="999">
        <v>0.8</v>
      </c>
      <c r="AQ18" s="1016">
        <v>0</v>
      </c>
      <c r="AR18" s="999">
        <v>0</v>
      </c>
      <c r="AS18" s="1016">
        <v>0</v>
      </c>
      <c r="AT18" s="89">
        <f t="shared" ref="AT18:AT19" si="4">AVERAGE(AN18,AP18,AR18)</f>
        <v>0.53333333333333333</v>
      </c>
      <c r="AU18" s="89">
        <f t="shared" ref="AU18:AU19" si="5">IFERROR(ROUNDDOWN(AVERAGE(AO18,AQ18,AS18),3),0)</f>
        <v>0</v>
      </c>
      <c r="AV18" s="1029">
        <f>IFERROR(AVERAGE(Z18,AB18,AF18,AH18,AJ18,AN18,AP18),0)</f>
        <v>0.79999999999999993</v>
      </c>
      <c r="AW18" s="307">
        <f>IFERROR(IF(OR($AV$18="",$AV$18=0),0,ROUNDDOWN(AVERAGE($Q18,$S18,$U18),3)),0)</f>
        <v>0.33300000000000002</v>
      </c>
      <c r="AX18" s="1057">
        <f>IFERROR(IF(OR($AV$18="",$AV$18=0),0,ROUNDDOWN(AVERAGE($Q18,$S18,$U18,$Y18,$AA18,$AC18),3)),0)</f>
        <v>0.16600000000000001</v>
      </c>
      <c r="AY18" s="1057">
        <f>IFERROR(IF(OR($AV$17="",$AV$17=0),0,ROUNDDOWN(AVERAGE($AG18,$AI18,$AK18),3)),0)</f>
        <v>0</v>
      </c>
      <c r="AZ18" s="1057">
        <f>IFERROR(IF(OR($AV$16="",$AV$16=0),0,ROUNDDOWN(AVERAGE($AG18,$AI18,$AK18,$AO18,$AQ18,$AS18),3)),0)</f>
        <v>0</v>
      </c>
      <c r="BA18" s="341">
        <f>(IF(AND(AW18&gt;0,$AV18&gt;0),AW18/$AV18,0))*0.25</f>
        <v>0.10406250000000002</v>
      </c>
      <c r="BB18" s="341">
        <f>(IF(AND(AX18&gt;0,$AV18&gt;0),AX18/$AV18,0))*0.5</f>
        <v>0.10375000000000001</v>
      </c>
      <c r="BC18" s="341">
        <f>(IF(AND(AY18&gt;0,$AV18&gt;0),AY18/$AV18,0))*0.75</f>
        <v>0</v>
      </c>
      <c r="BD18" s="341">
        <f>(IF(AND(AZ18&gt;0,$AV18&gt;0),AZ18/$AV18,0))*1</f>
        <v>0</v>
      </c>
      <c r="BE18" s="346">
        <f>((IF(AND(AW18&gt;0,$AV18&gt;0),AW18/$AV18,0))/4)*0.25</f>
        <v>2.6015625000000004E-2</v>
      </c>
      <c r="BF18" s="1056">
        <f>((IF(AND(AX18&gt;0,$AV18&gt;0),AX18/$AV18,0))/4)*0.5</f>
        <v>2.5937500000000002E-2</v>
      </c>
      <c r="BG18" s="1056">
        <f>((IF(AND(AY18&gt;0,$F18&gt;0),AY18/$F18,0))/4)*0.75</f>
        <v>0</v>
      </c>
      <c r="BH18" s="1056">
        <f t="shared" si="1"/>
        <v>0</v>
      </c>
    </row>
    <row r="19" spans="2:60" ht="168.6" customHeight="1">
      <c r="B19" s="1643"/>
      <c r="C19" s="1643"/>
      <c r="D19" s="1643"/>
      <c r="E19" s="1270"/>
      <c r="F19" s="52">
        <f>+'01-FR-03 POA INSTITUCIONAL'!F86</f>
        <v>0.95</v>
      </c>
      <c r="G19" s="594">
        <f>+'01-FR-03 POA INSTITUCIONAL'!L86</f>
        <v>0.8</v>
      </c>
      <c r="H19" s="594" t="str">
        <f>+'01-FR-03 POA INSTITUCIONAL'!G86</f>
        <v>S.I.</v>
      </c>
      <c r="I19" s="594" t="str">
        <f>+'01-FR-03 POA INSTITUCIONAL'!H86</f>
        <v xml:space="preserve">Porcentaje de contratos en la modalidad de selección abreviada de subasta inversa, licitación pública y concurso de méritos elaborados en los tiempos óptimos </v>
      </c>
      <c r="J19" s="599" t="s">
        <v>919</v>
      </c>
      <c r="K19" s="600" t="s">
        <v>915</v>
      </c>
      <c r="L19" s="601" t="s">
        <v>916</v>
      </c>
      <c r="M19" s="602" t="s">
        <v>459</v>
      </c>
      <c r="N19" s="602" t="s">
        <v>917</v>
      </c>
      <c r="O19" s="603" t="s">
        <v>918</v>
      </c>
      <c r="P19" s="999">
        <v>0</v>
      </c>
      <c r="Q19" s="999">
        <v>0</v>
      </c>
      <c r="R19" s="999">
        <v>0.8</v>
      </c>
      <c r="S19" s="999">
        <v>0.8</v>
      </c>
      <c r="T19" s="999">
        <v>0</v>
      </c>
      <c r="U19" s="999">
        <v>0</v>
      </c>
      <c r="V19" s="318">
        <f>IFERROR(ROUNDDOWN(AVERAGE(R19),3),0)</f>
        <v>0.8</v>
      </c>
      <c r="W19" s="318">
        <f>IFERROR(ROUNDDOWN(AVERAGE($S19),3),0)</f>
        <v>0.8</v>
      </c>
      <c r="X19" s="999">
        <v>0.8</v>
      </c>
      <c r="Y19" s="1016">
        <v>0</v>
      </c>
      <c r="Z19" s="999">
        <v>0.8</v>
      </c>
      <c r="AA19" s="1016">
        <v>0</v>
      </c>
      <c r="AB19" s="999">
        <v>0.8</v>
      </c>
      <c r="AC19" s="1016">
        <v>0</v>
      </c>
      <c r="AD19" s="89">
        <v>0</v>
      </c>
      <c r="AE19" s="318">
        <f t="shared" si="2"/>
        <v>0</v>
      </c>
      <c r="AF19" s="999">
        <v>0.8</v>
      </c>
      <c r="AG19" s="1016">
        <v>0</v>
      </c>
      <c r="AH19" s="999">
        <v>0.8</v>
      </c>
      <c r="AI19" s="1016">
        <v>0</v>
      </c>
      <c r="AJ19" s="999">
        <v>0.8</v>
      </c>
      <c r="AK19" s="1016">
        <v>0</v>
      </c>
      <c r="AL19" s="89">
        <f t="shared" si="3"/>
        <v>0.80000000000000016</v>
      </c>
      <c r="AM19" s="318">
        <f>IFERROR(ROUNDDOWN(AVERAGE($AG19,$AI19,$AK19),3),0)</f>
        <v>0</v>
      </c>
      <c r="AN19" s="999">
        <v>0.8</v>
      </c>
      <c r="AO19" s="1016">
        <v>0</v>
      </c>
      <c r="AP19" s="999">
        <v>0.8</v>
      </c>
      <c r="AQ19" s="1016">
        <v>0</v>
      </c>
      <c r="AR19" s="999">
        <v>0.8</v>
      </c>
      <c r="AS19" s="1016">
        <v>0</v>
      </c>
      <c r="AT19" s="89">
        <f t="shared" si="4"/>
        <v>0.80000000000000016</v>
      </c>
      <c r="AU19" s="89">
        <f t="shared" si="5"/>
        <v>0</v>
      </c>
      <c r="AV19" s="1029">
        <f>IFERROR(AVERAGE(R19,X19,Z19,AB19,AF19,AH19,AJ19,AN19,AP19,AR19),0)</f>
        <v>0.79999999999999993</v>
      </c>
      <c r="AW19" s="307">
        <f>IFERROR(IF(OR($AV$19="",$AV$19=0),0,ROUNDDOWN(AVERAGE($Q19,$S19,$U19),3)),0)</f>
        <v>0.26600000000000001</v>
      </c>
      <c r="AX19" s="1057">
        <f t="shared" ref="AX19" si="6">IFERROR(IF(OR($AV$17="",$AV$17=0),0,ROUNDDOWN(AVERAGE($Q19,$S19,$U19,$Y19,$AA19,$AC19),3)),0)</f>
        <v>0.13300000000000001</v>
      </c>
      <c r="AY19" s="1057">
        <f>IFERROR(IF(OR($AV$17="",$AV$17=0),0,ROUNDDOWN(AVERAGE($AG19,$AI19,$AK19),3)),0)</f>
        <v>0</v>
      </c>
      <c r="AZ19" s="1057">
        <f>IFERROR(IF(OR($AV$16="",$AV$16=0),0,ROUNDDOWN(AVERAGE($AG19,$AI19,$AK19,$AO19,$AQ19,$AS19),3)),0)</f>
        <v>0</v>
      </c>
      <c r="BA19" s="341">
        <f>(IF(AND(AW19&gt;0,$AV19&gt;0),AW19/$AV19,0))*0.25</f>
        <v>8.3125000000000004E-2</v>
      </c>
      <c r="BB19" s="341">
        <f>(IF(AND(AX19&gt;0,$AV19&gt;0),AX19/$AV19,0))*0.5</f>
        <v>8.3125000000000004E-2</v>
      </c>
      <c r="BC19" s="341">
        <f>(IF(AND(AY19&gt;0,$AV19&gt;0),AY19/$AV19,0))*0.75</f>
        <v>0</v>
      </c>
      <c r="BD19" s="341">
        <f>(IF(AND(AZ19&gt;0,$AV19&gt;0),AZ19/$AV19,0))*1</f>
        <v>0</v>
      </c>
      <c r="BE19" s="346">
        <f>((IF(AND(AW19&gt;0,$AV19&gt;0),AW19/$AV19,0))/4)*0.25</f>
        <v>2.0781250000000001E-2</v>
      </c>
      <c r="BF19" s="1056">
        <f>((IF(AND(AX19&gt;0,$AV19&gt;0),AX19/$AV19,0))/4)*0.5</f>
        <v>2.0781250000000001E-2</v>
      </c>
      <c r="BG19" s="1056">
        <f>((IF(AND(AY19&gt;0,$F19&gt;0),AY19/$F19,0))/4)*0.75</f>
        <v>0</v>
      </c>
      <c r="BH19" s="1056">
        <f t="shared" si="1"/>
        <v>0</v>
      </c>
    </row>
    <row r="20" spans="2:60" ht="22.8">
      <c r="B20" s="1560"/>
      <c r="C20" s="1750"/>
      <c r="D20" s="1750"/>
      <c r="E20" s="1750"/>
      <c r="F20" s="1750"/>
      <c r="G20" s="1750"/>
      <c r="H20" s="1750"/>
      <c r="I20" s="1750"/>
      <c r="J20" s="1750"/>
      <c r="K20" s="1750"/>
      <c r="L20" s="1750"/>
      <c r="M20" s="1750"/>
      <c r="N20" s="1750"/>
      <c r="O20" s="1750"/>
      <c r="P20" s="1750"/>
      <c r="Q20" s="1750"/>
      <c r="R20" s="1750"/>
      <c r="S20" s="1750"/>
      <c r="T20" s="1750"/>
      <c r="U20" s="1750"/>
      <c r="V20" s="1750"/>
      <c r="W20" s="1750"/>
      <c r="X20" s="1750"/>
      <c r="Y20" s="1750"/>
      <c r="Z20" s="1750"/>
      <c r="AA20" s="1750"/>
      <c r="AB20" s="1750"/>
      <c r="AC20" s="1750"/>
      <c r="AD20" s="1750"/>
      <c r="AE20" s="1750"/>
      <c r="AF20" s="1750"/>
      <c r="AG20" s="1750"/>
      <c r="AH20" s="1750"/>
      <c r="AI20" s="1750"/>
      <c r="AJ20" s="1750"/>
      <c r="AK20" s="1750"/>
      <c r="AL20" s="1750"/>
      <c r="AM20" s="1750"/>
      <c r="AN20" s="1750"/>
      <c r="AO20" s="1750"/>
      <c r="AP20" s="1750"/>
      <c r="AQ20" s="1750"/>
      <c r="AR20" s="1750"/>
      <c r="AS20" s="1750"/>
      <c r="AT20" s="1750"/>
      <c r="AU20" s="1750"/>
      <c r="AV20" s="1750"/>
      <c r="AW20" s="1751"/>
      <c r="AX20" s="1614" t="s">
        <v>19</v>
      </c>
      <c r="AY20" s="1642"/>
      <c r="AZ20" s="1642"/>
      <c r="BA20" s="587">
        <f>AVERAGE(BA16:BA19)</f>
        <v>0.22492187499999999</v>
      </c>
      <c r="BB20" s="587">
        <f t="shared" ref="BB20:BD20" si="7">AVERAGE(BB16:BB19)</f>
        <v>0.18578124999999998</v>
      </c>
      <c r="BC20" s="587">
        <f t="shared" si="7"/>
        <v>0.15859374999999998</v>
      </c>
      <c r="BD20" s="587">
        <f t="shared" si="7"/>
        <v>0.14437499999999998</v>
      </c>
      <c r="BE20" s="1753"/>
      <c r="BF20" s="1739"/>
      <c r="BG20" s="1739"/>
      <c r="BH20" s="1740"/>
    </row>
    <row r="21" spans="2:60">
      <c r="B21" s="1553"/>
      <c r="C21" s="1553"/>
      <c r="D21" s="1553"/>
      <c r="E21" s="1553"/>
      <c r="F21" s="1553"/>
      <c r="G21" s="1553"/>
      <c r="H21" s="239"/>
      <c r="I21" s="240"/>
      <c r="J21" s="240"/>
      <c r="K21" s="240"/>
      <c r="L21" s="240"/>
      <c r="M21" s="240"/>
      <c r="N21" s="240"/>
      <c r="O21" s="240"/>
    </row>
    <row r="22" spans="2:60">
      <c r="B22" s="240"/>
      <c r="C22" s="240"/>
      <c r="D22" s="1624"/>
      <c r="E22" s="1624"/>
      <c r="F22" s="1624"/>
      <c r="G22" s="1624"/>
      <c r="H22" s="1624"/>
      <c r="I22" s="1624"/>
      <c r="J22" s="1624"/>
      <c r="K22" s="1624"/>
      <c r="L22" s="1624"/>
      <c r="M22" s="1624"/>
      <c r="N22" s="1624"/>
      <c r="O22" s="1624"/>
    </row>
    <row r="23" spans="2:60" ht="15.6" customHeight="1">
      <c r="B23" s="77" t="s">
        <v>26</v>
      </c>
      <c r="C23" s="241">
        <v>44224</v>
      </c>
      <c r="D23" s="242"/>
      <c r="E23" s="1625" t="s">
        <v>50</v>
      </c>
      <c r="F23" s="1701" t="s">
        <v>678</v>
      </c>
      <c r="G23" s="1702"/>
      <c r="H23" s="1702"/>
      <c r="I23" s="1702"/>
      <c r="J23" s="1703"/>
      <c r="K23" s="243"/>
      <c r="L23" s="1633"/>
      <c r="M23" s="1633"/>
      <c r="N23" s="1633"/>
      <c r="O23" s="1634"/>
    </row>
    <row r="24" spans="2:60" ht="15.6">
      <c r="B24" s="240"/>
      <c r="C24" s="240"/>
      <c r="D24" s="243"/>
      <c r="E24" s="1625"/>
      <c r="F24" s="1704"/>
      <c r="G24" s="1705"/>
      <c r="H24" s="1705"/>
      <c r="I24" s="1705"/>
      <c r="J24" s="1706"/>
      <c r="K24" s="240"/>
      <c r="L24" s="240"/>
      <c r="M24" s="240"/>
      <c r="N24" s="240"/>
      <c r="O24" s="240"/>
    </row>
    <row r="25" spans="2:60" ht="15.6">
      <c r="B25" s="77" t="s">
        <v>49</v>
      </c>
      <c r="C25" s="241">
        <v>44369</v>
      </c>
      <c r="D25" s="240"/>
      <c r="E25" s="240"/>
      <c r="F25" s="240"/>
      <c r="I25" s="291"/>
      <c r="J25" s="291"/>
      <c r="K25" s="292"/>
      <c r="L25" s="292"/>
      <c r="M25" s="240"/>
      <c r="N25" s="240"/>
      <c r="O25" s="240"/>
    </row>
    <row r="26" spans="2:60">
      <c r="B26" s="240"/>
      <c r="C26" s="240"/>
      <c r="D26" s="240"/>
      <c r="E26" s="240"/>
      <c r="F26" s="240"/>
      <c r="I26" s="291"/>
      <c r="J26" s="291"/>
      <c r="K26" s="292"/>
      <c r="L26" s="292"/>
      <c r="M26" s="240"/>
      <c r="N26" s="240"/>
      <c r="O26" s="240"/>
    </row>
    <row r="27" spans="2:60" ht="15.6">
      <c r="B27" s="77" t="s">
        <v>49</v>
      </c>
      <c r="C27" s="80">
        <v>44581</v>
      </c>
      <c r="D27" s="240"/>
      <c r="E27" s="240"/>
      <c r="F27" s="240"/>
      <c r="I27" s="291"/>
      <c r="J27" s="291"/>
      <c r="K27" s="292"/>
      <c r="L27" s="292"/>
      <c r="M27" s="240"/>
      <c r="N27" s="240"/>
      <c r="O27" s="240"/>
    </row>
    <row r="28" spans="2:60">
      <c r="B28" s="240"/>
      <c r="C28" s="240"/>
      <c r="D28" s="240"/>
      <c r="E28" s="240"/>
      <c r="F28" s="240"/>
      <c r="I28" s="291"/>
      <c r="J28" s="291"/>
      <c r="K28" s="292"/>
      <c r="L28" s="292"/>
      <c r="M28" s="240"/>
      <c r="N28" s="240"/>
      <c r="O28" s="240"/>
    </row>
    <row r="29" spans="2:60">
      <c r="B29" s="1752" t="s">
        <v>924</v>
      </c>
      <c r="C29" s="1752"/>
      <c r="D29" s="1752"/>
      <c r="E29" s="1752"/>
      <c r="F29" s="1752"/>
      <c r="G29" s="1752"/>
      <c r="H29" s="239"/>
      <c r="I29" s="1749"/>
      <c r="J29" s="1749"/>
      <c r="K29" s="1749"/>
      <c r="L29" s="1749"/>
      <c r="M29" s="244"/>
      <c r="N29" s="244"/>
      <c r="O29" s="244"/>
    </row>
    <row r="30" spans="2:60">
      <c r="B30" s="240"/>
      <c r="C30" s="240"/>
      <c r="D30" s="240"/>
      <c r="E30" s="240"/>
      <c r="F30" s="240"/>
      <c r="G30" s="239"/>
      <c r="H30" s="239"/>
      <c r="I30" s="292"/>
      <c r="J30" s="292"/>
      <c r="K30" s="293"/>
      <c r="L30" s="292"/>
      <c r="M30" s="240"/>
      <c r="N30" s="240"/>
      <c r="O30" s="240"/>
    </row>
    <row r="31" spans="2:60">
      <c r="B31" s="240"/>
      <c r="C31" s="240"/>
      <c r="D31" s="240"/>
      <c r="E31" s="240"/>
      <c r="F31" s="240"/>
      <c r="G31" s="239"/>
      <c r="H31" s="239"/>
      <c r="I31" s="1749"/>
      <c r="J31" s="1749"/>
      <c r="K31" s="1749"/>
      <c r="L31" s="1749"/>
      <c r="M31" s="244"/>
      <c r="N31" s="244"/>
      <c r="O31" s="244"/>
    </row>
    <row r="32" spans="2:60">
      <c r="B32" s="240"/>
      <c r="C32" s="240"/>
      <c r="D32" s="240"/>
      <c r="E32" s="240"/>
      <c r="F32" s="240"/>
      <c r="G32" s="239"/>
      <c r="H32" s="239"/>
      <c r="I32" s="292"/>
      <c r="J32" s="292"/>
      <c r="K32" s="293"/>
      <c r="L32" s="292"/>
      <c r="M32" s="240"/>
      <c r="N32" s="240"/>
      <c r="O32" s="240"/>
    </row>
    <row r="33" spans="2:15">
      <c r="B33" s="240"/>
      <c r="C33" s="240"/>
      <c r="D33" s="240"/>
      <c r="E33" s="240"/>
      <c r="F33" s="240"/>
      <c r="G33" s="239"/>
      <c r="H33" s="239"/>
      <c r="I33" s="1749"/>
      <c r="J33" s="1749"/>
      <c r="K33" s="1749"/>
      <c r="L33" s="1749"/>
      <c r="M33" s="244"/>
      <c r="N33" s="244"/>
      <c r="O33" s="244"/>
    </row>
    <row r="34" spans="2:15">
      <c r="I34" s="291"/>
      <c r="J34" s="291"/>
      <c r="K34" s="291"/>
      <c r="L34" s="291"/>
    </row>
    <row r="35" spans="2:15">
      <c r="I35" s="291"/>
      <c r="J35" s="291"/>
      <c r="K35" s="291"/>
      <c r="L35" s="291"/>
    </row>
    <row r="36" spans="2:15">
      <c r="I36" s="291"/>
      <c r="J36" s="291"/>
      <c r="K36" s="291"/>
      <c r="L36" s="291"/>
    </row>
    <row r="37" spans="2:15">
      <c r="I37" s="291"/>
      <c r="J37" s="291"/>
      <c r="K37" s="291"/>
      <c r="L37" s="291"/>
    </row>
  </sheetData>
  <sheetProtection algorithmName="SHA-512" hashValue="PpGKWfL18xoXtfzQs6XhbPYIYmnnkTZg04qAZkw9FHvgtK/V4cO4knZnQPrvruaxBHxqD0QYd1vYv/BuPID8EQ==" saltValue="lcVSnujcloGr9ab/JZzK2Q==" spinCount="100000" sheet="1" objects="1" scenarios="1"/>
  <mergeCells count="74">
    <mergeCell ref="D17:D19"/>
    <mergeCell ref="E17:E19"/>
    <mergeCell ref="B29:G29"/>
    <mergeCell ref="BE20:BH20"/>
    <mergeCell ref="C9:D9"/>
    <mergeCell ref="C10:D10"/>
    <mergeCell ref="B12:B15"/>
    <mergeCell ref="C12:C15"/>
    <mergeCell ref="D12:D15"/>
    <mergeCell ref="E12:E15"/>
    <mergeCell ref="BE12:BH12"/>
    <mergeCell ref="P13:W13"/>
    <mergeCell ref="X13:AE13"/>
    <mergeCell ref="AF13:AM13"/>
    <mergeCell ref="BB13:BB15"/>
    <mergeCell ref="BC13:BC15"/>
    <mergeCell ref="B2:B6"/>
    <mergeCell ref="C2:BF6"/>
    <mergeCell ref="BG6:BH6"/>
    <mergeCell ref="AW7:BA7"/>
    <mergeCell ref="C8:D8"/>
    <mergeCell ref="AN13:AU13"/>
    <mergeCell ref="AW13:AW15"/>
    <mergeCell ref="AX13:AX15"/>
    <mergeCell ref="AY13:AY15"/>
    <mergeCell ref="AZ13:AZ15"/>
    <mergeCell ref="BE13:BE15"/>
    <mergeCell ref="BF13:BF15"/>
    <mergeCell ref="BG13:BG15"/>
    <mergeCell ref="BH13:BH15"/>
    <mergeCell ref="P14:Q14"/>
    <mergeCell ref="R14:S14"/>
    <mergeCell ref="T14:U14"/>
    <mergeCell ref="V14:W14"/>
    <mergeCell ref="X14:Y14"/>
    <mergeCell ref="Z14:AA14"/>
    <mergeCell ref="BD13:BD15"/>
    <mergeCell ref="AB14:AC14"/>
    <mergeCell ref="BA13:BA15"/>
    <mergeCell ref="AV12:AV15"/>
    <mergeCell ref="AW12:AZ12"/>
    <mergeCell ref="BA12:BD12"/>
    <mergeCell ref="AX20:AZ20"/>
    <mergeCell ref="D22:O22"/>
    <mergeCell ref="B21:G21"/>
    <mergeCell ref="AD14:AE14"/>
    <mergeCell ref="AF14:AG14"/>
    <mergeCell ref="AH14:AI14"/>
    <mergeCell ref="AJ14:AK14"/>
    <mergeCell ref="AL14:AM14"/>
    <mergeCell ref="AN14:AO14"/>
    <mergeCell ref="N12:N15"/>
    <mergeCell ref="O12:O15"/>
    <mergeCell ref="H12:H15"/>
    <mergeCell ref="I12:I15"/>
    <mergeCell ref="J12:J15"/>
    <mergeCell ref="K12:K15"/>
    <mergeCell ref="L12:L15"/>
    <mergeCell ref="I33:L33"/>
    <mergeCell ref="AP14:AQ14"/>
    <mergeCell ref="AR14:AS14"/>
    <mergeCell ref="AT14:AU14"/>
    <mergeCell ref="B20:AW20"/>
    <mergeCell ref="M12:M15"/>
    <mergeCell ref="G12:G15"/>
    <mergeCell ref="E23:E24"/>
    <mergeCell ref="L23:O23"/>
    <mergeCell ref="I29:L29"/>
    <mergeCell ref="I31:L31"/>
    <mergeCell ref="F12:F15"/>
    <mergeCell ref="F23:J24"/>
    <mergeCell ref="P12:AU12"/>
    <mergeCell ref="B16:B19"/>
    <mergeCell ref="C16:C19"/>
  </mergeCells>
  <conditionalFormatting sqref="BA16:BD16">
    <cfRule type="cellIs" dxfId="26" priority="5" operator="greaterThan">
      <formula>1</formula>
    </cfRule>
    <cfRule type="cellIs" dxfId="25" priority="6" operator="between">
      <formula>0.8</formula>
      <formula>1</formula>
    </cfRule>
    <cfRule type="cellIs" dxfId="24" priority="7" operator="between">
      <formula>0.61</formula>
      <formula>0.79</formula>
    </cfRule>
    <cfRule type="cellIs" dxfId="23" priority="8" operator="between">
      <formula>0</formula>
      <formula>0.6</formula>
    </cfRule>
  </conditionalFormatting>
  <conditionalFormatting sqref="BA17:BD19">
    <cfRule type="cellIs" dxfId="22" priority="1" operator="greaterThan">
      <formula>1</formula>
    </cfRule>
    <cfRule type="cellIs" dxfId="21" priority="2" operator="between">
      <formula>0.8</formula>
      <formula>1</formula>
    </cfRule>
    <cfRule type="cellIs" dxfId="20" priority="3" operator="between">
      <formula>0.61</formula>
      <formula>0.79</formula>
    </cfRule>
    <cfRule type="cellIs" dxfId="19" priority="4" operator="between">
      <formula>0</formula>
      <formula>0.6</formula>
    </cfRule>
  </conditionalFormatting>
  <dataValidations count="1">
    <dataValidation allowBlank="1" showInputMessage="1" showErrorMessage="1" prompt="Transcriba de manera exacta el objetivo definido en la caracterización del proceso." sqref="C9:D9" xr:uid="{F4EFBFA9-FF84-465C-BF9E-FB3F0B387593}"/>
  </dataValidation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9D5BF-7203-47B8-9BFF-8372040D7B7C}">
  <sheetPr>
    <tabColor rgb="FF66FF33"/>
  </sheetPr>
  <dimension ref="B1:BH31"/>
  <sheetViews>
    <sheetView showGridLines="0" zoomScale="70" zoomScaleNormal="70" workbookViewId="0">
      <selection activeCell="BF19" activeCellId="1" sqref="BF16:BH18 BF19:BH19"/>
    </sheetView>
  </sheetViews>
  <sheetFormatPr baseColWidth="10" defaultColWidth="17.33203125" defaultRowHeight="15" customHeight="1"/>
  <cols>
    <col min="1" max="1" width="4.33203125" style="135" customWidth="1"/>
    <col min="2" max="2" width="50.44140625" style="133" customWidth="1"/>
    <col min="3" max="3" width="33.33203125" style="133" customWidth="1"/>
    <col min="4" max="4" width="49.6640625" style="133" customWidth="1"/>
    <col min="5" max="6" width="28.33203125" style="133" customWidth="1"/>
    <col min="7" max="7" width="23.33203125" style="134" customWidth="1"/>
    <col min="8" max="8" width="29.33203125" style="134" customWidth="1"/>
    <col min="9" max="9" width="27.44140625" style="133" customWidth="1"/>
    <col min="10" max="10" width="31.88671875" style="133" customWidth="1"/>
    <col min="11" max="11" width="55.88671875" style="133" customWidth="1"/>
    <col min="12" max="12" width="48.44140625" style="133" customWidth="1"/>
    <col min="13" max="14" width="28.5546875" style="133" customWidth="1"/>
    <col min="15" max="15" width="50" style="133" customWidth="1"/>
    <col min="16" max="47" width="15.88671875" style="135" customWidth="1"/>
    <col min="48" max="48" width="24.5546875" style="135" customWidth="1"/>
    <col min="49" max="49" width="22.88671875" style="135" customWidth="1"/>
    <col min="50" max="50" width="19.33203125" style="135" customWidth="1"/>
    <col min="51" max="51" width="18.44140625" style="135" customWidth="1"/>
    <col min="52" max="52" width="19.44140625" style="135" customWidth="1"/>
    <col min="53" max="53" width="23.33203125" style="135" customWidth="1"/>
    <col min="54" max="55" width="25.109375" style="135" customWidth="1"/>
    <col min="56" max="56" width="26.6640625" style="135" customWidth="1"/>
    <col min="57" max="57" width="26.33203125" style="135" customWidth="1"/>
    <col min="58" max="58" width="26.5546875" style="135" customWidth="1"/>
    <col min="59" max="59" width="26.33203125" style="135" customWidth="1"/>
    <col min="60" max="60" width="27.33203125" style="135" customWidth="1"/>
    <col min="61" max="16384" width="17.33203125" style="135"/>
  </cols>
  <sheetData>
    <row r="1" spans="2:60" ht="15.6" thickBot="1"/>
    <row r="2" spans="2:60" ht="15.6">
      <c r="B2" s="1575" t="s">
        <v>686</v>
      </c>
      <c r="C2" s="1600" t="s">
        <v>118</v>
      </c>
      <c r="D2" s="1601"/>
      <c r="E2" s="1601"/>
      <c r="F2" s="1601"/>
      <c r="G2" s="1601"/>
      <c r="H2" s="1601"/>
      <c r="I2" s="1601"/>
      <c r="J2" s="1601"/>
      <c r="K2" s="1601"/>
      <c r="L2" s="1601"/>
      <c r="M2" s="1601"/>
      <c r="N2" s="1601"/>
      <c r="O2" s="1601"/>
      <c r="P2" s="1601"/>
      <c r="Q2" s="1601"/>
      <c r="R2" s="1601"/>
      <c r="S2" s="1601"/>
      <c r="T2" s="1601"/>
      <c r="U2" s="1601"/>
      <c r="V2" s="1601"/>
      <c r="W2" s="1601"/>
      <c r="X2" s="1601"/>
      <c r="Y2" s="1601"/>
      <c r="Z2" s="1601"/>
      <c r="AA2" s="1601"/>
      <c r="AB2" s="1601"/>
      <c r="AC2" s="1601"/>
      <c r="AD2" s="1601"/>
      <c r="AE2" s="1601"/>
      <c r="AF2" s="1601"/>
      <c r="AG2" s="1601"/>
      <c r="AH2" s="1601"/>
      <c r="AI2" s="1601"/>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2"/>
      <c r="BG2" s="230" t="s">
        <v>31</v>
      </c>
      <c r="BH2" s="231"/>
    </row>
    <row r="3" spans="2:60" ht="15.6">
      <c r="B3" s="1576"/>
      <c r="C3" s="1603"/>
      <c r="D3" s="1604"/>
      <c r="E3" s="1604"/>
      <c r="F3" s="1604"/>
      <c r="G3" s="1604"/>
      <c r="H3" s="1604"/>
      <c r="I3" s="1604"/>
      <c r="J3" s="1604"/>
      <c r="K3" s="1604"/>
      <c r="L3" s="1604"/>
      <c r="M3" s="1604"/>
      <c r="N3" s="1604"/>
      <c r="O3" s="1604"/>
      <c r="P3" s="1604"/>
      <c r="Q3" s="1604"/>
      <c r="R3" s="1604"/>
      <c r="S3" s="1604"/>
      <c r="T3" s="1604"/>
      <c r="U3" s="1604"/>
      <c r="V3" s="1604"/>
      <c r="W3" s="1604"/>
      <c r="X3" s="1604"/>
      <c r="Y3" s="1604"/>
      <c r="Z3" s="1604"/>
      <c r="AA3" s="1604"/>
      <c r="AB3" s="1604"/>
      <c r="AC3" s="1604"/>
      <c r="AD3" s="1604"/>
      <c r="AE3" s="1604"/>
      <c r="AF3" s="1604"/>
      <c r="AG3" s="1604"/>
      <c r="AH3" s="1604"/>
      <c r="AI3" s="1604"/>
      <c r="AJ3" s="1604"/>
      <c r="AK3" s="1604"/>
      <c r="AL3" s="1604"/>
      <c r="AM3" s="1604"/>
      <c r="AN3" s="1604"/>
      <c r="AO3" s="1604"/>
      <c r="AP3" s="1604"/>
      <c r="AQ3" s="1604"/>
      <c r="AR3" s="1604"/>
      <c r="AS3" s="1604"/>
      <c r="AT3" s="1604"/>
      <c r="AU3" s="1604"/>
      <c r="AV3" s="1604"/>
      <c r="AW3" s="1604"/>
      <c r="AX3" s="1604"/>
      <c r="AY3" s="1604"/>
      <c r="AZ3" s="1604"/>
      <c r="BA3" s="1604"/>
      <c r="BB3" s="1604"/>
      <c r="BC3" s="1604"/>
      <c r="BD3" s="1604"/>
      <c r="BE3" s="1604"/>
      <c r="BF3" s="1605"/>
      <c r="BG3" s="209" t="s">
        <v>28</v>
      </c>
      <c r="BH3" s="28" t="s">
        <v>29</v>
      </c>
    </row>
    <row r="4" spans="2:60" ht="15" customHeight="1">
      <c r="B4" s="1576"/>
      <c r="C4" s="1603"/>
      <c r="D4" s="1604"/>
      <c r="E4" s="1604"/>
      <c r="F4" s="1604"/>
      <c r="G4" s="1604"/>
      <c r="H4" s="1604"/>
      <c r="I4" s="1604"/>
      <c r="J4" s="1604"/>
      <c r="K4" s="1604"/>
      <c r="L4" s="1604"/>
      <c r="M4" s="1604"/>
      <c r="N4" s="1604"/>
      <c r="O4" s="1604"/>
      <c r="P4" s="1604"/>
      <c r="Q4" s="1604"/>
      <c r="R4" s="1604"/>
      <c r="S4" s="1604"/>
      <c r="T4" s="1604"/>
      <c r="U4" s="1604"/>
      <c r="V4" s="1604"/>
      <c r="W4" s="1604"/>
      <c r="X4" s="1604"/>
      <c r="Y4" s="1604"/>
      <c r="Z4" s="1604"/>
      <c r="AA4" s="1604"/>
      <c r="AB4" s="1604"/>
      <c r="AC4" s="1604"/>
      <c r="AD4" s="1604"/>
      <c r="AE4" s="1604"/>
      <c r="AF4" s="1604"/>
      <c r="AG4" s="1604"/>
      <c r="AH4" s="1604"/>
      <c r="AI4" s="1604"/>
      <c r="AJ4" s="1604"/>
      <c r="AK4" s="1604"/>
      <c r="AL4" s="1604"/>
      <c r="AM4" s="1604"/>
      <c r="AN4" s="1604"/>
      <c r="AO4" s="1604"/>
      <c r="AP4" s="1604"/>
      <c r="AQ4" s="1604"/>
      <c r="AR4" s="1604"/>
      <c r="AS4" s="1604"/>
      <c r="AT4" s="1604"/>
      <c r="AU4" s="1604"/>
      <c r="AV4" s="1604"/>
      <c r="AW4" s="1604"/>
      <c r="AX4" s="1604"/>
      <c r="AY4" s="1604"/>
      <c r="AZ4" s="1604"/>
      <c r="BA4" s="1604"/>
      <c r="BB4" s="1604"/>
      <c r="BC4" s="1604"/>
      <c r="BD4" s="1604"/>
      <c r="BE4" s="1604"/>
      <c r="BF4" s="1605"/>
      <c r="BG4" s="210">
        <v>5</v>
      </c>
      <c r="BH4" s="30" t="s">
        <v>657</v>
      </c>
    </row>
    <row r="5" spans="2:60" ht="15.6">
      <c r="B5" s="1576"/>
      <c r="C5" s="1603"/>
      <c r="D5" s="1604"/>
      <c r="E5" s="1604"/>
      <c r="F5" s="1604"/>
      <c r="G5" s="1604"/>
      <c r="H5" s="1604"/>
      <c r="I5" s="1604"/>
      <c r="J5" s="1604"/>
      <c r="K5" s="1604"/>
      <c r="L5" s="1604"/>
      <c r="M5" s="1604"/>
      <c r="N5" s="1604"/>
      <c r="O5" s="1604"/>
      <c r="P5" s="1604"/>
      <c r="Q5" s="1604"/>
      <c r="R5" s="1604"/>
      <c r="S5" s="1604"/>
      <c r="T5" s="1604"/>
      <c r="U5" s="1604"/>
      <c r="V5" s="1604"/>
      <c r="W5" s="1604"/>
      <c r="X5" s="1604"/>
      <c r="Y5" s="1604"/>
      <c r="Z5" s="1604"/>
      <c r="AA5" s="1604"/>
      <c r="AB5" s="1604"/>
      <c r="AC5" s="1604"/>
      <c r="AD5" s="1604"/>
      <c r="AE5" s="1604"/>
      <c r="AF5" s="1604"/>
      <c r="AG5" s="1604"/>
      <c r="AH5" s="1604"/>
      <c r="AI5" s="1604"/>
      <c r="AJ5" s="1604"/>
      <c r="AK5" s="1604"/>
      <c r="AL5" s="1604"/>
      <c r="AM5" s="1604"/>
      <c r="AN5" s="1604"/>
      <c r="AO5" s="1604"/>
      <c r="AP5" s="1604"/>
      <c r="AQ5" s="1604"/>
      <c r="AR5" s="1604"/>
      <c r="AS5" s="1604"/>
      <c r="AT5" s="1604"/>
      <c r="AU5" s="1604"/>
      <c r="AV5" s="1604"/>
      <c r="AW5" s="1604"/>
      <c r="AX5" s="1604"/>
      <c r="AY5" s="1604"/>
      <c r="AZ5" s="1604"/>
      <c r="BA5" s="1604"/>
      <c r="BB5" s="1604"/>
      <c r="BC5" s="1604"/>
      <c r="BD5" s="1604"/>
      <c r="BE5" s="1604"/>
      <c r="BF5" s="1605"/>
      <c r="BG5" s="211" t="s">
        <v>30</v>
      </c>
      <c r="BH5" s="212"/>
    </row>
    <row r="6" spans="2:60" ht="15.6" customHeight="1" thickBot="1">
      <c r="B6" s="1577"/>
      <c r="C6" s="1606"/>
      <c r="D6" s="1607"/>
      <c r="E6" s="1607"/>
      <c r="F6" s="1607"/>
      <c r="G6" s="1607"/>
      <c r="H6" s="1607"/>
      <c r="I6" s="1607"/>
      <c r="J6" s="1607"/>
      <c r="K6" s="1607"/>
      <c r="L6" s="1607"/>
      <c r="M6" s="1607"/>
      <c r="N6" s="1607"/>
      <c r="O6" s="1607"/>
      <c r="P6" s="1607"/>
      <c r="Q6" s="1607"/>
      <c r="R6" s="1607"/>
      <c r="S6" s="1607"/>
      <c r="T6" s="1607"/>
      <c r="U6" s="1607"/>
      <c r="V6" s="1607"/>
      <c r="W6" s="1607"/>
      <c r="X6" s="1607"/>
      <c r="Y6" s="1607"/>
      <c r="Z6" s="1607"/>
      <c r="AA6" s="1607"/>
      <c r="AB6" s="1607"/>
      <c r="AC6" s="1607"/>
      <c r="AD6" s="1607"/>
      <c r="AE6" s="1607"/>
      <c r="AF6" s="1607"/>
      <c r="AG6" s="1607"/>
      <c r="AH6" s="1607"/>
      <c r="AI6" s="1607"/>
      <c r="AJ6" s="1607"/>
      <c r="AK6" s="1607"/>
      <c r="AL6" s="1607"/>
      <c r="AM6" s="1607"/>
      <c r="AN6" s="1607"/>
      <c r="AO6" s="1607"/>
      <c r="AP6" s="1607"/>
      <c r="AQ6" s="1607"/>
      <c r="AR6" s="1607"/>
      <c r="AS6" s="1607"/>
      <c r="AT6" s="1607"/>
      <c r="AU6" s="1607"/>
      <c r="AV6" s="1607"/>
      <c r="AW6" s="1607"/>
      <c r="AX6" s="1607"/>
      <c r="AY6" s="1607"/>
      <c r="AZ6" s="1607"/>
      <c r="BA6" s="1607"/>
      <c r="BB6" s="1607"/>
      <c r="BC6" s="1607"/>
      <c r="BD6" s="1607"/>
      <c r="BE6" s="1607"/>
      <c r="BF6" s="1608"/>
      <c r="BG6" s="1566">
        <v>44306</v>
      </c>
      <c r="BH6" s="1567"/>
    </row>
    <row r="7" spans="2:60">
      <c r="B7" s="136"/>
      <c r="C7" s="136"/>
      <c r="D7" s="136"/>
      <c r="E7" s="136"/>
      <c r="F7" s="136"/>
      <c r="G7" s="137"/>
      <c r="H7" s="137"/>
      <c r="I7" s="136"/>
      <c r="J7" s="136"/>
      <c r="K7" s="136"/>
      <c r="L7" s="136"/>
      <c r="M7" s="136"/>
      <c r="N7" s="136"/>
      <c r="O7" s="136"/>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589"/>
      <c r="AX7" s="1633"/>
      <c r="AY7" s="1633"/>
      <c r="AZ7" s="1633"/>
      <c r="BA7" s="1591"/>
      <c r="BB7" s="232"/>
      <c r="BC7" s="232"/>
      <c r="BD7" s="232"/>
      <c r="BE7" s="138"/>
      <c r="BF7" s="138"/>
    </row>
    <row r="8" spans="2:60" ht="21">
      <c r="B8" s="213" t="s">
        <v>45</v>
      </c>
      <c r="C8" s="1651" t="s">
        <v>95</v>
      </c>
      <c r="D8" s="1651"/>
      <c r="E8" s="214"/>
      <c r="F8" s="214"/>
      <c r="G8" s="214"/>
      <c r="H8" s="214"/>
      <c r="I8" s="214"/>
      <c r="J8" s="214"/>
      <c r="K8" s="214"/>
      <c r="L8" s="214"/>
      <c r="M8" s="214"/>
      <c r="N8" s="214"/>
      <c r="O8" s="214"/>
      <c r="AW8" s="232"/>
      <c r="AX8" s="232"/>
      <c r="AY8" s="232"/>
      <c r="AZ8" s="232"/>
      <c r="BA8" s="232"/>
      <c r="BB8" s="232"/>
      <c r="BC8" s="232"/>
      <c r="BD8" s="232"/>
    </row>
    <row r="9" spans="2:60" ht="83.25" customHeight="1">
      <c r="B9" s="213" t="s">
        <v>34</v>
      </c>
      <c r="C9" s="1610" t="s">
        <v>514</v>
      </c>
      <c r="D9" s="1611"/>
      <c r="E9" s="214"/>
      <c r="F9" s="214"/>
      <c r="G9" s="214"/>
      <c r="H9" s="214"/>
      <c r="I9" s="214"/>
      <c r="J9" s="214"/>
      <c r="K9" s="214"/>
      <c r="L9" s="214"/>
      <c r="M9" s="214"/>
      <c r="N9" s="214"/>
      <c r="O9" s="214"/>
      <c r="AW9" s="232"/>
      <c r="AX9" s="232"/>
      <c r="AY9" s="232"/>
      <c r="AZ9" s="232"/>
      <c r="BA9" s="232"/>
      <c r="BB9" s="232"/>
      <c r="BC9" s="232"/>
      <c r="BD9" s="232"/>
    </row>
    <row r="10" spans="2:60" ht="24.6">
      <c r="B10" s="213" t="s">
        <v>101</v>
      </c>
      <c r="C10" s="1612">
        <v>2022</v>
      </c>
      <c r="D10" s="1613"/>
      <c r="E10" s="214"/>
      <c r="F10" s="214"/>
      <c r="G10" s="214"/>
      <c r="H10" s="214"/>
      <c r="I10" s="214"/>
      <c r="J10" s="214"/>
      <c r="K10" s="214"/>
      <c r="L10" s="214"/>
      <c r="M10" s="214"/>
      <c r="N10" s="214"/>
      <c r="O10" s="214"/>
      <c r="AW10" s="232"/>
      <c r="AX10" s="232"/>
      <c r="AY10" s="232"/>
      <c r="AZ10" s="232"/>
      <c r="BA10" s="232"/>
      <c r="BB10" s="232"/>
      <c r="BC10" s="232"/>
      <c r="BD10" s="232"/>
    </row>
    <row r="11" spans="2:60">
      <c r="B11" s="136"/>
      <c r="C11" s="136"/>
      <c r="D11" s="136"/>
      <c r="E11" s="136"/>
      <c r="F11" s="136"/>
      <c r="G11" s="137"/>
      <c r="H11" s="137"/>
      <c r="I11" s="136"/>
      <c r="J11" s="136"/>
      <c r="K11" s="136"/>
      <c r="L11" s="136"/>
      <c r="M11" s="136"/>
      <c r="N11" s="136"/>
      <c r="O11" s="136"/>
      <c r="AW11" s="232"/>
      <c r="AX11" s="232"/>
      <c r="AY11" s="232"/>
      <c r="AZ11" s="232"/>
      <c r="BA11" s="232"/>
      <c r="BB11" s="232"/>
      <c r="BC11" s="232"/>
      <c r="BD11" s="232"/>
    </row>
    <row r="12" spans="2:60" ht="30.6" customHeight="1">
      <c r="B12" s="1476" t="s">
        <v>0</v>
      </c>
      <c r="C12" s="1476" t="s">
        <v>52</v>
      </c>
      <c r="D12" s="1302" t="s">
        <v>711</v>
      </c>
      <c r="E12" s="1476" t="s">
        <v>61</v>
      </c>
      <c r="F12" s="1302" t="s">
        <v>682</v>
      </c>
      <c r="G12" s="1476" t="s">
        <v>58</v>
      </c>
      <c r="H12" s="1476" t="s">
        <v>25</v>
      </c>
      <c r="I12" s="1476" t="s">
        <v>60</v>
      </c>
      <c r="J12" s="1476" t="s">
        <v>39</v>
      </c>
      <c r="K12" s="1476" t="s">
        <v>36</v>
      </c>
      <c r="L12" s="1476" t="s">
        <v>20</v>
      </c>
      <c r="M12" s="1476" t="s">
        <v>51</v>
      </c>
      <c r="N12" s="1476" t="s">
        <v>40</v>
      </c>
      <c r="O12" s="1476" t="s">
        <v>42</v>
      </c>
      <c r="P12" s="1528" t="s">
        <v>112</v>
      </c>
      <c r="Q12" s="1528"/>
      <c r="R12" s="1528"/>
      <c r="S12" s="1528"/>
      <c r="T12" s="1528"/>
      <c r="U12" s="1528"/>
      <c r="V12" s="1528"/>
      <c r="W12" s="1528"/>
      <c r="X12" s="1528"/>
      <c r="Y12" s="1528"/>
      <c r="Z12" s="1528"/>
      <c r="AA12" s="1528"/>
      <c r="AB12" s="1528"/>
      <c r="AC12" s="1528"/>
      <c r="AD12" s="1528"/>
      <c r="AE12" s="1528"/>
      <c r="AF12" s="1528"/>
      <c r="AG12" s="1528"/>
      <c r="AH12" s="1528"/>
      <c r="AI12" s="1528"/>
      <c r="AJ12" s="1528"/>
      <c r="AK12" s="1528"/>
      <c r="AL12" s="1528"/>
      <c r="AM12" s="1528"/>
      <c r="AN12" s="1528"/>
      <c r="AO12" s="1528"/>
      <c r="AP12" s="1528"/>
      <c r="AQ12" s="1528"/>
      <c r="AR12" s="1528"/>
      <c r="AS12" s="1528"/>
      <c r="AT12" s="1528"/>
      <c r="AU12" s="1528"/>
      <c r="AV12" s="1592" t="s">
        <v>62</v>
      </c>
      <c r="AW12" s="1594" t="s">
        <v>683</v>
      </c>
      <c r="AX12" s="1595"/>
      <c r="AY12" s="1595"/>
      <c r="AZ12" s="1596"/>
      <c r="BA12" s="1583" t="s">
        <v>684</v>
      </c>
      <c r="BB12" s="1584"/>
      <c r="BC12" s="1584"/>
      <c r="BD12" s="1585"/>
      <c r="BE12" s="1618" t="s">
        <v>685</v>
      </c>
      <c r="BF12" s="1619"/>
      <c r="BG12" s="1619"/>
      <c r="BH12" s="1620"/>
    </row>
    <row r="13" spans="2:60" ht="15.6">
      <c r="B13" s="1476"/>
      <c r="C13" s="1476"/>
      <c r="D13" s="1302"/>
      <c r="E13" s="1476"/>
      <c r="F13" s="1302"/>
      <c r="G13" s="1476"/>
      <c r="H13" s="1476"/>
      <c r="I13" s="1476"/>
      <c r="J13" s="1476"/>
      <c r="K13" s="1476"/>
      <c r="L13" s="1476"/>
      <c r="M13" s="1476"/>
      <c r="N13" s="1476"/>
      <c r="O13" s="1476"/>
      <c r="P13" s="1593" t="s">
        <v>21</v>
      </c>
      <c r="Q13" s="1593"/>
      <c r="R13" s="1593"/>
      <c r="S13" s="1593"/>
      <c r="T13" s="1593"/>
      <c r="U13" s="1593"/>
      <c r="V13" s="1593"/>
      <c r="W13" s="1593"/>
      <c r="X13" s="1593" t="s">
        <v>22</v>
      </c>
      <c r="Y13" s="1593"/>
      <c r="Z13" s="1593"/>
      <c r="AA13" s="1593"/>
      <c r="AB13" s="1593"/>
      <c r="AC13" s="1593"/>
      <c r="AD13" s="1593"/>
      <c r="AE13" s="1593"/>
      <c r="AF13" s="1593" t="s">
        <v>23</v>
      </c>
      <c r="AG13" s="1593"/>
      <c r="AH13" s="1593"/>
      <c r="AI13" s="1593"/>
      <c r="AJ13" s="1593"/>
      <c r="AK13" s="1593"/>
      <c r="AL13" s="1593"/>
      <c r="AM13" s="1593"/>
      <c r="AN13" s="1593" t="s">
        <v>24</v>
      </c>
      <c r="AO13" s="1593"/>
      <c r="AP13" s="1593"/>
      <c r="AQ13" s="1593"/>
      <c r="AR13" s="1593"/>
      <c r="AS13" s="1593"/>
      <c r="AT13" s="1593"/>
      <c r="AU13" s="1593"/>
      <c r="AV13" s="1592"/>
      <c r="AW13" s="1597" t="s">
        <v>119</v>
      </c>
      <c r="AX13" s="1597" t="s">
        <v>22</v>
      </c>
      <c r="AY13" s="1597" t="s">
        <v>120</v>
      </c>
      <c r="AZ13" s="1597" t="s">
        <v>121</v>
      </c>
      <c r="BA13" s="1586" t="s">
        <v>119</v>
      </c>
      <c r="BB13" s="1586" t="s">
        <v>122</v>
      </c>
      <c r="BC13" s="1586" t="s">
        <v>123</v>
      </c>
      <c r="BD13" s="1586" t="s">
        <v>124</v>
      </c>
      <c r="BE13" s="1580" t="s">
        <v>21</v>
      </c>
      <c r="BF13" s="1580" t="s">
        <v>22</v>
      </c>
      <c r="BG13" s="1580" t="s">
        <v>23</v>
      </c>
      <c r="BH13" s="1580" t="s">
        <v>24</v>
      </c>
    </row>
    <row r="14" spans="2:60" ht="15.6">
      <c r="B14" s="1476"/>
      <c r="C14" s="1476"/>
      <c r="D14" s="1302"/>
      <c r="E14" s="1476"/>
      <c r="F14" s="1302"/>
      <c r="G14" s="1476"/>
      <c r="H14" s="1476"/>
      <c r="I14" s="1476"/>
      <c r="J14" s="1476"/>
      <c r="K14" s="1476"/>
      <c r="L14" s="1476"/>
      <c r="M14" s="1476"/>
      <c r="N14" s="1476"/>
      <c r="O14" s="1476"/>
      <c r="P14" s="1641" t="s">
        <v>5</v>
      </c>
      <c r="Q14" s="1641"/>
      <c r="R14" s="1641" t="s">
        <v>6</v>
      </c>
      <c r="S14" s="1641"/>
      <c r="T14" s="1641" t="s">
        <v>7</v>
      </c>
      <c r="U14" s="1641"/>
      <c r="V14" s="1528" t="s">
        <v>8</v>
      </c>
      <c r="W14" s="1528"/>
      <c r="X14" s="1641" t="s">
        <v>27</v>
      </c>
      <c r="Y14" s="1641"/>
      <c r="Z14" s="1641" t="s">
        <v>9</v>
      </c>
      <c r="AA14" s="1641"/>
      <c r="AB14" s="1641" t="s">
        <v>10</v>
      </c>
      <c r="AC14" s="1641"/>
      <c r="AD14" s="1528" t="s">
        <v>8</v>
      </c>
      <c r="AE14" s="1528"/>
      <c r="AF14" s="1641" t="s">
        <v>11</v>
      </c>
      <c r="AG14" s="1641"/>
      <c r="AH14" s="1641" t="s">
        <v>12</v>
      </c>
      <c r="AI14" s="1641"/>
      <c r="AJ14" s="1641" t="s">
        <v>13</v>
      </c>
      <c r="AK14" s="1641"/>
      <c r="AL14" s="1528" t="s">
        <v>8</v>
      </c>
      <c r="AM14" s="1528"/>
      <c r="AN14" s="1641" t="s">
        <v>14</v>
      </c>
      <c r="AO14" s="1641"/>
      <c r="AP14" s="1641" t="s">
        <v>15</v>
      </c>
      <c r="AQ14" s="1641"/>
      <c r="AR14" s="1641" t="s">
        <v>16</v>
      </c>
      <c r="AS14" s="1641"/>
      <c r="AT14" s="1528" t="s">
        <v>8</v>
      </c>
      <c r="AU14" s="1528"/>
      <c r="AV14" s="1592"/>
      <c r="AW14" s="1598"/>
      <c r="AX14" s="1598"/>
      <c r="AY14" s="1598"/>
      <c r="AZ14" s="1598"/>
      <c r="BA14" s="1587"/>
      <c r="BB14" s="1587"/>
      <c r="BC14" s="1587"/>
      <c r="BD14" s="1587"/>
      <c r="BE14" s="1581"/>
      <c r="BF14" s="1581"/>
      <c r="BG14" s="1581"/>
      <c r="BH14" s="1581"/>
    </row>
    <row r="15" spans="2:60" ht="13.2" customHeight="1">
      <c r="B15" s="1476"/>
      <c r="C15" s="1476"/>
      <c r="D15" s="1302"/>
      <c r="E15" s="1476"/>
      <c r="F15" s="1302"/>
      <c r="G15" s="1476"/>
      <c r="H15" s="1476"/>
      <c r="I15" s="1476"/>
      <c r="J15" s="1476"/>
      <c r="K15" s="1476"/>
      <c r="L15" s="1476"/>
      <c r="M15" s="1476"/>
      <c r="N15" s="1476"/>
      <c r="O15" s="1476"/>
      <c r="P15" s="233" t="s">
        <v>17</v>
      </c>
      <c r="Q15" s="234" t="s">
        <v>18</v>
      </c>
      <c r="R15" s="233" t="s">
        <v>17</v>
      </c>
      <c r="S15" s="234" t="s">
        <v>18</v>
      </c>
      <c r="T15" s="233" t="s">
        <v>17</v>
      </c>
      <c r="U15" s="234" t="s">
        <v>18</v>
      </c>
      <c r="V15" s="75" t="s">
        <v>17</v>
      </c>
      <c r="W15" s="76" t="s">
        <v>18</v>
      </c>
      <c r="X15" s="233" t="s">
        <v>17</v>
      </c>
      <c r="Y15" s="234" t="s">
        <v>18</v>
      </c>
      <c r="Z15" s="233" t="s">
        <v>17</v>
      </c>
      <c r="AA15" s="234" t="s">
        <v>18</v>
      </c>
      <c r="AB15" s="233" t="s">
        <v>17</v>
      </c>
      <c r="AC15" s="234" t="s">
        <v>18</v>
      </c>
      <c r="AD15" s="75" t="s">
        <v>17</v>
      </c>
      <c r="AE15" s="76" t="s">
        <v>18</v>
      </c>
      <c r="AF15" s="233" t="s">
        <v>17</v>
      </c>
      <c r="AG15" s="234" t="s">
        <v>18</v>
      </c>
      <c r="AH15" s="233" t="s">
        <v>17</v>
      </c>
      <c r="AI15" s="234" t="s">
        <v>18</v>
      </c>
      <c r="AJ15" s="233" t="s">
        <v>17</v>
      </c>
      <c r="AK15" s="234" t="s">
        <v>18</v>
      </c>
      <c r="AL15" s="75" t="s">
        <v>17</v>
      </c>
      <c r="AM15" s="76" t="s">
        <v>18</v>
      </c>
      <c r="AN15" s="233" t="s">
        <v>17</v>
      </c>
      <c r="AO15" s="234" t="s">
        <v>18</v>
      </c>
      <c r="AP15" s="233" t="s">
        <v>17</v>
      </c>
      <c r="AQ15" s="234" t="s">
        <v>18</v>
      </c>
      <c r="AR15" s="233" t="s">
        <v>17</v>
      </c>
      <c r="AS15" s="234" t="s">
        <v>18</v>
      </c>
      <c r="AT15" s="75" t="s">
        <v>17</v>
      </c>
      <c r="AU15" s="76" t="s">
        <v>18</v>
      </c>
      <c r="AV15" s="1592"/>
      <c r="AW15" s="1599"/>
      <c r="AX15" s="1599"/>
      <c r="AY15" s="1599"/>
      <c r="AZ15" s="1599"/>
      <c r="BA15" s="1588"/>
      <c r="BB15" s="1588"/>
      <c r="BC15" s="1588"/>
      <c r="BD15" s="1588"/>
      <c r="BE15" s="1582"/>
      <c r="BF15" s="1582"/>
      <c r="BG15" s="1582"/>
      <c r="BH15" s="1582"/>
    </row>
    <row r="16" spans="2:60" ht="164.4" customHeight="1">
      <c r="B16" s="1493"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493" t="str">
        <f>+'01-FR-03 POA INSTITUCIONAL'!C69</f>
        <v>4.4. Implementar el 100% de las acciones necesarias para la modernización de la gestión institucional a través de los procesos de apoyo, que permita una mejor prestación del servicio.</v>
      </c>
      <c r="D16" s="31" t="str">
        <f>+'01-FR-03 POA INSTITUCIONAL'!D75</f>
        <v>4.4.7 Realizar el 95% del reparto, dentro de un término no superior a tres (3) días hábiles, de las comunicaciones oficiales institucionales recibidas por el Grupo de Correspondencia.</v>
      </c>
      <c r="E16" s="52">
        <f>+'01-FR-03 POA INSTITUCIONAL'!E75</f>
        <v>0.05</v>
      </c>
      <c r="F16" s="52">
        <f>+'01-FR-03 POA INSTITUCIONAL'!F75</f>
        <v>0.95</v>
      </c>
      <c r="G16" s="160">
        <f>+'01-FR-03 POA INSTITUCIONAL'!L75</f>
        <v>0.95</v>
      </c>
      <c r="H16" s="140" t="str">
        <f>+'01-FR-03 POA INSTITUCIONAL'!G75</f>
        <v>S.I.</v>
      </c>
      <c r="I16" s="140" t="str">
        <f>+'01-FR-03 POA INSTITUCIONAL'!H75</f>
        <v>Porcentaje de Comunicaciones oficiales con reparto realizado dentro de los 3 días hábiles desde su radicación</v>
      </c>
      <c r="J16" s="215" t="s">
        <v>679</v>
      </c>
      <c r="K16" s="246" t="s">
        <v>1134</v>
      </c>
      <c r="L16" s="1030" t="s">
        <v>680</v>
      </c>
      <c r="M16" s="217" t="s">
        <v>499</v>
      </c>
      <c r="N16" s="236" t="s">
        <v>500</v>
      </c>
      <c r="O16" s="82" t="str">
        <f>+'01-FR-03 POA INSTITUCIONAL'!J75</f>
        <v>Subdirección de Gestión Documental y Recursos Físicos - Grupo de Correspondencia</v>
      </c>
      <c r="P16" s="1031">
        <v>0.95</v>
      </c>
      <c r="Q16" s="1018">
        <v>0.98380000000000001</v>
      </c>
      <c r="R16" s="1031">
        <v>0.95</v>
      </c>
      <c r="S16" s="1018">
        <v>0.98470000000000002</v>
      </c>
      <c r="T16" s="1031">
        <v>0.95</v>
      </c>
      <c r="U16" s="1018">
        <v>0.98719999999999997</v>
      </c>
      <c r="V16" s="321">
        <f>AVERAGE(P16,R16,T16)</f>
        <v>0.94999999999999984</v>
      </c>
      <c r="W16" s="322">
        <f>IFERROR(AVERAGE(Q16,S16,U16),0)</f>
        <v>0.98523333333333341</v>
      </c>
      <c r="X16" s="1031">
        <v>0.95</v>
      </c>
      <c r="Y16" s="995"/>
      <c r="Z16" s="1031">
        <v>0.95</v>
      </c>
      <c r="AA16" s="995"/>
      <c r="AB16" s="1031">
        <v>0.95</v>
      </c>
      <c r="AC16" s="995"/>
      <c r="AD16" s="321">
        <f>AVERAGE(X16,Z16,AB16)</f>
        <v>0.94999999999999984</v>
      </c>
      <c r="AE16" s="321">
        <f>IFERROR(AVERAGE(Y16,AA16,AC16),0)</f>
        <v>0</v>
      </c>
      <c r="AF16" s="1031">
        <v>0.95</v>
      </c>
      <c r="AG16" s="1064">
        <v>0</v>
      </c>
      <c r="AH16" s="1031">
        <v>0.95</v>
      </c>
      <c r="AI16" s="1064">
        <v>0</v>
      </c>
      <c r="AJ16" s="1031">
        <v>0.95</v>
      </c>
      <c r="AK16" s="1064">
        <v>0</v>
      </c>
      <c r="AL16" s="321">
        <f>AVERAGE(AF16,AH16,AJ16)</f>
        <v>0.94999999999999984</v>
      </c>
      <c r="AM16" s="321">
        <f>IFERROR(AVERAGE(AG16,AI16,AK16),0)</f>
        <v>0</v>
      </c>
      <c r="AN16" s="1031">
        <v>0.95</v>
      </c>
      <c r="AO16" s="1064">
        <v>0</v>
      </c>
      <c r="AP16" s="1031">
        <v>0.95</v>
      </c>
      <c r="AQ16" s="1064">
        <v>0</v>
      </c>
      <c r="AR16" s="1031">
        <v>0.95</v>
      </c>
      <c r="AS16" s="1064">
        <v>0</v>
      </c>
      <c r="AT16" s="321">
        <f>AVERAGE(AN16,AP16,AR16)</f>
        <v>0.94999999999999984</v>
      </c>
      <c r="AU16" s="321">
        <f>IFERROR(AVERAGE(AO16,AQ16,AS16),0)</f>
        <v>0</v>
      </c>
      <c r="AV16" s="321">
        <f>AVERAGE(P16,R16,T16,X16,Z16,AB16,AF16,AH16,AJ16,AN16,AP16,AR16)</f>
        <v>0.94999999999999984</v>
      </c>
      <c r="AW16" s="307">
        <f>IFERROR(IF(OR($AV$17="",$AV$17=0),0,ROUNDDOWN(AVERAGE($Q16,$S16,$U16),3)),0)</f>
        <v>0.98499999999999999</v>
      </c>
      <c r="AX16" s="1057">
        <f>IFERROR(IF(OR($AV$17="",$AV$17=0),0,ROUNDDOWN(AVERAGE($Q16,$S16,$U16,$Y16,$AA16,$AC16),3)),0)</f>
        <v>0.98499999999999999</v>
      </c>
      <c r="AY16" s="1057">
        <f>IFERROR(IF(OR($AV$17="",$AV$17=0),0,ROUNDDOWN(AVERAGE($Q16,$S16,$U16,$Y16,$AA16,$AC16,$AG16,$AI16,$AK16),3)),0)</f>
        <v>0.49199999999999999</v>
      </c>
      <c r="AZ16" s="1057">
        <f>IFERROR(IF(OR($AV$17="",$AV$17=0),0,ROUNDDOWN(AVERAGE($Q16,$S16,$U16,$Y16,$AA16,$AC16,$AG16,$AI16,$AK16,$AO16,$AQ16,$AS16),3)),0)</f>
        <v>0.32800000000000001</v>
      </c>
      <c r="BA16" s="341">
        <f>(IF(AND(AW16&gt;0,$AV16&gt;0),AW16/$AV16,0))*0.25</f>
        <v>0.2592105263157895</v>
      </c>
      <c r="BB16" s="341">
        <f>(IF(AND(AX16&gt;0,$AV16&gt;0),AX16/$AV16,0))*0.5</f>
        <v>0.518421052631579</v>
      </c>
      <c r="BC16" s="341">
        <f>(IF(AND(AY16&gt;0,$AV16&gt;0),AY16/$AV16,0))*0.75</f>
        <v>0.388421052631579</v>
      </c>
      <c r="BD16" s="341">
        <f>(IF(AND(AZ16&gt;0,$AV16&gt;0),AZ16/$AV16,0))*1</f>
        <v>0.34526315789473694</v>
      </c>
      <c r="BE16" s="346">
        <f>((IF(AND(AW16&gt;0,$F16&gt;0),AW16/$F16,0))*0.25)*0.25</f>
        <v>6.4802631578947376E-2</v>
      </c>
      <c r="BF16" s="1056">
        <f>((IF(AND(AX16&gt;0,$F16&gt;0),AX16/$F16,0))*0.25)*0.5</f>
        <v>0.12960526315789475</v>
      </c>
      <c r="BG16" s="1056">
        <f>((IF(AND(AY16&gt;0,$F16&gt;0),AY16/$F16,0))/4)*0.75</f>
        <v>9.710526315789475E-2</v>
      </c>
      <c r="BH16" s="1056">
        <f>((IF(AND(AZ16&gt;0,$F16&gt;0),AZ16/$F16,0))/4)*1</f>
        <v>8.6315789473684221E-2</v>
      </c>
    </row>
    <row r="17" spans="2:60" ht="202.2" customHeight="1">
      <c r="B17" s="1494"/>
      <c r="C17" s="1494"/>
      <c r="D17" s="31" t="str">
        <f>+'01-FR-03 POA INSTITUCIONAL'!D76</f>
        <v>4.4.8 Incorporar el 80% al archivo central de las transferencias documentales provenientes de las dependencias, en razón a que cumplen los requisitos exigidos para ello.</v>
      </c>
      <c r="E17" s="52">
        <f>+'01-FR-03 POA INSTITUCIONAL'!E76</f>
        <v>0.05</v>
      </c>
      <c r="F17" s="52">
        <f>+'01-FR-03 POA INSTITUCIONAL'!F76</f>
        <v>0.8</v>
      </c>
      <c r="G17" s="160">
        <f>+'01-FR-03 POA INSTITUCIONAL'!L76</f>
        <v>0.8</v>
      </c>
      <c r="H17" s="140">
        <f>+'01-FR-03 POA INSTITUCIONAL'!G76</f>
        <v>264</v>
      </c>
      <c r="I17" s="140" t="str">
        <f>+'01-FR-03 POA INSTITUCIONAL'!H76</f>
        <v>Porcentaje de documentación incorporada en el archivo central durante la vigencia.</v>
      </c>
      <c r="J17" s="215" t="s">
        <v>516</v>
      </c>
      <c r="K17" s="246" t="s">
        <v>501</v>
      </c>
      <c r="L17" s="217" t="s">
        <v>502</v>
      </c>
      <c r="M17" s="217" t="s">
        <v>499</v>
      </c>
      <c r="N17" s="236" t="s">
        <v>503</v>
      </c>
      <c r="O17" s="82" t="str">
        <f>+'01-FR-03 POA INSTITUCIONAL'!J76</f>
        <v>Subdirección de Gestión Documental y Recursos Físicos - Archivo central</v>
      </c>
      <c r="P17" s="1031">
        <v>0.8</v>
      </c>
      <c r="Q17" s="1031">
        <v>0.8</v>
      </c>
      <c r="R17" s="1031">
        <v>0.8</v>
      </c>
      <c r="S17" s="1031">
        <v>1</v>
      </c>
      <c r="T17" s="1031">
        <v>0.8</v>
      </c>
      <c r="U17" s="1050">
        <v>0.82599999999999996</v>
      </c>
      <c r="V17" s="321">
        <f>AVERAGE(P17,R17,T17)</f>
        <v>0.80000000000000016</v>
      </c>
      <c r="W17" s="321">
        <f>IFERROR(AVERAGE(Q17,S17,U17),0)</f>
        <v>0.8753333333333333</v>
      </c>
      <c r="X17" s="1031">
        <v>0.8</v>
      </c>
      <c r="Y17" s="995"/>
      <c r="Z17" s="1031">
        <v>0.8</v>
      </c>
      <c r="AA17" s="995"/>
      <c r="AB17" s="1031">
        <v>0.8</v>
      </c>
      <c r="AC17" s="995"/>
      <c r="AD17" s="321">
        <f>AVERAGE(X17,Z17,AB17)</f>
        <v>0.80000000000000016</v>
      </c>
      <c r="AE17" s="321">
        <f>IFERROR(AVERAGE(Y17,AA17,AC17),0)</f>
        <v>0</v>
      </c>
      <c r="AF17" s="1031">
        <v>0.8</v>
      </c>
      <c r="AG17" s="1064">
        <v>0</v>
      </c>
      <c r="AH17" s="1031">
        <v>0.8</v>
      </c>
      <c r="AI17" s="1064">
        <v>0</v>
      </c>
      <c r="AJ17" s="1031">
        <v>0.8</v>
      </c>
      <c r="AK17" s="1064">
        <v>0</v>
      </c>
      <c r="AL17" s="321">
        <f>AVERAGE(AF17,AH17,AJ17)</f>
        <v>0.80000000000000016</v>
      </c>
      <c r="AM17" s="321">
        <f>IFERROR(AVERAGE(AG17,AI17,AK17),0)</f>
        <v>0</v>
      </c>
      <c r="AN17" s="1031">
        <v>0.8</v>
      </c>
      <c r="AO17" s="1064">
        <v>0</v>
      </c>
      <c r="AP17" s="1031">
        <v>0.8</v>
      </c>
      <c r="AQ17" s="1064">
        <v>0</v>
      </c>
      <c r="AR17" s="1031">
        <v>0.8</v>
      </c>
      <c r="AS17" s="1064">
        <v>0</v>
      </c>
      <c r="AT17" s="321">
        <f>AVERAGE(AN17,AP17,AR17)</f>
        <v>0.80000000000000016</v>
      </c>
      <c r="AU17" s="321">
        <f>IFERROR(AVERAGE(AO17,AQ17,AS17),0)</f>
        <v>0</v>
      </c>
      <c r="AV17" s="321">
        <f>AVERAGE(P17,R17,T17,X17,Z17,AB17,AF17,AH17,AJ17,AN17,AP17,AR17)</f>
        <v>0.79999999999999993</v>
      </c>
      <c r="AW17" s="307">
        <f>IFERROR(IF(OR($AV$17="",$AV$17=0),0,ROUNDDOWN(AVERAGE($Q17,$S17,$U17),3)),0)</f>
        <v>0.875</v>
      </c>
      <c r="AX17" s="1057">
        <f>IFERROR(IF(OR($AV$17="",$AV$17=0),0,ROUNDDOWN(AVERAGE($Q17,$S17,$U17,$Y17,$AA17,$AC17),3)),0)</f>
        <v>0.875</v>
      </c>
      <c r="AY17" s="1057">
        <f>IFERROR(IF(OR($AV$17="",$AV$17=0),0,ROUNDDOWN(AVERAGE($Q17,$S17,$U17,$Y17,$AA17,$AC17,$AG17,$AI17,$AK17),3)),0)</f>
        <v>0.437</v>
      </c>
      <c r="AZ17" s="1057">
        <f>IFERROR(IF(OR($AV$17="",$AV$17=0),0,ROUNDDOWN(AVERAGE($Q17,$S17,$U17,$Y17,$AA17,$AC17,$AG17,$AI17,$AK17,$AO17,$AQ17,$AS17),3)),0)</f>
        <v>0.29099999999999998</v>
      </c>
      <c r="BA17" s="341">
        <f>(IF(AND(AW17&gt;0,$AV17&gt;0),AW17/$AV17,0))*0.25</f>
        <v>0.2734375</v>
      </c>
      <c r="BB17" s="341">
        <f>(IF(AND(AX17&gt;0,$AV17&gt;0),AX17/$AV17,0))*0.5</f>
        <v>0.546875</v>
      </c>
      <c r="BC17" s="341">
        <f>(IF(AND(AY17&gt;0,$AV17&gt;0),AY17/$AV17,0))*0.75</f>
        <v>0.40968749999999998</v>
      </c>
      <c r="BD17" s="341">
        <f>(IF(AND(AZ17&gt;0,$AV17&gt;0),AZ17/$AV17,0))*1</f>
        <v>0.36375000000000002</v>
      </c>
      <c r="BE17" s="346">
        <f>((IF(AND(AW17&gt;0,$F17&gt;0),AW17/$F17,0))*0.25)*0.25</f>
        <v>6.8359375E-2</v>
      </c>
      <c r="BF17" s="1056">
        <f>((IF(AND(AX17&gt;0,$F17&gt;0),AX17/$F17,0))/4)*0.5</f>
        <v>0.13671875</v>
      </c>
      <c r="BG17" s="1056">
        <f>((IF(AND(AY17&gt;0,$F17&gt;0),AY17/$F17,0))/4)*0.75</f>
        <v>0.102421875</v>
      </c>
      <c r="BH17" s="1056">
        <f>((IF(AND(AZ17&gt;0,$F17&gt;0),AZ17/$F17,0))/4)</f>
        <v>9.0937499999999991E-2</v>
      </c>
    </row>
    <row r="18" spans="2:60" ht="171.6" customHeight="1">
      <c r="B18" s="1494"/>
      <c r="C18" s="1494"/>
      <c r="D18" s="31" t="str">
        <f>+'01-FR-03 POA INSTITUCIONAL'!D77</f>
        <v>4.4.9 Realizar 100 actividades de diseño, actualización o ajuste de los instrumentos archivísticos establecidos por norma.</v>
      </c>
      <c r="E18" s="52">
        <f>+'01-FR-03 POA INSTITUCIONAL'!E77</f>
        <v>0.05</v>
      </c>
      <c r="F18" s="330">
        <f>+'01-FR-03 POA INSTITUCIONAL'!F77</f>
        <v>100</v>
      </c>
      <c r="G18" s="296">
        <f>+'01-FR-03 POA INSTITUCIONAL'!L77</f>
        <v>25</v>
      </c>
      <c r="H18" s="140">
        <f>+'01-FR-03 POA INSTITUCIONAL'!G77</f>
        <v>32</v>
      </c>
      <c r="I18" s="140" t="str">
        <f>+'01-FR-03 POA INSTITUCIONAL'!H77</f>
        <v>Cantidad de actividades realizadas por año para el diseño, actualización o ajuste de los instrumentos archivísticos establecidos por norma</v>
      </c>
      <c r="J18" s="140" t="s">
        <v>504</v>
      </c>
      <c r="K18" s="246" t="s">
        <v>505</v>
      </c>
      <c r="L18" s="217" t="s">
        <v>506</v>
      </c>
      <c r="M18" s="217" t="s">
        <v>499</v>
      </c>
      <c r="N18" s="236" t="s">
        <v>507</v>
      </c>
      <c r="O18" s="82" t="str">
        <f>+'01-FR-03 POA INSTITUCIONAL'!J77</f>
        <v xml:space="preserve">Subdirección de Gestión Documental y Recursos Físicos </v>
      </c>
      <c r="P18" s="995">
        <v>1</v>
      </c>
      <c r="Q18" s="995">
        <v>2</v>
      </c>
      <c r="R18" s="995">
        <v>2</v>
      </c>
      <c r="S18" s="995">
        <v>2</v>
      </c>
      <c r="T18" s="995">
        <v>2</v>
      </c>
      <c r="U18" s="995">
        <v>2</v>
      </c>
      <c r="V18" s="91">
        <f t="shared" ref="V18:W19" si="0">P18+R18+T18</f>
        <v>5</v>
      </c>
      <c r="W18" s="91">
        <f t="shared" si="0"/>
        <v>6</v>
      </c>
      <c r="X18" s="995">
        <v>2</v>
      </c>
      <c r="Y18" s="995"/>
      <c r="Z18" s="995">
        <v>3</v>
      </c>
      <c r="AA18" s="995"/>
      <c r="AB18" s="995">
        <v>2</v>
      </c>
      <c r="AC18" s="995"/>
      <c r="AD18" s="91">
        <f t="shared" ref="AD18:AE19" si="1">X18+Z18+AB18</f>
        <v>7</v>
      </c>
      <c r="AE18" s="91">
        <f t="shared" si="1"/>
        <v>0</v>
      </c>
      <c r="AF18" s="995">
        <v>2</v>
      </c>
      <c r="AG18" s="995"/>
      <c r="AH18" s="995">
        <v>3</v>
      </c>
      <c r="AI18" s="995"/>
      <c r="AJ18" s="998">
        <v>2</v>
      </c>
      <c r="AK18" s="998"/>
      <c r="AL18" s="91">
        <f t="shared" ref="AL18:AM19" si="2">AF18+AH18+AJ18</f>
        <v>7</v>
      </c>
      <c r="AM18" s="91">
        <f t="shared" si="2"/>
        <v>0</v>
      </c>
      <c r="AN18" s="995">
        <v>3</v>
      </c>
      <c r="AO18" s="995"/>
      <c r="AP18" s="995">
        <v>2</v>
      </c>
      <c r="AQ18" s="995"/>
      <c r="AR18" s="995">
        <v>1</v>
      </c>
      <c r="AS18" s="995"/>
      <c r="AT18" s="91">
        <f t="shared" ref="AT18:AU19" si="3">AN18+AP18+AR18</f>
        <v>6</v>
      </c>
      <c r="AU18" s="91">
        <f t="shared" si="3"/>
        <v>0</v>
      </c>
      <c r="AV18" s="237">
        <f t="shared" ref="AV18:AV19" si="4">V18+AD18+AL18+AT18</f>
        <v>25</v>
      </c>
      <c r="AW18" s="81">
        <f t="shared" ref="AW18:AW19" si="5">+W18</f>
        <v>6</v>
      </c>
      <c r="AX18" s="1053">
        <f t="shared" ref="AX18:AX19" si="6">+W18+AE18</f>
        <v>6</v>
      </c>
      <c r="AY18" s="1053">
        <f t="shared" ref="AY18:AY19" si="7">+W18+AE18+AM18</f>
        <v>6</v>
      </c>
      <c r="AZ18" s="1053">
        <f t="shared" ref="AZ18:AZ19" si="8">+W18+AE18+AM18+AU18</f>
        <v>6</v>
      </c>
      <c r="BA18" s="319">
        <f t="shared" ref="BA18:BA19" si="9">IF(AND(AW18&gt;0,AV18&gt;0),AW18/AV18,0)</f>
        <v>0.24</v>
      </c>
      <c r="BB18" s="319">
        <f t="shared" ref="BB18:BD19" si="10">IF(AND(AX18&gt;0,$AV18&gt;0),AX18/$AV18,0)</f>
        <v>0.24</v>
      </c>
      <c r="BC18" s="319">
        <f t="shared" si="10"/>
        <v>0.24</v>
      </c>
      <c r="BD18" s="319">
        <f t="shared" si="10"/>
        <v>0.24</v>
      </c>
      <c r="BE18" s="346">
        <f>(IF(AND(AW18&gt;0,$F18&gt;0),AW18/$F18,0))</f>
        <v>0.06</v>
      </c>
      <c r="BF18" s="1056">
        <f t="shared" ref="BF18:BH18" si="11">(IF(AND(AX18&gt;0,$F18&gt;0),AX18/$F18,0))</f>
        <v>0.06</v>
      </c>
      <c r="BG18" s="1056">
        <f t="shared" si="11"/>
        <v>0.06</v>
      </c>
      <c r="BH18" s="1056">
        <f t="shared" si="11"/>
        <v>0.06</v>
      </c>
    </row>
    <row r="19" spans="2:60" ht="240">
      <c r="B19" s="1495"/>
      <c r="C19" s="1495"/>
      <c r="D19" s="31" t="str">
        <f>+'01-FR-03 POA INSTITUCIONAL'!D78</f>
        <v>4.4.10 Realizar 100 actividades de implementación de los instrumentos archivísticos establecidos por norma, y de las herramientas de apoyo a la gestión documental.</v>
      </c>
      <c r="E19" s="52">
        <f>+'01-FR-03 POA INSTITUCIONAL'!E78</f>
        <v>0.05</v>
      </c>
      <c r="F19" s="330">
        <f>+'01-FR-03 POA INSTITUCIONAL'!F78</f>
        <v>100</v>
      </c>
      <c r="G19" s="296">
        <f>+'01-FR-03 POA INSTITUCIONAL'!L78</f>
        <v>25</v>
      </c>
      <c r="H19" s="140">
        <f>+'01-FR-03 POA INSTITUCIONAL'!G78</f>
        <v>26</v>
      </c>
      <c r="I19" s="140" t="str">
        <f>+'01-FR-03 POA INSTITUCIONAL'!H78</f>
        <v>Cantidad de actividades realizadas por año para implementación de los instrumentos archivísticos establecidos por norma, y de herramientas de apoyo a la gestión documental.</v>
      </c>
      <c r="J19" s="140" t="s">
        <v>508</v>
      </c>
      <c r="K19" s="246" t="s">
        <v>509</v>
      </c>
      <c r="L19" s="217" t="s">
        <v>510</v>
      </c>
      <c r="M19" s="217" t="s">
        <v>511</v>
      </c>
      <c r="N19" s="236" t="s">
        <v>512</v>
      </c>
      <c r="O19" s="82" t="str">
        <f>+'01-FR-03 POA INSTITUCIONAL'!J78</f>
        <v>Subdirección de Gestión Documental y Recursos Físicos
Dirección de Tecnologías de la Información y Comunicaciones</v>
      </c>
      <c r="P19" s="995">
        <v>1</v>
      </c>
      <c r="Q19" s="995">
        <v>1</v>
      </c>
      <c r="R19" s="995">
        <v>2</v>
      </c>
      <c r="S19" s="995">
        <v>2</v>
      </c>
      <c r="T19" s="995">
        <v>2</v>
      </c>
      <c r="U19" s="995">
        <v>2</v>
      </c>
      <c r="V19" s="91">
        <f t="shared" si="0"/>
        <v>5</v>
      </c>
      <c r="W19" s="91">
        <f t="shared" si="0"/>
        <v>5</v>
      </c>
      <c r="X19" s="995">
        <v>2</v>
      </c>
      <c r="Y19" s="995"/>
      <c r="Z19" s="995">
        <v>3</v>
      </c>
      <c r="AA19" s="995"/>
      <c r="AB19" s="995">
        <v>2</v>
      </c>
      <c r="AC19" s="995"/>
      <c r="AD19" s="91">
        <f t="shared" si="1"/>
        <v>7</v>
      </c>
      <c r="AE19" s="91">
        <f t="shared" si="1"/>
        <v>0</v>
      </c>
      <c r="AF19" s="995">
        <v>2</v>
      </c>
      <c r="AG19" s="995"/>
      <c r="AH19" s="995">
        <v>3</v>
      </c>
      <c r="AI19" s="995"/>
      <c r="AJ19" s="998">
        <v>2</v>
      </c>
      <c r="AK19" s="998"/>
      <c r="AL19" s="91">
        <f t="shared" si="2"/>
        <v>7</v>
      </c>
      <c r="AM19" s="91">
        <f t="shared" si="2"/>
        <v>0</v>
      </c>
      <c r="AN19" s="995">
        <v>3</v>
      </c>
      <c r="AO19" s="995"/>
      <c r="AP19" s="995">
        <v>2</v>
      </c>
      <c r="AQ19" s="995"/>
      <c r="AR19" s="995">
        <v>1</v>
      </c>
      <c r="AS19" s="995"/>
      <c r="AT19" s="91">
        <f t="shared" si="3"/>
        <v>6</v>
      </c>
      <c r="AU19" s="91">
        <f t="shared" si="3"/>
        <v>0</v>
      </c>
      <c r="AV19" s="237">
        <f t="shared" si="4"/>
        <v>25</v>
      </c>
      <c r="AW19" s="81">
        <f t="shared" si="5"/>
        <v>5</v>
      </c>
      <c r="AX19" s="1053">
        <f t="shared" si="6"/>
        <v>5</v>
      </c>
      <c r="AY19" s="1053">
        <f t="shared" si="7"/>
        <v>5</v>
      </c>
      <c r="AZ19" s="1053">
        <f t="shared" si="8"/>
        <v>5</v>
      </c>
      <c r="BA19" s="319">
        <f t="shared" si="9"/>
        <v>0.2</v>
      </c>
      <c r="BB19" s="319">
        <f t="shared" si="10"/>
        <v>0.2</v>
      </c>
      <c r="BC19" s="319">
        <f t="shared" si="10"/>
        <v>0.2</v>
      </c>
      <c r="BD19" s="319">
        <f t="shared" si="10"/>
        <v>0.2</v>
      </c>
      <c r="BE19" s="346">
        <f>(IF(AND(AW19&gt;0,$F19&gt;0),AW19/$F19,0))</f>
        <v>0.05</v>
      </c>
      <c r="BF19" s="1056">
        <f t="shared" ref="BF19" si="12">(IF(AND(AX19&gt;0,$F19&gt;0),AX19/$F19,0))</f>
        <v>0.05</v>
      </c>
      <c r="BG19" s="1056">
        <f t="shared" ref="BG19" si="13">(IF(AND(AY19&gt;0,$F19&gt;0),AY19/$F19,0))</f>
        <v>0.05</v>
      </c>
      <c r="BH19" s="1056">
        <f t="shared" ref="BH19" si="14">(IF(AND(AZ19&gt;0,$F19&gt;0),AZ19/$F19,0))</f>
        <v>0.05</v>
      </c>
    </row>
    <row r="20" spans="2:60" ht="22.8">
      <c r="B20" s="1560"/>
      <c r="C20" s="1561"/>
      <c r="D20" s="1561"/>
      <c r="E20" s="1561"/>
      <c r="F20" s="1561"/>
      <c r="G20" s="1561"/>
      <c r="H20" s="1561"/>
      <c r="I20" s="1561"/>
      <c r="J20" s="1561"/>
      <c r="K20" s="1561"/>
      <c r="L20" s="1561"/>
      <c r="M20" s="1561"/>
      <c r="N20" s="1561"/>
      <c r="O20" s="1561"/>
      <c r="P20" s="1561"/>
      <c r="Q20" s="1561"/>
      <c r="R20" s="1561"/>
      <c r="S20" s="1561"/>
      <c r="T20" s="1561"/>
      <c r="U20" s="1561"/>
      <c r="V20" s="1561"/>
      <c r="W20" s="1561"/>
      <c r="X20" s="1561"/>
      <c r="Y20" s="1561"/>
      <c r="Z20" s="1561"/>
      <c r="AA20" s="1561"/>
      <c r="AB20" s="1561"/>
      <c r="AC20" s="1561"/>
      <c r="AD20" s="1561"/>
      <c r="AE20" s="1561"/>
      <c r="AF20" s="1561"/>
      <c r="AG20" s="1561"/>
      <c r="AH20" s="1561"/>
      <c r="AI20" s="1561"/>
      <c r="AJ20" s="1561"/>
      <c r="AK20" s="1561"/>
      <c r="AL20" s="1561"/>
      <c r="AM20" s="1561"/>
      <c r="AN20" s="1561"/>
      <c r="AO20" s="1561"/>
      <c r="AP20" s="1561"/>
      <c r="AQ20" s="1561"/>
      <c r="AR20" s="1561"/>
      <c r="AS20" s="1561"/>
      <c r="AT20" s="1561"/>
      <c r="AU20" s="1561"/>
      <c r="AV20" s="1561"/>
      <c r="AW20" s="1644"/>
      <c r="AX20" s="1614" t="s">
        <v>19</v>
      </c>
      <c r="AY20" s="1642"/>
      <c r="AZ20" s="1642"/>
      <c r="BA20" s="70">
        <f t="shared" ref="BA20:BD20" si="15">AVERAGE(BA16:BA19)</f>
        <v>0.24316200657894738</v>
      </c>
      <c r="BB20" s="70">
        <f t="shared" si="15"/>
        <v>0.37632401315789477</v>
      </c>
      <c r="BC20" s="70">
        <f t="shared" si="15"/>
        <v>0.30952713815789473</v>
      </c>
      <c r="BD20" s="70">
        <f t="shared" si="15"/>
        <v>0.28725328947368423</v>
      </c>
      <c r="BE20" s="1652"/>
      <c r="BF20" s="1653"/>
      <c r="BG20" s="1653"/>
      <c r="BH20" s="1654"/>
    </row>
    <row r="21" spans="2:60">
      <c r="B21" s="1553"/>
      <c r="C21" s="1553"/>
      <c r="D21" s="1553"/>
      <c r="E21" s="1553"/>
      <c r="F21" s="1553"/>
      <c r="G21" s="1553"/>
      <c r="H21" s="239"/>
      <c r="I21" s="240"/>
      <c r="J21" s="240"/>
      <c r="K21" s="240"/>
      <c r="L21" s="240"/>
      <c r="M21" s="240"/>
      <c r="N21" s="240"/>
      <c r="O21" s="240"/>
    </row>
    <row r="22" spans="2:60">
      <c r="B22" s="240"/>
      <c r="C22" s="240"/>
      <c r="D22" s="1624"/>
      <c r="E22" s="1624"/>
      <c r="F22" s="1624"/>
      <c r="G22" s="1624"/>
      <c r="H22" s="1624"/>
      <c r="I22" s="1624"/>
      <c r="J22" s="1624"/>
      <c r="K22" s="1624"/>
      <c r="L22" s="1624"/>
      <c r="M22" s="1624"/>
      <c r="N22" s="1624"/>
      <c r="O22" s="1624"/>
    </row>
    <row r="23" spans="2:60" ht="15.6">
      <c r="B23" s="77" t="s">
        <v>26</v>
      </c>
      <c r="C23" s="241">
        <v>44224</v>
      </c>
      <c r="D23" s="242"/>
      <c r="E23" s="1625" t="s">
        <v>50</v>
      </c>
      <c r="F23" s="329"/>
      <c r="G23" s="1626" t="s">
        <v>513</v>
      </c>
      <c r="H23" s="1626"/>
      <c r="I23" s="1626"/>
      <c r="J23" s="1626"/>
      <c r="K23" s="243"/>
      <c r="L23" s="1633"/>
      <c r="M23" s="1633"/>
      <c r="N23" s="1633"/>
      <c r="O23" s="1634"/>
    </row>
    <row r="24" spans="2:60" ht="15.6">
      <c r="B24" s="240"/>
      <c r="C24" s="240"/>
      <c r="D24" s="243"/>
      <c r="E24" s="1625"/>
      <c r="F24" s="329"/>
      <c r="G24" s="1626"/>
      <c r="H24" s="1626"/>
      <c r="I24" s="1626"/>
      <c r="J24" s="1626"/>
      <c r="K24" s="240"/>
      <c r="L24" s="240"/>
      <c r="M24" s="240"/>
      <c r="N24" s="240"/>
      <c r="O24" s="240"/>
    </row>
    <row r="25" spans="2:60" ht="15.6">
      <c r="B25" s="77" t="s">
        <v>49</v>
      </c>
      <c r="C25" s="80">
        <v>44581</v>
      </c>
      <c r="D25" s="240"/>
      <c r="E25" s="240"/>
      <c r="F25" s="240"/>
      <c r="K25" s="240"/>
      <c r="L25" s="240"/>
      <c r="M25" s="240"/>
      <c r="N25" s="240"/>
      <c r="O25" s="240"/>
    </row>
    <row r="26" spans="2:60">
      <c r="B26" s="240"/>
      <c r="C26" s="240"/>
      <c r="D26" s="240"/>
      <c r="E26" s="240"/>
      <c r="F26" s="240"/>
      <c r="K26" s="240"/>
      <c r="L26" s="240"/>
      <c r="M26" s="240"/>
      <c r="N26" s="240"/>
      <c r="O26" s="240"/>
    </row>
    <row r="27" spans="2:60">
      <c r="B27" s="1752" t="s">
        <v>924</v>
      </c>
      <c r="C27" s="1752"/>
      <c r="D27" s="1752"/>
      <c r="E27" s="1752"/>
      <c r="F27" s="1752"/>
      <c r="G27" s="1752"/>
      <c r="H27" s="239"/>
      <c r="I27" s="1632"/>
      <c r="J27" s="1632"/>
      <c r="K27" s="1632"/>
      <c r="L27" s="1632"/>
      <c r="M27" s="244"/>
      <c r="N27" s="244"/>
      <c r="O27" s="244"/>
    </row>
    <row r="28" spans="2:60">
      <c r="B28" s="240"/>
      <c r="C28" s="240"/>
      <c r="D28" s="240"/>
      <c r="E28" s="240"/>
      <c r="F28" s="240"/>
      <c r="G28" s="239"/>
      <c r="H28" s="239"/>
      <c r="I28" s="240"/>
      <c r="J28" s="240"/>
      <c r="K28" s="245"/>
      <c r="L28" s="240"/>
      <c r="M28" s="240"/>
      <c r="N28" s="240"/>
      <c r="O28" s="240"/>
    </row>
    <row r="29" spans="2:60">
      <c r="B29" s="240"/>
      <c r="C29" s="240"/>
      <c r="D29" s="240"/>
      <c r="E29" s="240"/>
      <c r="F29" s="240"/>
      <c r="G29" s="239"/>
      <c r="H29" s="239"/>
      <c r="I29" s="1632"/>
      <c r="J29" s="1632"/>
      <c r="K29" s="1632"/>
      <c r="L29" s="1632"/>
      <c r="M29" s="244"/>
      <c r="N29" s="244"/>
      <c r="O29" s="244"/>
    </row>
    <row r="30" spans="2:60">
      <c r="B30" s="240"/>
      <c r="C30" s="240"/>
      <c r="D30" s="240"/>
      <c r="E30" s="240"/>
      <c r="F30" s="240"/>
      <c r="G30" s="239"/>
      <c r="H30" s="239"/>
      <c r="I30" s="240"/>
      <c r="J30" s="240"/>
      <c r="K30" s="245"/>
      <c r="L30" s="240"/>
      <c r="M30" s="240"/>
      <c r="N30" s="240"/>
      <c r="O30" s="240"/>
    </row>
    <row r="31" spans="2:60">
      <c r="B31" s="240"/>
      <c r="C31" s="240"/>
      <c r="D31" s="240"/>
      <c r="E31" s="240"/>
      <c r="F31" s="240"/>
      <c r="G31" s="239"/>
      <c r="H31" s="239"/>
      <c r="I31" s="1632"/>
      <c r="J31" s="1632"/>
      <c r="K31" s="1632"/>
      <c r="L31" s="1632"/>
      <c r="M31" s="244"/>
      <c r="N31" s="244"/>
      <c r="O31" s="244"/>
    </row>
  </sheetData>
  <sheetProtection algorithmName="SHA-512" hashValue="8pNfDCSiDR9u5w2uvyALqo5BcRnL9Q4lTSJmPRccLs7eWI+LOXfWcZ1Gva52zFHg30OXcAyvw1y1EzseyafP7Q==" saltValue="BceSIXWxTZmuFAYaD6tXKw==" spinCount="100000" sheet="1" objects="1" scenarios="1"/>
  <mergeCells count="72">
    <mergeCell ref="F12:F15"/>
    <mergeCell ref="C9:D9"/>
    <mergeCell ref="B2:B6"/>
    <mergeCell ref="C2:BF6"/>
    <mergeCell ref="BG6:BH6"/>
    <mergeCell ref="AW7:BA7"/>
    <mergeCell ref="C8:D8"/>
    <mergeCell ref="BA12:BD12"/>
    <mergeCell ref="BB13:BB15"/>
    <mergeCell ref="BC13:BC15"/>
    <mergeCell ref="C10:D10"/>
    <mergeCell ref="B12:B15"/>
    <mergeCell ref="C12:C15"/>
    <mergeCell ref="D12:D15"/>
    <mergeCell ref="E12:E15"/>
    <mergeCell ref="G12:G15"/>
    <mergeCell ref="AN14:AO14"/>
    <mergeCell ref="N12:N15"/>
    <mergeCell ref="O12:O15"/>
    <mergeCell ref="H12:H15"/>
    <mergeCell ref="I12:I15"/>
    <mergeCell ref="J12:J15"/>
    <mergeCell ref="AD14:AE14"/>
    <mergeCell ref="AF14:AG14"/>
    <mergeCell ref="AH14:AI14"/>
    <mergeCell ref="K12:K15"/>
    <mergeCell ref="L12:L15"/>
    <mergeCell ref="M12:M15"/>
    <mergeCell ref="BG13:BG15"/>
    <mergeCell ref="BH13:BH15"/>
    <mergeCell ref="P14:Q14"/>
    <mergeCell ref="R14:S14"/>
    <mergeCell ref="T14:U14"/>
    <mergeCell ref="V14:W14"/>
    <mergeCell ref="X14:Y14"/>
    <mergeCell ref="Z14:AA14"/>
    <mergeCell ref="BD13:BD15"/>
    <mergeCell ref="AB14:AC14"/>
    <mergeCell ref="AP14:AQ14"/>
    <mergeCell ref="AR14:AS14"/>
    <mergeCell ref="AT14:AU14"/>
    <mergeCell ref="AJ14:AK14"/>
    <mergeCell ref="P13:W13"/>
    <mergeCell ref="X13:AE13"/>
    <mergeCell ref="B16:B19"/>
    <mergeCell ref="C16:C19"/>
    <mergeCell ref="BE13:BE15"/>
    <mergeCell ref="BF13:BF15"/>
    <mergeCell ref="BE12:BH12"/>
    <mergeCell ref="AF13:AM13"/>
    <mergeCell ref="AN13:AU13"/>
    <mergeCell ref="AW13:AW15"/>
    <mergeCell ref="AX13:AX15"/>
    <mergeCell ref="AY13:AY15"/>
    <mergeCell ref="AZ13:AZ15"/>
    <mergeCell ref="BA13:BA15"/>
    <mergeCell ref="P12:AU12"/>
    <mergeCell ref="AV12:AV15"/>
    <mergeCell ref="AW12:AZ12"/>
    <mergeCell ref="AL14:AM14"/>
    <mergeCell ref="BE20:BH20"/>
    <mergeCell ref="I29:L29"/>
    <mergeCell ref="I31:L31"/>
    <mergeCell ref="B21:G21"/>
    <mergeCell ref="AX20:AZ20"/>
    <mergeCell ref="D22:O22"/>
    <mergeCell ref="E23:E24"/>
    <mergeCell ref="G23:J24"/>
    <mergeCell ref="L23:O23"/>
    <mergeCell ref="I27:L27"/>
    <mergeCell ref="B20:AW20"/>
    <mergeCell ref="B27:G27"/>
  </mergeCells>
  <conditionalFormatting sqref="BA16:BD19">
    <cfRule type="cellIs" dxfId="18" priority="5" operator="greaterThan">
      <formula>1</formula>
    </cfRule>
    <cfRule type="cellIs" dxfId="17" priority="6" operator="between">
      <formula>0.8</formula>
      <formula>1</formula>
    </cfRule>
    <cfRule type="cellIs" dxfId="16" priority="7" operator="between">
      <formula>0.61</formula>
      <formula>0.79</formula>
    </cfRule>
    <cfRule type="cellIs" dxfId="15" priority="8" operator="between">
      <formula>0</formula>
      <formula>0.6</formula>
    </cfRule>
  </conditionalFormatting>
  <dataValidations count="1">
    <dataValidation allowBlank="1" showInputMessage="1" showErrorMessage="1" prompt="Transcriba de manera exacta el objetivo definido en la caracterización del proceso." sqref="C9:D9" xr:uid="{AB955E36-E472-4787-9142-D48752E74E1C}"/>
  </dataValidation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A89B7-1543-4B75-B529-6746382EAAB1}">
  <sheetPr>
    <tabColor rgb="FF66FF33"/>
  </sheetPr>
  <dimension ref="A1:BH32"/>
  <sheetViews>
    <sheetView showGridLines="0" zoomScale="70" zoomScaleNormal="70" workbookViewId="0">
      <selection activeCell="C10" sqref="C10:D10"/>
    </sheetView>
  </sheetViews>
  <sheetFormatPr baseColWidth="10" defaultColWidth="17.33203125" defaultRowHeight="15" customHeight="1"/>
  <cols>
    <col min="1" max="1" width="4.33203125" style="135" customWidth="1"/>
    <col min="2" max="2" width="50.44140625" style="133" customWidth="1"/>
    <col min="3" max="3" width="31.44140625" style="133" customWidth="1"/>
    <col min="4" max="4" width="49.6640625" style="133" customWidth="1"/>
    <col min="5" max="6" width="27.5546875" style="133" customWidth="1"/>
    <col min="7" max="8" width="29.33203125" style="134" customWidth="1"/>
    <col min="9" max="9" width="31" style="133" customWidth="1"/>
    <col min="10" max="10" width="46.44140625" style="133" customWidth="1"/>
    <col min="11" max="11" width="55.88671875" style="133" customWidth="1"/>
    <col min="12" max="12" width="48.44140625" style="133" customWidth="1"/>
    <col min="13" max="14" width="28.5546875" style="133" customWidth="1"/>
    <col min="15" max="15" width="50" style="133" customWidth="1"/>
    <col min="16" max="47" width="15.88671875" style="135" customWidth="1"/>
    <col min="48" max="48" width="24.5546875" style="135" customWidth="1"/>
    <col min="49" max="49" width="22.88671875" style="135" customWidth="1"/>
    <col min="50" max="50" width="19.33203125" style="135" customWidth="1"/>
    <col min="51" max="51" width="18.44140625" style="135" customWidth="1"/>
    <col min="52" max="52" width="19.44140625" style="135" customWidth="1"/>
    <col min="53" max="53" width="23.33203125" style="135" customWidth="1"/>
    <col min="54" max="55" width="25.109375" style="135" customWidth="1"/>
    <col min="56" max="56" width="26.6640625" style="135" customWidth="1"/>
    <col min="57" max="57" width="26.33203125" style="135" customWidth="1"/>
    <col min="58" max="58" width="26.5546875" style="135" customWidth="1"/>
    <col min="59" max="59" width="26.33203125" style="135" customWidth="1"/>
    <col min="60" max="60" width="27.33203125" style="135" customWidth="1"/>
    <col min="61" max="16384" width="17.33203125" style="135"/>
  </cols>
  <sheetData>
    <row r="1" spans="1:60" ht="15.6" thickBot="1"/>
    <row r="2" spans="1:60" ht="15.6" customHeight="1">
      <c r="B2" s="1575" t="s">
        <v>686</v>
      </c>
      <c r="C2" s="1600" t="s">
        <v>118</v>
      </c>
      <c r="D2" s="1601"/>
      <c r="E2" s="1601"/>
      <c r="F2" s="1601"/>
      <c r="G2" s="1601"/>
      <c r="H2" s="1601"/>
      <c r="I2" s="1601"/>
      <c r="J2" s="1601"/>
      <c r="K2" s="1601"/>
      <c r="L2" s="1601"/>
      <c r="M2" s="1601"/>
      <c r="N2" s="1601"/>
      <c r="O2" s="1601"/>
      <c r="P2" s="1601"/>
      <c r="Q2" s="1601"/>
      <c r="R2" s="1601"/>
      <c r="S2" s="1601"/>
      <c r="T2" s="1601"/>
      <c r="U2" s="1601"/>
      <c r="V2" s="1601"/>
      <c r="W2" s="1601"/>
      <c r="X2" s="1601"/>
      <c r="Y2" s="1601"/>
      <c r="Z2" s="1601"/>
      <c r="AA2" s="1601"/>
      <c r="AB2" s="1601"/>
      <c r="AC2" s="1601"/>
      <c r="AD2" s="1601"/>
      <c r="AE2" s="1601"/>
      <c r="AF2" s="1601"/>
      <c r="AG2" s="1601"/>
      <c r="AH2" s="1601"/>
      <c r="AI2" s="1601"/>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2"/>
      <c r="BG2" s="230" t="s">
        <v>31</v>
      </c>
      <c r="BH2" s="231"/>
    </row>
    <row r="3" spans="1:60" ht="15.6" customHeight="1">
      <c r="B3" s="1576"/>
      <c r="C3" s="1603"/>
      <c r="D3" s="1604"/>
      <c r="E3" s="1604"/>
      <c r="F3" s="1604"/>
      <c r="G3" s="1604"/>
      <c r="H3" s="1604"/>
      <c r="I3" s="1604"/>
      <c r="J3" s="1604"/>
      <c r="K3" s="1604"/>
      <c r="L3" s="1604"/>
      <c r="M3" s="1604"/>
      <c r="N3" s="1604"/>
      <c r="O3" s="1604"/>
      <c r="P3" s="1604"/>
      <c r="Q3" s="1604"/>
      <c r="R3" s="1604"/>
      <c r="S3" s="1604"/>
      <c r="T3" s="1604"/>
      <c r="U3" s="1604"/>
      <c r="V3" s="1604"/>
      <c r="W3" s="1604"/>
      <c r="X3" s="1604"/>
      <c r="Y3" s="1604"/>
      <c r="Z3" s="1604"/>
      <c r="AA3" s="1604"/>
      <c r="AB3" s="1604"/>
      <c r="AC3" s="1604"/>
      <c r="AD3" s="1604"/>
      <c r="AE3" s="1604"/>
      <c r="AF3" s="1604"/>
      <c r="AG3" s="1604"/>
      <c r="AH3" s="1604"/>
      <c r="AI3" s="1604"/>
      <c r="AJ3" s="1604"/>
      <c r="AK3" s="1604"/>
      <c r="AL3" s="1604"/>
      <c r="AM3" s="1604"/>
      <c r="AN3" s="1604"/>
      <c r="AO3" s="1604"/>
      <c r="AP3" s="1604"/>
      <c r="AQ3" s="1604"/>
      <c r="AR3" s="1604"/>
      <c r="AS3" s="1604"/>
      <c r="AT3" s="1604"/>
      <c r="AU3" s="1604"/>
      <c r="AV3" s="1604"/>
      <c r="AW3" s="1604"/>
      <c r="AX3" s="1604"/>
      <c r="AY3" s="1604"/>
      <c r="AZ3" s="1604"/>
      <c r="BA3" s="1604"/>
      <c r="BB3" s="1604"/>
      <c r="BC3" s="1604"/>
      <c r="BD3" s="1604"/>
      <c r="BE3" s="1604"/>
      <c r="BF3" s="1605"/>
      <c r="BG3" s="209" t="s">
        <v>28</v>
      </c>
      <c r="BH3" s="28" t="s">
        <v>29</v>
      </c>
    </row>
    <row r="4" spans="1:60" ht="15" customHeight="1">
      <c r="B4" s="1576"/>
      <c r="C4" s="1603"/>
      <c r="D4" s="1604"/>
      <c r="E4" s="1604"/>
      <c r="F4" s="1604"/>
      <c r="G4" s="1604"/>
      <c r="H4" s="1604"/>
      <c r="I4" s="1604"/>
      <c r="J4" s="1604"/>
      <c r="K4" s="1604"/>
      <c r="L4" s="1604"/>
      <c r="M4" s="1604"/>
      <c r="N4" s="1604"/>
      <c r="O4" s="1604"/>
      <c r="P4" s="1604"/>
      <c r="Q4" s="1604"/>
      <c r="R4" s="1604"/>
      <c r="S4" s="1604"/>
      <c r="T4" s="1604"/>
      <c r="U4" s="1604"/>
      <c r="V4" s="1604"/>
      <c r="W4" s="1604"/>
      <c r="X4" s="1604"/>
      <c r="Y4" s="1604"/>
      <c r="Z4" s="1604"/>
      <c r="AA4" s="1604"/>
      <c r="AB4" s="1604"/>
      <c r="AC4" s="1604"/>
      <c r="AD4" s="1604"/>
      <c r="AE4" s="1604"/>
      <c r="AF4" s="1604"/>
      <c r="AG4" s="1604"/>
      <c r="AH4" s="1604"/>
      <c r="AI4" s="1604"/>
      <c r="AJ4" s="1604"/>
      <c r="AK4" s="1604"/>
      <c r="AL4" s="1604"/>
      <c r="AM4" s="1604"/>
      <c r="AN4" s="1604"/>
      <c r="AO4" s="1604"/>
      <c r="AP4" s="1604"/>
      <c r="AQ4" s="1604"/>
      <c r="AR4" s="1604"/>
      <c r="AS4" s="1604"/>
      <c r="AT4" s="1604"/>
      <c r="AU4" s="1604"/>
      <c r="AV4" s="1604"/>
      <c r="AW4" s="1604"/>
      <c r="AX4" s="1604"/>
      <c r="AY4" s="1604"/>
      <c r="AZ4" s="1604"/>
      <c r="BA4" s="1604"/>
      <c r="BB4" s="1604"/>
      <c r="BC4" s="1604"/>
      <c r="BD4" s="1604"/>
      <c r="BE4" s="1604"/>
      <c r="BF4" s="1605"/>
      <c r="BG4" s="210">
        <v>5</v>
      </c>
      <c r="BH4" s="30" t="s">
        <v>657</v>
      </c>
    </row>
    <row r="5" spans="1:60" ht="15.6" customHeight="1">
      <c r="B5" s="1576"/>
      <c r="C5" s="1603"/>
      <c r="D5" s="1604"/>
      <c r="E5" s="1604"/>
      <c r="F5" s="1604"/>
      <c r="G5" s="1604"/>
      <c r="H5" s="1604"/>
      <c r="I5" s="1604"/>
      <c r="J5" s="1604"/>
      <c r="K5" s="1604"/>
      <c r="L5" s="1604"/>
      <c r="M5" s="1604"/>
      <c r="N5" s="1604"/>
      <c r="O5" s="1604"/>
      <c r="P5" s="1604"/>
      <c r="Q5" s="1604"/>
      <c r="R5" s="1604"/>
      <c r="S5" s="1604"/>
      <c r="T5" s="1604"/>
      <c r="U5" s="1604"/>
      <c r="V5" s="1604"/>
      <c r="W5" s="1604"/>
      <c r="X5" s="1604"/>
      <c r="Y5" s="1604"/>
      <c r="Z5" s="1604"/>
      <c r="AA5" s="1604"/>
      <c r="AB5" s="1604"/>
      <c r="AC5" s="1604"/>
      <c r="AD5" s="1604"/>
      <c r="AE5" s="1604"/>
      <c r="AF5" s="1604"/>
      <c r="AG5" s="1604"/>
      <c r="AH5" s="1604"/>
      <c r="AI5" s="1604"/>
      <c r="AJ5" s="1604"/>
      <c r="AK5" s="1604"/>
      <c r="AL5" s="1604"/>
      <c r="AM5" s="1604"/>
      <c r="AN5" s="1604"/>
      <c r="AO5" s="1604"/>
      <c r="AP5" s="1604"/>
      <c r="AQ5" s="1604"/>
      <c r="AR5" s="1604"/>
      <c r="AS5" s="1604"/>
      <c r="AT5" s="1604"/>
      <c r="AU5" s="1604"/>
      <c r="AV5" s="1604"/>
      <c r="AW5" s="1604"/>
      <c r="AX5" s="1604"/>
      <c r="AY5" s="1604"/>
      <c r="AZ5" s="1604"/>
      <c r="BA5" s="1604"/>
      <c r="BB5" s="1604"/>
      <c r="BC5" s="1604"/>
      <c r="BD5" s="1604"/>
      <c r="BE5" s="1604"/>
      <c r="BF5" s="1605"/>
      <c r="BG5" s="211" t="s">
        <v>30</v>
      </c>
      <c r="BH5" s="212"/>
    </row>
    <row r="6" spans="1:60" ht="15.6" customHeight="1" thickBot="1">
      <c r="B6" s="1577"/>
      <c r="C6" s="1606"/>
      <c r="D6" s="1607"/>
      <c r="E6" s="1607"/>
      <c r="F6" s="1607"/>
      <c r="G6" s="1607"/>
      <c r="H6" s="1607"/>
      <c r="I6" s="1607"/>
      <c r="J6" s="1607"/>
      <c r="K6" s="1607"/>
      <c r="L6" s="1607"/>
      <c r="M6" s="1607"/>
      <c r="N6" s="1607"/>
      <c r="O6" s="1607"/>
      <c r="P6" s="1607"/>
      <c r="Q6" s="1607"/>
      <c r="R6" s="1607"/>
      <c r="S6" s="1607"/>
      <c r="T6" s="1607"/>
      <c r="U6" s="1607"/>
      <c r="V6" s="1607"/>
      <c r="W6" s="1607"/>
      <c r="X6" s="1607"/>
      <c r="Y6" s="1607"/>
      <c r="Z6" s="1607"/>
      <c r="AA6" s="1607"/>
      <c r="AB6" s="1607"/>
      <c r="AC6" s="1607"/>
      <c r="AD6" s="1607"/>
      <c r="AE6" s="1607"/>
      <c r="AF6" s="1607"/>
      <c r="AG6" s="1607"/>
      <c r="AH6" s="1607"/>
      <c r="AI6" s="1607"/>
      <c r="AJ6" s="1607"/>
      <c r="AK6" s="1607"/>
      <c r="AL6" s="1607"/>
      <c r="AM6" s="1607"/>
      <c r="AN6" s="1607"/>
      <c r="AO6" s="1607"/>
      <c r="AP6" s="1607"/>
      <c r="AQ6" s="1607"/>
      <c r="AR6" s="1607"/>
      <c r="AS6" s="1607"/>
      <c r="AT6" s="1607"/>
      <c r="AU6" s="1607"/>
      <c r="AV6" s="1607"/>
      <c r="AW6" s="1607"/>
      <c r="AX6" s="1607"/>
      <c r="AY6" s="1607"/>
      <c r="AZ6" s="1607"/>
      <c r="BA6" s="1607"/>
      <c r="BB6" s="1607"/>
      <c r="BC6" s="1607"/>
      <c r="BD6" s="1607"/>
      <c r="BE6" s="1607"/>
      <c r="BF6" s="1608"/>
      <c r="BG6" s="1566">
        <v>44306</v>
      </c>
      <c r="BH6" s="1567"/>
    </row>
    <row r="7" spans="1:60">
      <c r="B7" s="136"/>
      <c r="C7" s="136"/>
      <c r="D7" s="136"/>
      <c r="E7" s="136"/>
      <c r="F7" s="136"/>
      <c r="G7" s="137"/>
      <c r="H7" s="137"/>
      <c r="I7" s="136"/>
      <c r="J7" s="136"/>
      <c r="K7" s="136"/>
      <c r="L7" s="136"/>
      <c r="M7" s="136"/>
      <c r="N7" s="136"/>
      <c r="O7" s="136"/>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589"/>
      <c r="AX7" s="1633"/>
      <c r="AY7" s="1633"/>
      <c r="AZ7" s="1633"/>
      <c r="BA7" s="1591"/>
      <c r="BB7" s="232"/>
      <c r="BC7" s="232"/>
      <c r="BD7" s="232"/>
      <c r="BE7" s="138"/>
      <c r="BF7" s="138"/>
    </row>
    <row r="8" spans="1:60" ht="21">
      <c r="B8" s="213" t="s">
        <v>45</v>
      </c>
      <c r="C8" s="1651" t="s">
        <v>96</v>
      </c>
      <c r="D8" s="1651"/>
      <c r="E8" s="214"/>
      <c r="F8" s="214"/>
      <c r="G8" s="214"/>
      <c r="H8" s="214"/>
      <c r="I8" s="214"/>
      <c r="J8" s="214"/>
      <c r="K8" s="214"/>
      <c r="L8" s="214"/>
      <c r="M8" s="214"/>
      <c r="N8" s="214"/>
      <c r="O8" s="214"/>
      <c r="AW8" s="232"/>
      <c r="AX8" s="232"/>
      <c r="AY8" s="232"/>
      <c r="AZ8" s="232"/>
      <c r="BA8" s="232"/>
      <c r="BB8" s="232"/>
      <c r="BC8" s="232"/>
      <c r="BD8" s="232"/>
    </row>
    <row r="9" spans="1:60" ht="75.75" customHeight="1">
      <c r="B9" s="213" t="s">
        <v>34</v>
      </c>
      <c r="C9" s="1732" t="s">
        <v>538</v>
      </c>
      <c r="D9" s="1611"/>
      <c r="E9" s="214"/>
      <c r="F9" s="214"/>
      <c r="G9" s="214"/>
      <c r="H9" s="214"/>
      <c r="I9" s="214"/>
      <c r="J9" s="214"/>
      <c r="K9" s="214"/>
      <c r="L9" s="214"/>
      <c r="M9" s="214"/>
      <c r="N9" s="214"/>
      <c r="O9" s="214"/>
      <c r="AW9" s="232"/>
      <c r="AX9" s="232"/>
      <c r="AY9" s="232"/>
      <c r="AZ9" s="232"/>
      <c r="BA9" s="232"/>
      <c r="BB9" s="232"/>
      <c r="BC9" s="232"/>
      <c r="BD9" s="232"/>
    </row>
    <row r="10" spans="1:60" ht="24.6">
      <c r="B10" s="213" t="s">
        <v>101</v>
      </c>
      <c r="C10" s="1612">
        <v>2022</v>
      </c>
      <c r="D10" s="1613"/>
      <c r="E10" s="214"/>
      <c r="F10" s="214"/>
      <c r="G10" s="214"/>
      <c r="H10" s="214"/>
      <c r="I10" s="214"/>
      <c r="J10" s="214"/>
      <c r="K10" s="214"/>
      <c r="L10" s="214"/>
      <c r="M10" s="214"/>
      <c r="N10" s="214"/>
      <c r="O10" s="214"/>
      <c r="AW10" s="232"/>
      <c r="AX10" s="232"/>
      <c r="AY10" s="232"/>
      <c r="AZ10" s="232"/>
      <c r="BA10" s="232"/>
      <c r="BB10" s="232"/>
      <c r="BC10" s="232"/>
      <c r="BD10" s="232"/>
    </row>
    <row r="11" spans="1:60">
      <c r="B11" s="136"/>
      <c r="C11" s="136"/>
      <c r="D11" s="136"/>
      <c r="E11" s="136"/>
      <c r="F11" s="136"/>
      <c r="G11" s="137"/>
      <c r="H11" s="137"/>
      <c r="I11" s="136"/>
      <c r="J11" s="136"/>
      <c r="K11" s="136"/>
      <c r="L11" s="136"/>
      <c r="M11" s="136"/>
      <c r="N11" s="136"/>
      <c r="O11" s="136"/>
      <c r="AW11" s="232"/>
      <c r="AX11" s="232"/>
      <c r="AY11" s="232"/>
      <c r="AZ11" s="232"/>
      <c r="BA11" s="232"/>
      <c r="BB11" s="232"/>
      <c r="BC11" s="232"/>
      <c r="BD11" s="232"/>
    </row>
    <row r="12" spans="1:60" ht="24" customHeight="1">
      <c r="B12" s="1476" t="s">
        <v>0</v>
      </c>
      <c r="C12" s="1476" t="s">
        <v>52</v>
      </c>
      <c r="D12" s="1302" t="s">
        <v>711</v>
      </c>
      <c r="E12" s="1476" t="s">
        <v>61</v>
      </c>
      <c r="F12" s="1302" t="s">
        <v>682</v>
      </c>
      <c r="G12" s="1476" t="s">
        <v>58</v>
      </c>
      <c r="H12" s="1476" t="s">
        <v>25</v>
      </c>
      <c r="I12" s="1476" t="s">
        <v>60</v>
      </c>
      <c r="J12" s="1476" t="s">
        <v>39</v>
      </c>
      <c r="K12" s="1476" t="s">
        <v>36</v>
      </c>
      <c r="L12" s="1476" t="s">
        <v>20</v>
      </c>
      <c r="M12" s="1476" t="s">
        <v>51</v>
      </c>
      <c r="N12" s="1476" t="s">
        <v>40</v>
      </c>
      <c r="O12" s="1476" t="s">
        <v>42</v>
      </c>
      <c r="P12" s="1528" t="s">
        <v>112</v>
      </c>
      <c r="Q12" s="1528"/>
      <c r="R12" s="1528"/>
      <c r="S12" s="1528"/>
      <c r="T12" s="1528"/>
      <c r="U12" s="1528"/>
      <c r="V12" s="1528"/>
      <c r="W12" s="1528"/>
      <c r="X12" s="1528"/>
      <c r="Y12" s="1528"/>
      <c r="Z12" s="1528"/>
      <c r="AA12" s="1528"/>
      <c r="AB12" s="1528"/>
      <c r="AC12" s="1528"/>
      <c r="AD12" s="1528"/>
      <c r="AE12" s="1528"/>
      <c r="AF12" s="1528"/>
      <c r="AG12" s="1528"/>
      <c r="AH12" s="1528"/>
      <c r="AI12" s="1528"/>
      <c r="AJ12" s="1528"/>
      <c r="AK12" s="1528"/>
      <c r="AL12" s="1528"/>
      <c r="AM12" s="1528"/>
      <c r="AN12" s="1528"/>
      <c r="AO12" s="1528"/>
      <c r="AP12" s="1528"/>
      <c r="AQ12" s="1528"/>
      <c r="AR12" s="1528"/>
      <c r="AS12" s="1528"/>
      <c r="AT12" s="1528"/>
      <c r="AU12" s="1528"/>
      <c r="AV12" s="1592" t="s">
        <v>62</v>
      </c>
      <c r="AW12" s="1594" t="s">
        <v>683</v>
      </c>
      <c r="AX12" s="1595"/>
      <c r="AY12" s="1595"/>
      <c r="AZ12" s="1596"/>
      <c r="BA12" s="1583" t="s">
        <v>684</v>
      </c>
      <c r="BB12" s="1584"/>
      <c r="BC12" s="1584"/>
      <c r="BD12" s="1585"/>
      <c r="BE12" s="1618" t="s">
        <v>685</v>
      </c>
      <c r="BF12" s="1619"/>
      <c r="BG12" s="1619"/>
      <c r="BH12" s="1620"/>
    </row>
    <row r="13" spans="1:60" ht="15.6">
      <c r="B13" s="1476"/>
      <c r="C13" s="1476"/>
      <c r="D13" s="1302"/>
      <c r="E13" s="1476"/>
      <c r="F13" s="1302"/>
      <c r="G13" s="1476"/>
      <c r="H13" s="1476"/>
      <c r="I13" s="1476"/>
      <c r="J13" s="1476"/>
      <c r="K13" s="1476"/>
      <c r="L13" s="1476"/>
      <c r="M13" s="1476"/>
      <c r="N13" s="1476"/>
      <c r="O13" s="1476"/>
      <c r="P13" s="1593" t="s">
        <v>21</v>
      </c>
      <c r="Q13" s="1593"/>
      <c r="R13" s="1593"/>
      <c r="S13" s="1593"/>
      <c r="T13" s="1593"/>
      <c r="U13" s="1593"/>
      <c r="V13" s="1593"/>
      <c r="W13" s="1593"/>
      <c r="X13" s="1593" t="s">
        <v>22</v>
      </c>
      <c r="Y13" s="1593"/>
      <c r="Z13" s="1593"/>
      <c r="AA13" s="1593"/>
      <c r="AB13" s="1593"/>
      <c r="AC13" s="1593"/>
      <c r="AD13" s="1593"/>
      <c r="AE13" s="1593"/>
      <c r="AF13" s="1593" t="s">
        <v>23</v>
      </c>
      <c r="AG13" s="1593"/>
      <c r="AH13" s="1593"/>
      <c r="AI13" s="1593"/>
      <c r="AJ13" s="1593"/>
      <c r="AK13" s="1593"/>
      <c r="AL13" s="1593"/>
      <c r="AM13" s="1593"/>
      <c r="AN13" s="1593" t="s">
        <v>24</v>
      </c>
      <c r="AO13" s="1593"/>
      <c r="AP13" s="1593"/>
      <c r="AQ13" s="1593"/>
      <c r="AR13" s="1593"/>
      <c r="AS13" s="1593"/>
      <c r="AT13" s="1593"/>
      <c r="AU13" s="1593"/>
      <c r="AV13" s="1592"/>
      <c r="AW13" s="1597" t="s">
        <v>119</v>
      </c>
      <c r="AX13" s="1597" t="s">
        <v>22</v>
      </c>
      <c r="AY13" s="1597" t="s">
        <v>120</v>
      </c>
      <c r="AZ13" s="1597" t="s">
        <v>121</v>
      </c>
      <c r="BA13" s="1586" t="s">
        <v>119</v>
      </c>
      <c r="BB13" s="1586" t="s">
        <v>122</v>
      </c>
      <c r="BC13" s="1586" t="s">
        <v>123</v>
      </c>
      <c r="BD13" s="1586" t="s">
        <v>124</v>
      </c>
      <c r="BE13" s="1580" t="s">
        <v>21</v>
      </c>
      <c r="BF13" s="1580" t="s">
        <v>22</v>
      </c>
      <c r="BG13" s="1580" t="s">
        <v>23</v>
      </c>
      <c r="BH13" s="1580" t="s">
        <v>24</v>
      </c>
    </row>
    <row r="14" spans="1:60" ht="15.6">
      <c r="B14" s="1476"/>
      <c r="C14" s="1476"/>
      <c r="D14" s="1302"/>
      <c r="E14" s="1476"/>
      <c r="F14" s="1302"/>
      <c r="G14" s="1476"/>
      <c r="H14" s="1476"/>
      <c r="I14" s="1476"/>
      <c r="J14" s="1476"/>
      <c r="K14" s="1476"/>
      <c r="L14" s="1476"/>
      <c r="M14" s="1476"/>
      <c r="N14" s="1476"/>
      <c r="O14" s="1476"/>
      <c r="P14" s="1641" t="s">
        <v>5</v>
      </c>
      <c r="Q14" s="1641"/>
      <c r="R14" s="1641" t="s">
        <v>6</v>
      </c>
      <c r="S14" s="1641"/>
      <c r="T14" s="1641" t="s">
        <v>7</v>
      </c>
      <c r="U14" s="1641"/>
      <c r="V14" s="1528" t="s">
        <v>8</v>
      </c>
      <c r="W14" s="1528"/>
      <c r="X14" s="1641" t="s">
        <v>27</v>
      </c>
      <c r="Y14" s="1641"/>
      <c r="Z14" s="1641" t="s">
        <v>9</v>
      </c>
      <c r="AA14" s="1641"/>
      <c r="AB14" s="1641" t="s">
        <v>10</v>
      </c>
      <c r="AC14" s="1641"/>
      <c r="AD14" s="1528" t="s">
        <v>8</v>
      </c>
      <c r="AE14" s="1528"/>
      <c r="AF14" s="1641" t="s">
        <v>11</v>
      </c>
      <c r="AG14" s="1641"/>
      <c r="AH14" s="1641" t="s">
        <v>12</v>
      </c>
      <c r="AI14" s="1641"/>
      <c r="AJ14" s="1641" t="s">
        <v>13</v>
      </c>
      <c r="AK14" s="1641"/>
      <c r="AL14" s="1528" t="s">
        <v>8</v>
      </c>
      <c r="AM14" s="1528"/>
      <c r="AN14" s="1641" t="s">
        <v>14</v>
      </c>
      <c r="AO14" s="1641"/>
      <c r="AP14" s="1641" t="s">
        <v>15</v>
      </c>
      <c r="AQ14" s="1641"/>
      <c r="AR14" s="1641" t="s">
        <v>16</v>
      </c>
      <c r="AS14" s="1641"/>
      <c r="AT14" s="1528" t="s">
        <v>8</v>
      </c>
      <c r="AU14" s="1528"/>
      <c r="AV14" s="1592"/>
      <c r="AW14" s="1598"/>
      <c r="AX14" s="1598"/>
      <c r="AY14" s="1598"/>
      <c r="AZ14" s="1598"/>
      <c r="BA14" s="1587"/>
      <c r="BB14" s="1587"/>
      <c r="BC14" s="1587"/>
      <c r="BD14" s="1587"/>
      <c r="BE14" s="1581"/>
      <c r="BF14" s="1581"/>
      <c r="BG14" s="1581"/>
      <c r="BH14" s="1581"/>
    </row>
    <row r="15" spans="1:60" ht="13.2" customHeight="1">
      <c r="B15" s="1476"/>
      <c r="C15" s="1476"/>
      <c r="D15" s="1302"/>
      <c r="E15" s="1476"/>
      <c r="F15" s="1302"/>
      <c r="G15" s="1476"/>
      <c r="H15" s="1476"/>
      <c r="I15" s="1476"/>
      <c r="J15" s="1476"/>
      <c r="K15" s="1476"/>
      <c r="L15" s="1476"/>
      <c r="M15" s="1476"/>
      <c r="N15" s="1476"/>
      <c r="O15" s="1476"/>
      <c r="P15" s="233" t="s">
        <v>17</v>
      </c>
      <c r="Q15" s="234" t="s">
        <v>18</v>
      </c>
      <c r="R15" s="233" t="s">
        <v>17</v>
      </c>
      <c r="S15" s="234" t="s">
        <v>18</v>
      </c>
      <c r="T15" s="233" t="s">
        <v>17</v>
      </c>
      <c r="U15" s="234" t="s">
        <v>18</v>
      </c>
      <c r="V15" s="75" t="s">
        <v>17</v>
      </c>
      <c r="W15" s="76" t="s">
        <v>18</v>
      </c>
      <c r="X15" s="233" t="s">
        <v>17</v>
      </c>
      <c r="Y15" s="234" t="s">
        <v>18</v>
      </c>
      <c r="Z15" s="233" t="s">
        <v>17</v>
      </c>
      <c r="AA15" s="234" t="s">
        <v>18</v>
      </c>
      <c r="AB15" s="233" t="s">
        <v>17</v>
      </c>
      <c r="AC15" s="234" t="s">
        <v>18</v>
      </c>
      <c r="AD15" s="75" t="s">
        <v>17</v>
      </c>
      <c r="AE15" s="76" t="s">
        <v>18</v>
      </c>
      <c r="AF15" s="233" t="s">
        <v>17</v>
      </c>
      <c r="AG15" s="234" t="s">
        <v>18</v>
      </c>
      <c r="AH15" s="233" t="s">
        <v>17</v>
      </c>
      <c r="AI15" s="234" t="s">
        <v>18</v>
      </c>
      <c r="AJ15" s="233" t="s">
        <v>17</v>
      </c>
      <c r="AK15" s="234" t="s">
        <v>18</v>
      </c>
      <c r="AL15" s="75" t="s">
        <v>17</v>
      </c>
      <c r="AM15" s="76" t="s">
        <v>18</v>
      </c>
      <c r="AN15" s="233" t="s">
        <v>17</v>
      </c>
      <c r="AO15" s="234" t="s">
        <v>18</v>
      </c>
      <c r="AP15" s="233" t="s">
        <v>17</v>
      </c>
      <c r="AQ15" s="234" t="s">
        <v>18</v>
      </c>
      <c r="AR15" s="233" t="s">
        <v>17</v>
      </c>
      <c r="AS15" s="234" t="s">
        <v>18</v>
      </c>
      <c r="AT15" s="75" t="s">
        <v>17</v>
      </c>
      <c r="AU15" s="76" t="s">
        <v>18</v>
      </c>
      <c r="AV15" s="1592"/>
      <c r="AW15" s="1599"/>
      <c r="AX15" s="1599"/>
      <c r="AY15" s="1599"/>
      <c r="AZ15" s="1599"/>
      <c r="BA15" s="1588"/>
      <c r="BB15" s="1588"/>
      <c r="BC15" s="1588"/>
      <c r="BD15" s="1588"/>
      <c r="BE15" s="1582"/>
      <c r="BF15" s="1582"/>
      <c r="BG15" s="1582"/>
      <c r="BH15" s="1582"/>
    </row>
    <row r="16" spans="1:60" ht="102.6" customHeight="1">
      <c r="A16" s="260"/>
      <c r="B16" s="1616"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616" t="str">
        <f>+'01-FR-03 POA INSTITUCIONAL'!C69</f>
        <v>4.4. Implementar el 100% de las acciones necesarias para la modernización de la gestión institucional a través de los procesos de apoyo, que permita una mejor prestación del servicio.</v>
      </c>
      <c r="D16" s="31" t="str">
        <f>+'01-FR-03 POA INSTITUCIONAL'!D79</f>
        <v>4.4.11  Representar a la Entidad en el 100% de los procesos judiciales en los cuales la sea vinculada o demandada.</v>
      </c>
      <c r="E16" s="52">
        <f>+'01-FR-03 POA INSTITUCIONAL'!E79</f>
        <v>0.05</v>
      </c>
      <c r="F16" s="52">
        <f>+'01-FR-03 POA INSTITUCIONAL'!F79</f>
        <v>1</v>
      </c>
      <c r="G16" s="160">
        <f>+'01-FR-03 POA INSTITUCIONAL'!L79</f>
        <v>1</v>
      </c>
      <c r="H16" s="33">
        <f>+'01-FR-03 POA INSTITUCIONAL'!G79</f>
        <v>1</v>
      </c>
      <c r="I16" s="140" t="str">
        <f>+'01-FR-03 POA INSTITUCIONAL'!H79</f>
        <v>Porcentaje de procesos judiciales en los que se vincule o demande a la Entidad, objeto de representación oportuna</v>
      </c>
      <c r="J16" s="294" t="s">
        <v>527</v>
      </c>
      <c r="K16" s="217" t="s">
        <v>528</v>
      </c>
      <c r="L16" s="217" t="s">
        <v>529</v>
      </c>
      <c r="M16" s="217" t="s">
        <v>530</v>
      </c>
      <c r="N16" s="217" t="s">
        <v>531</v>
      </c>
      <c r="O16" s="295" t="str">
        <f>+'01-FR-03 POA INSTITUCIONAL'!J79</f>
        <v>Oficina Asesora Jurídica</v>
      </c>
      <c r="P16" s="145">
        <v>1</v>
      </c>
      <c r="Q16" s="145">
        <v>1</v>
      </c>
      <c r="R16" s="145">
        <v>1</v>
      </c>
      <c r="S16" s="145">
        <v>1</v>
      </c>
      <c r="T16" s="145">
        <v>1</v>
      </c>
      <c r="U16" s="145">
        <v>1</v>
      </c>
      <c r="V16" s="66">
        <f>AVERAGE(P16,R16,T16)</f>
        <v>1</v>
      </c>
      <c r="W16" s="66">
        <f>IFERROR(AVERAGE(Q16,S16,U16),0)</f>
        <v>1</v>
      </c>
      <c r="X16" s="145">
        <v>1</v>
      </c>
      <c r="Y16" s="1061">
        <v>0</v>
      </c>
      <c r="Z16" s="145">
        <v>1</v>
      </c>
      <c r="AA16" s="1061">
        <v>0</v>
      </c>
      <c r="AB16" s="145">
        <v>1</v>
      </c>
      <c r="AC16" s="1061">
        <v>0</v>
      </c>
      <c r="AD16" s="66">
        <f>AVERAGE(X16,Z16,AB16)</f>
        <v>1</v>
      </c>
      <c r="AE16" s="66">
        <f>IFERROR(AVERAGE(Y16,AA16,AC16),0)</f>
        <v>0</v>
      </c>
      <c r="AF16" s="145">
        <v>1</v>
      </c>
      <c r="AG16" s="1061">
        <v>0</v>
      </c>
      <c r="AH16" s="145">
        <v>1</v>
      </c>
      <c r="AI16" s="1061">
        <v>0</v>
      </c>
      <c r="AJ16" s="145">
        <v>1</v>
      </c>
      <c r="AK16" s="1061">
        <v>0</v>
      </c>
      <c r="AL16" s="66">
        <f>AVERAGE(AF16,AH16,AJ16)</f>
        <v>1</v>
      </c>
      <c r="AM16" s="66">
        <f>IFERROR(AVERAGE(AG16,AI16,AK16),0)</f>
        <v>0</v>
      </c>
      <c r="AN16" s="145">
        <v>1</v>
      </c>
      <c r="AO16" s="1061">
        <v>0</v>
      </c>
      <c r="AP16" s="145">
        <v>1</v>
      </c>
      <c r="AQ16" s="1061">
        <v>0</v>
      </c>
      <c r="AR16" s="145">
        <v>1</v>
      </c>
      <c r="AS16" s="1061">
        <v>0</v>
      </c>
      <c r="AT16" s="66">
        <f>AVERAGE(AN16,AP16,AR16)</f>
        <v>1</v>
      </c>
      <c r="AU16" s="66">
        <f>IFERROR(AVERAGE(AO16,AQ16,AS16),0)</f>
        <v>0</v>
      </c>
      <c r="AV16" s="66">
        <f>AVERAGE(P16,R16,T16,X16,Z16,AB16,AF16,AH16,AJ16,AN16,AP16,AR16)</f>
        <v>1</v>
      </c>
      <c r="AW16" s="65">
        <f>IFERROR(IF(OR($AV$16="",$AV$16=0),0,ROUNDDOWN(AVERAGE($Q16,$S16,$U16),3)),0)</f>
        <v>1</v>
      </c>
      <c r="AX16" s="1062">
        <f>IFERROR(IF(OR($AV$17="",$AV$17=0),0,ROUNDDOWN(AVERAGE($Q16,$S16,$U16,$Y16,$AA16,$AC16),3)),0)</f>
        <v>0.5</v>
      </c>
      <c r="AY16" s="1062">
        <f>IFERROR(IF(OR($AV$16="",$AV$16=0),0,ROUNDDOWN(AVERAGE($Q16,$S16,$U16,$Y16,$AA16,$AC16,$AG16,$AI16,$AK16),3)),0)</f>
        <v>0.33300000000000002</v>
      </c>
      <c r="AZ16" s="1062">
        <f t="shared" ref="AZ16:AZ20" si="0">IFERROR(IF(OR($AV$16="",$AV$16=0),0,ROUNDDOWN(AVERAGE($Q16,$S16,$U16,$Y16,$AA16,$AC16,$AG16,$AI16,$AK16,$AO16,$AQ16,$AS16),3)),0)</f>
        <v>0.25</v>
      </c>
      <c r="BA16" s="342">
        <f>(IF(AND(AW16&gt;0,$AV16&gt;0),AW16/$AV16,0))*0.25</f>
        <v>0.25</v>
      </c>
      <c r="BB16" s="342">
        <f>(IF(AND(AX16&gt;0,$AV16&gt;0),AX16/$AV16,0))*0.5</f>
        <v>0.25</v>
      </c>
      <c r="BC16" s="342">
        <f>(IF(AND(AY16&gt;0,$AV16&gt;0),AY16/$AV16,0))*0.75</f>
        <v>0.24975000000000003</v>
      </c>
      <c r="BD16" s="342">
        <f>(IF(AND(AZ16&gt;0,$AV16&gt;0),AZ16/$AV16,0))*1</f>
        <v>0.25</v>
      </c>
      <c r="BE16" s="348">
        <f>((IF(AND(AW16&gt;0,$F16&gt;0),AW16/$F16,0))/4)*0.25</f>
        <v>6.25E-2</v>
      </c>
      <c r="BF16" s="1056">
        <f>((IF(AND(AX16&gt;0,$F16&gt;0),AX16/$F16,0))/4)*0.5</f>
        <v>6.25E-2</v>
      </c>
      <c r="BG16" s="1063">
        <f>((IF(AND(AY16&gt;0,$F16&gt;0),AY16/$F16,0))/4)*0.75</f>
        <v>6.2437500000000007E-2</v>
      </c>
      <c r="BH16" s="1063">
        <f>((IF(AND(AZ16&gt;0,$F16&gt;0),AZ16/$F16,0))/4)*1</f>
        <v>6.25E-2</v>
      </c>
    </row>
    <row r="17" spans="1:60" ht="150">
      <c r="A17" s="260"/>
      <c r="B17" s="1617"/>
      <c r="C17" s="1617"/>
      <c r="D17" s="31" t="str">
        <f>+'01-FR-03 POA INSTITUCIONAL'!D80</f>
        <v xml:space="preserve">4.4.12 Defender judicialmente a la Entidad en el 100% de las acciones de tutela en las cuales sea vinculada o accionada </v>
      </c>
      <c r="E17" s="52">
        <f>+'01-FR-03 POA INSTITUCIONAL'!E80</f>
        <v>0.05</v>
      </c>
      <c r="F17" s="52">
        <f>+'01-FR-03 POA INSTITUCIONAL'!F80</f>
        <v>1</v>
      </c>
      <c r="G17" s="160">
        <f>+'01-FR-03 POA INSTITUCIONAL'!L80</f>
        <v>1</v>
      </c>
      <c r="H17" s="33">
        <f>+'01-FR-03 POA INSTITUCIONAL'!G80</f>
        <v>1</v>
      </c>
      <c r="I17" s="140" t="str">
        <f>+'01-FR-03 POA INSTITUCIONAL'!H80</f>
        <v xml:space="preserve">Porcentaje de acciones de tutela en las cuales se defienda judicialmente a la Entidad oportunamente </v>
      </c>
      <c r="J17" s="294" t="s">
        <v>532</v>
      </c>
      <c r="K17" s="235" t="s">
        <v>533</v>
      </c>
      <c r="L17" s="217" t="s">
        <v>529</v>
      </c>
      <c r="M17" s="217" t="s">
        <v>530</v>
      </c>
      <c r="N17" s="217" t="s">
        <v>531</v>
      </c>
      <c r="O17" s="295" t="str">
        <f>+'01-FR-03 POA INSTITUCIONAL'!J80</f>
        <v>Oficina Asesora Jurídica</v>
      </c>
      <c r="P17" s="145">
        <v>1</v>
      </c>
      <c r="Q17" s="145">
        <v>1</v>
      </c>
      <c r="R17" s="145">
        <v>1</v>
      </c>
      <c r="S17" s="145">
        <v>1</v>
      </c>
      <c r="T17" s="145">
        <v>1</v>
      </c>
      <c r="U17" s="145">
        <v>1</v>
      </c>
      <c r="V17" s="66">
        <f t="shared" ref="V17:V19" si="1">AVERAGE(P17,R17,T17)</f>
        <v>1</v>
      </c>
      <c r="W17" s="66">
        <f t="shared" ref="W17:W18" si="2">IFERROR(AVERAGE(Q17,S17,U17),0)</f>
        <v>1</v>
      </c>
      <c r="X17" s="145">
        <v>1</v>
      </c>
      <c r="Y17" s="1061">
        <v>0</v>
      </c>
      <c r="Z17" s="145">
        <v>1</v>
      </c>
      <c r="AA17" s="1061">
        <v>0</v>
      </c>
      <c r="AB17" s="145">
        <v>1</v>
      </c>
      <c r="AC17" s="1061">
        <v>0</v>
      </c>
      <c r="AD17" s="66">
        <f t="shared" ref="AD17:AD19" si="3">AVERAGE(X17,Z17,AB17)</f>
        <v>1</v>
      </c>
      <c r="AE17" s="66">
        <f t="shared" ref="AE17:AE19" si="4">IFERROR(AVERAGE(Y17,AA17,AC17),0)</f>
        <v>0</v>
      </c>
      <c r="AF17" s="145">
        <v>1</v>
      </c>
      <c r="AG17" s="1061">
        <v>0</v>
      </c>
      <c r="AH17" s="145">
        <v>1</v>
      </c>
      <c r="AI17" s="1061">
        <v>0</v>
      </c>
      <c r="AJ17" s="145">
        <v>1</v>
      </c>
      <c r="AK17" s="1061">
        <v>0</v>
      </c>
      <c r="AL17" s="66">
        <f t="shared" ref="AL17:AL19" si="5">AVERAGE(AF17,AH17,AJ17)</f>
        <v>1</v>
      </c>
      <c r="AM17" s="66">
        <f t="shared" ref="AM17:AM19" si="6">IFERROR(AVERAGE(AG17,AI17,AK17),0)</f>
        <v>0</v>
      </c>
      <c r="AN17" s="145">
        <v>1</v>
      </c>
      <c r="AO17" s="1061">
        <v>0</v>
      </c>
      <c r="AP17" s="145">
        <v>1</v>
      </c>
      <c r="AQ17" s="1061">
        <v>0</v>
      </c>
      <c r="AR17" s="145">
        <v>1</v>
      </c>
      <c r="AS17" s="1061">
        <v>0</v>
      </c>
      <c r="AT17" s="66">
        <f t="shared" ref="AT17:AT19" si="7">AVERAGE(AN17,AP17,AR17)</f>
        <v>1</v>
      </c>
      <c r="AU17" s="66">
        <f t="shared" ref="AU17:AU19" si="8">IFERROR(AVERAGE(AO17,AQ17,AS17),0)</f>
        <v>0</v>
      </c>
      <c r="AV17" s="66">
        <f t="shared" ref="AV17:AV19" si="9">AVERAGE(P17,R17,T17,X17,Z17,AB17,AF17,AH17,AJ17,AN17,AP17,AR17)</f>
        <v>1</v>
      </c>
      <c r="AW17" s="65">
        <f t="shared" ref="AW17:AW20" si="10">IFERROR(IF(OR($AV$16="",$AV$16=0),0,ROUNDDOWN(AVERAGE($Q17,$S17,$U17),3)),0)</f>
        <v>1</v>
      </c>
      <c r="AX17" s="1062">
        <f t="shared" ref="AX17:AX20" si="11">IFERROR(IF(OR($AV$17="",$AV$17=0),0,ROUNDDOWN(AVERAGE($Q17,$S17,$U17,$Y17,$AA17,$AC17),3)),0)</f>
        <v>0.5</v>
      </c>
      <c r="AY17" s="1062">
        <f t="shared" ref="AY17:AY20" si="12">IFERROR(IF(OR($AV$16="",$AV$16=0),0,ROUNDDOWN(AVERAGE($Q17,$S17,$U17,$Y17,$AA17,$AC17,$AG17,$AI17,$AK17),3)),0)</f>
        <v>0.33300000000000002</v>
      </c>
      <c r="AZ17" s="1062">
        <f t="shared" si="0"/>
        <v>0.25</v>
      </c>
      <c r="BA17" s="342">
        <f t="shared" ref="BA17:BA20" si="13">(IF(AND(AW17&gt;0,$AV17&gt;0),AW17/$AV17,0))*0.25</f>
        <v>0.25</v>
      </c>
      <c r="BB17" s="342">
        <f t="shared" ref="BB17:BB20" si="14">(IF(AND(AX17&gt;0,$AV17&gt;0),AX17/$AV17,0))*0.5</f>
        <v>0.25</v>
      </c>
      <c r="BC17" s="342">
        <f t="shared" ref="BC17:BC20" si="15">(IF(AND(AY17&gt;0,$AV17&gt;0),AY17/$AV17,0))*0.75</f>
        <v>0.24975000000000003</v>
      </c>
      <c r="BD17" s="342">
        <f t="shared" ref="BD17:BD20" si="16">(IF(AND(AZ17&gt;0,$AV17&gt;0),AZ17/$AV17,0))*1</f>
        <v>0.25</v>
      </c>
      <c r="BE17" s="348">
        <f t="shared" ref="BE17:BE20" si="17">((IF(AND(AW17&gt;0,$F17&gt;0),AW17/$F17,0))/4)*0.25</f>
        <v>6.25E-2</v>
      </c>
      <c r="BF17" s="1056">
        <f t="shared" ref="BF17:BF20" si="18">((IF(AND(AX17&gt;0,$F17&gt;0),AX17/$F17,0))/4)*0.5</f>
        <v>6.25E-2</v>
      </c>
      <c r="BG17" s="1063">
        <f t="shared" ref="BG17:BG20" si="19">((IF(AND(AY17&gt;0,$F17&gt;0),AY17/$F17,0))/4)*0.75</f>
        <v>6.2437500000000007E-2</v>
      </c>
      <c r="BH17" s="1063">
        <f t="shared" ref="BH17:BH20" si="20">((IF(AND(AZ17&gt;0,$F17&gt;0),AZ17/$F17,0))/4)*1</f>
        <v>6.25E-2</v>
      </c>
    </row>
    <row r="18" spans="1:60" ht="75">
      <c r="A18" s="260"/>
      <c r="B18" s="1617"/>
      <c r="C18" s="1617"/>
      <c r="D18" s="31" t="str">
        <f>+'01-FR-03 POA INSTITUCIONAL'!D81</f>
        <v>4.4.13 Emitir oportunamente el 100% de los conceptos jurídicos solicitados por el Despacho del Personero de Bogotá o sus delegados.</v>
      </c>
      <c r="E18" s="52">
        <f>+'01-FR-03 POA INSTITUCIONAL'!E81</f>
        <v>0.05</v>
      </c>
      <c r="F18" s="52">
        <f>+'01-FR-03 POA INSTITUCIONAL'!F81</f>
        <v>1</v>
      </c>
      <c r="G18" s="160">
        <f>+'01-FR-03 POA INSTITUCIONAL'!L81</f>
        <v>1</v>
      </c>
      <c r="H18" s="33">
        <f>+'01-FR-03 POA INSTITUCIONAL'!G81</f>
        <v>1</v>
      </c>
      <c r="I18" s="140" t="str">
        <f>+'01-FR-03 POA INSTITUCIONAL'!H81</f>
        <v>Porcentaje de conceptos de competencia de la dependencia emitidos oportunamente</v>
      </c>
      <c r="J18" s="294" t="s">
        <v>534</v>
      </c>
      <c r="K18" s="235" t="s">
        <v>535</v>
      </c>
      <c r="L18" s="217" t="s">
        <v>536</v>
      </c>
      <c r="M18" s="217" t="s">
        <v>530</v>
      </c>
      <c r="N18" s="217" t="s">
        <v>531</v>
      </c>
      <c r="O18" s="295" t="str">
        <f>+'01-FR-03 POA INSTITUCIONAL'!J81</f>
        <v>Oficina Asesora Jurídica</v>
      </c>
      <c r="P18" s="145">
        <v>1</v>
      </c>
      <c r="Q18" s="145">
        <v>1</v>
      </c>
      <c r="R18" s="145">
        <v>1</v>
      </c>
      <c r="S18" s="145">
        <v>1</v>
      </c>
      <c r="T18" s="145">
        <v>1</v>
      </c>
      <c r="U18" s="145">
        <v>1</v>
      </c>
      <c r="V18" s="66">
        <f t="shared" si="1"/>
        <v>1</v>
      </c>
      <c r="W18" s="66">
        <f t="shared" si="2"/>
        <v>1</v>
      </c>
      <c r="X18" s="145">
        <v>1</v>
      </c>
      <c r="Y18" s="1061">
        <v>0</v>
      </c>
      <c r="Z18" s="145">
        <v>1</v>
      </c>
      <c r="AA18" s="1061">
        <v>0</v>
      </c>
      <c r="AB18" s="145">
        <v>1</v>
      </c>
      <c r="AC18" s="1061">
        <v>0</v>
      </c>
      <c r="AD18" s="66">
        <f t="shared" si="3"/>
        <v>1</v>
      </c>
      <c r="AE18" s="66">
        <f t="shared" si="4"/>
        <v>0</v>
      </c>
      <c r="AF18" s="145">
        <v>1</v>
      </c>
      <c r="AG18" s="1061">
        <v>0</v>
      </c>
      <c r="AH18" s="145">
        <v>1</v>
      </c>
      <c r="AI18" s="1061">
        <v>0</v>
      </c>
      <c r="AJ18" s="145">
        <v>1</v>
      </c>
      <c r="AK18" s="1061">
        <v>0</v>
      </c>
      <c r="AL18" s="66">
        <f t="shared" si="5"/>
        <v>1</v>
      </c>
      <c r="AM18" s="66">
        <f t="shared" si="6"/>
        <v>0</v>
      </c>
      <c r="AN18" s="145">
        <v>1</v>
      </c>
      <c r="AO18" s="1061">
        <v>0</v>
      </c>
      <c r="AP18" s="145">
        <v>1</v>
      </c>
      <c r="AQ18" s="1061">
        <v>0</v>
      </c>
      <c r="AR18" s="145">
        <v>1</v>
      </c>
      <c r="AS18" s="1061">
        <v>0</v>
      </c>
      <c r="AT18" s="66">
        <f t="shared" si="7"/>
        <v>1</v>
      </c>
      <c r="AU18" s="66">
        <f t="shared" si="8"/>
        <v>0</v>
      </c>
      <c r="AV18" s="66">
        <f t="shared" si="9"/>
        <v>1</v>
      </c>
      <c r="AW18" s="65">
        <f t="shared" si="10"/>
        <v>1</v>
      </c>
      <c r="AX18" s="1062">
        <f t="shared" si="11"/>
        <v>0.5</v>
      </c>
      <c r="AY18" s="1062">
        <f t="shared" si="12"/>
        <v>0.33300000000000002</v>
      </c>
      <c r="AZ18" s="1062">
        <f t="shared" si="0"/>
        <v>0.25</v>
      </c>
      <c r="BA18" s="342">
        <f t="shared" si="13"/>
        <v>0.25</v>
      </c>
      <c r="BB18" s="342">
        <f t="shared" si="14"/>
        <v>0.25</v>
      </c>
      <c r="BC18" s="342">
        <f t="shared" si="15"/>
        <v>0.24975000000000003</v>
      </c>
      <c r="BD18" s="342">
        <f t="shared" si="16"/>
        <v>0.25</v>
      </c>
      <c r="BE18" s="348">
        <f t="shared" si="17"/>
        <v>6.25E-2</v>
      </c>
      <c r="BF18" s="1056">
        <f t="shared" si="18"/>
        <v>6.25E-2</v>
      </c>
      <c r="BG18" s="1063">
        <f t="shared" si="19"/>
        <v>6.2437500000000007E-2</v>
      </c>
      <c r="BH18" s="1063">
        <f t="shared" si="20"/>
        <v>6.25E-2</v>
      </c>
    </row>
    <row r="19" spans="1:60" ht="90">
      <c r="A19" s="260"/>
      <c r="B19" s="1617"/>
      <c r="C19" s="1617"/>
      <c r="D19" s="1616" t="str">
        <f>+'01-FR-03 POA INSTITUCIONAL'!D82</f>
        <v>4.4.14 Registrar el 100% de los reportes de las sanciones disciplinarias de los servidores públicos distritales.</v>
      </c>
      <c r="E19" s="1496">
        <f>+'01-FR-03 POA INSTITUCIONAL'!E82</f>
        <v>0.05</v>
      </c>
      <c r="F19" s="52">
        <f>+'01-FR-03 POA INSTITUCIONAL'!F82</f>
        <v>1</v>
      </c>
      <c r="G19" s="160">
        <f>+'01-FR-03 POA INSTITUCIONAL'!L82</f>
        <v>1</v>
      </c>
      <c r="H19" s="33">
        <f>+'01-FR-03 POA INSTITUCIONAL'!G82</f>
        <v>1</v>
      </c>
      <c r="I19" s="140" t="str">
        <f>+'01-FR-03 POA INSTITUCIONAL'!H82</f>
        <v>Porcentaje de reportes de la base de datos de sanciones disciplinarias registrados</v>
      </c>
      <c r="J19" s="294" t="s">
        <v>540</v>
      </c>
      <c r="K19" s="217" t="s">
        <v>541</v>
      </c>
      <c r="L19" s="217" t="s">
        <v>537</v>
      </c>
      <c r="M19" s="217" t="s">
        <v>530</v>
      </c>
      <c r="N19" s="217" t="s">
        <v>531</v>
      </c>
      <c r="O19" s="295" t="str">
        <f>+'01-FR-03 POA INSTITUCIONAL'!J82</f>
        <v>Oficina Asesora Jurídica</v>
      </c>
      <c r="P19" s="145">
        <v>1</v>
      </c>
      <c r="Q19" s="145">
        <v>1</v>
      </c>
      <c r="R19" s="145">
        <v>1</v>
      </c>
      <c r="S19" s="145">
        <v>1</v>
      </c>
      <c r="T19" s="145">
        <v>1</v>
      </c>
      <c r="U19" s="145">
        <v>1</v>
      </c>
      <c r="V19" s="66">
        <f t="shared" si="1"/>
        <v>1</v>
      </c>
      <c r="W19" s="66">
        <f>IFERROR(AVERAGE(Q19,S19,U19),0)</f>
        <v>1</v>
      </c>
      <c r="X19" s="145">
        <v>1</v>
      </c>
      <c r="Y19" s="1061">
        <v>0</v>
      </c>
      <c r="Z19" s="145">
        <v>1</v>
      </c>
      <c r="AA19" s="1061">
        <v>0</v>
      </c>
      <c r="AB19" s="145">
        <v>1</v>
      </c>
      <c r="AC19" s="1061">
        <v>0</v>
      </c>
      <c r="AD19" s="66">
        <f t="shared" si="3"/>
        <v>1</v>
      </c>
      <c r="AE19" s="66">
        <f t="shared" si="4"/>
        <v>0</v>
      </c>
      <c r="AF19" s="145">
        <v>1</v>
      </c>
      <c r="AG19" s="1061">
        <v>0</v>
      </c>
      <c r="AH19" s="145">
        <v>1</v>
      </c>
      <c r="AI19" s="1061">
        <v>0</v>
      </c>
      <c r="AJ19" s="145">
        <v>1</v>
      </c>
      <c r="AK19" s="1061">
        <v>0</v>
      </c>
      <c r="AL19" s="66">
        <f t="shared" si="5"/>
        <v>1</v>
      </c>
      <c r="AM19" s="66">
        <f t="shared" si="6"/>
        <v>0</v>
      </c>
      <c r="AN19" s="145">
        <v>1</v>
      </c>
      <c r="AO19" s="1061">
        <v>0</v>
      </c>
      <c r="AP19" s="145">
        <v>1</v>
      </c>
      <c r="AQ19" s="1061">
        <v>0</v>
      </c>
      <c r="AR19" s="145">
        <v>1</v>
      </c>
      <c r="AS19" s="1061">
        <v>0</v>
      </c>
      <c r="AT19" s="66">
        <f t="shared" si="7"/>
        <v>1</v>
      </c>
      <c r="AU19" s="66">
        <f t="shared" si="8"/>
        <v>0</v>
      </c>
      <c r="AV19" s="66">
        <f t="shared" si="9"/>
        <v>1</v>
      </c>
      <c r="AW19" s="65">
        <f t="shared" si="10"/>
        <v>1</v>
      </c>
      <c r="AX19" s="1062">
        <f t="shared" si="11"/>
        <v>0.5</v>
      </c>
      <c r="AY19" s="1062">
        <f t="shared" si="12"/>
        <v>0.33300000000000002</v>
      </c>
      <c r="AZ19" s="1062">
        <f t="shared" si="0"/>
        <v>0.25</v>
      </c>
      <c r="BA19" s="342">
        <f t="shared" si="13"/>
        <v>0.25</v>
      </c>
      <c r="BB19" s="342">
        <f t="shared" si="14"/>
        <v>0.25</v>
      </c>
      <c r="BC19" s="342">
        <f t="shared" si="15"/>
        <v>0.24975000000000003</v>
      </c>
      <c r="BD19" s="342">
        <f t="shared" si="16"/>
        <v>0.25</v>
      </c>
      <c r="BE19" s="348">
        <f t="shared" si="17"/>
        <v>6.25E-2</v>
      </c>
      <c r="BF19" s="1056">
        <f t="shared" si="18"/>
        <v>6.25E-2</v>
      </c>
      <c r="BG19" s="1063">
        <f t="shared" si="19"/>
        <v>6.2437500000000007E-2</v>
      </c>
      <c r="BH19" s="1063">
        <f t="shared" si="20"/>
        <v>6.25E-2</v>
      </c>
    </row>
    <row r="20" spans="1:60" ht="62.25" customHeight="1">
      <c r="B20" s="1643"/>
      <c r="C20" s="1643"/>
      <c r="D20" s="1643"/>
      <c r="E20" s="1270"/>
      <c r="F20" s="52">
        <f>+'01-FR-03 POA INSTITUCIONAL'!F83</f>
        <v>1</v>
      </c>
      <c r="G20" s="160">
        <f>+'01-FR-03 POA INSTITUCIONAL'!L83</f>
        <v>1</v>
      </c>
      <c r="H20" s="33">
        <f>+'01-FR-03 POA INSTITUCIONAL'!G83</f>
        <v>1</v>
      </c>
      <c r="I20" s="140" t="str">
        <f>+'01-FR-03 POA INSTITUCIONAL'!H83</f>
        <v>Porcentaje de antecedentes disciplinarios expedidos</v>
      </c>
      <c r="J20" s="294" t="s">
        <v>663</v>
      </c>
      <c r="K20" s="217" t="s">
        <v>542</v>
      </c>
      <c r="L20" s="217" t="s">
        <v>543</v>
      </c>
      <c r="M20" s="217" t="s">
        <v>544</v>
      </c>
      <c r="N20" s="217" t="s">
        <v>531</v>
      </c>
      <c r="O20" s="295" t="str">
        <f>+'01-FR-03 POA INSTITUCIONAL'!J83</f>
        <v>Oficina Asesora Jurídica</v>
      </c>
      <c r="P20" s="145">
        <v>1</v>
      </c>
      <c r="Q20" s="145">
        <v>1</v>
      </c>
      <c r="R20" s="145">
        <v>1</v>
      </c>
      <c r="S20" s="145">
        <v>1</v>
      </c>
      <c r="T20" s="145">
        <v>1</v>
      </c>
      <c r="U20" s="145">
        <v>1</v>
      </c>
      <c r="V20" s="66">
        <f t="shared" ref="V20" si="21">AVERAGE(P20,R20,T20)</f>
        <v>1</v>
      </c>
      <c r="W20" s="66">
        <f>IFERROR(AVERAGE(Q20,S20,U20),0)</f>
        <v>1</v>
      </c>
      <c r="X20" s="145">
        <v>1</v>
      </c>
      <c r="Y20" s="1061">
        <v>0</v>
      </c>
      <c r="Z20" s="145">
        <v>1</v>
      </c>
      <c r="AA20" s="1061">
        <v>0</v>
      </c>
      <c r="AB20" s="145">
        <v>1</v>
      </c>
      <c r="AC20" s="1061">
        <v>0</v>
      </c>
      <c r="AD20" s="66">
        <f t="shared" ref="AD20" si="22">AVERAGE(X20,Z20,AB20)</f>
        <v>1</v>
      </c>
      <c r="AE20" s="66">
        <f t="shared" ref="AE20" si="23">IFERROR(AVERAGE(Y20,AA20,AC20),0)</f>
        <v>0</v>
      </c>
      <c r="AF20" s="145">
        <v>1</v>
      </c>
      <c r="AG20" s="1061">
        <v>0</v>
      </c>
      <c r="AH20" s="145">
        <v>1</v>
      </c>
      <c r="AI20" s="1061">
        <v>0</v>
      </c>
      <c r="AJ20" s="145">
        <v>1</v>
      </c>
      <c r="AK20" s="1061">
        <v>0</v>
      </c>
      <c r="AL20" s="66">
        <f t="shared" ref="AL20" si="24">AVERAGE(AF20,AH20,AJ20)</f>
        <v>1</v>
      </c>
      <c r="AM20" s="66">
        <f t="shared" ref="AM20" si="25">IFERROR(AVERAGE(AG20,AI20,AK20),0)</f>
        <v>0</v>
      </c>
      <c r="AN20" s="145">
        <v>1</v>
      </c>
      <c r="AO20" s="1061">
        <v>0</v>
      </c>
      <c r="AP20" s="145">
        <v>1</v>
      </c>
      <c r="AQ20" s="1061">
        <v>0</v>
      </c>
      <c r="AR20" s="145">
        <v>1</v>
      </c>
      <c r="AS20" s="1061">
        <v>0</v>
      </c>
      <c r="AT20" s="66">
        <f t="shared" ref="AT20" si="26">AVERAGE(AN20,AP20,AR20)</f>
        <v>1</v>
      </c>
      <c r="AU20" s="66">
        <f t="shared" ref="AU20" si="27">IFERROR(AVERAGE(AO20,AQ20,AS20),0)</f>
        <v>0</v>
      </c>
      <c r="AV20" s="66">
        <f t="shared" ref="AV20" si="28">AVERAGE(P20,R20,T20,X20,Z20,AB20,AF20,AH20,AJ20,AN20,AP20,AR20)</f>
        <v>1</v>
      </c>
      <c r="AW20" s="65">
        <f t="shared" si="10"/>
        <v>1</v>
      </c>
      <c r="AX20" s="1062">
        <f t="shared" si="11"/>
        <v>0.5</v>
      </c>
      <c r="AY20" s="1062">
        <f t="shared" si="12"/>
        <v>0.33300000000000002</v>
      </c>
      <c r="AZ20" s="1062">
        <f t="shared" si="0"/>
        <v>0.25</v>
      </c>
      <c r="BA20" s="342">
        <f t="shared" si="13"/>
        <v>0.25</v>
      </c>
      <c r="BB20" s="342">
        <f t="shared" si="14"/>
        <v>0.25</v>
      </c>
      <c r="BC20" s="342">
        <f t="shared" si="15"/>
        <v>0.24975000000000003</v>
      </c>
      <c r="BD20" s="342">
        <f t="shared" si="16"/>
        <v>0.25</v>
      </c>
      <c r="BE20" s="348">
        <f t="shared" si="17"/>
        <v>6.25E-2</v>
      </c>
      <c r="BF20" s="1056">
        <f t="shared" si="18"/>
        <v>6.25E-2</v>
      </c>
      <c r="BG20" s="1063">
        <f t="shared" si="19"/>
        <v>6.2437500000000007E-2</v>
      </c>
      <c r="BH20" s="1063">
        <f t="shared" si="20"/>
        <v>6.25E-2</v>
      </c>
    </row>
    <row r="21" spans="1:60" ht="22.8">
      <c r="B21" s="1560"/>
      <c r="C21" s="1561"/>
      <c r="D21" s="1561"/>
      <c r="E21" s="1561"/>
      <c r="F21" s="1561"/>
      <c r="G21" s="1561"/>
      <c r="H21" s="1561"/>
      <c r="I21" s="1561"/>
      <c r="J21" s="1561"/>
      <c r="K21" s="1561"/>
      <c r="L21" s="1561"/>
      <c r="M21" s="1561"/>
      <c r="N21" s="1561"/>
      <c r="O21" s="1561"/>
      <c r="P21" s="1561"/>
      <c r="Q21" s="1561"/>
      <c r="R21" s="1561"/>
      <c r="S21" s="1561"/>
      <c r="T21" s="1561"/>
      <c r="U21" s="1561"/>
      <c r="V21" s="1561"/>
      <c r="W21" s="1561"/>
      <c r="X21" s="1561"/>
      <c r="Y21" s="1561"/>
      <c r="Z21" s="1561"/>
      <c r="AA21" s="1561"/>
      <c r="AB21" s="1561"/>
      <c r="AC21" s="1561"/>
      <c r="AD21" s="1561"/>
      <c r="AE21" s="1561"/>
      <c r="AF21" s="1561"/>
      <c r="AG21" s="1561"/>
      <c r="AH21" s="1561"/>
      <c r="AI21" s="1561"/>
      <c r="AJ21" s="1561"/>
      <c r="AK21" s="1561"/>
      <c r="AL21" s="1561"/>
      <c r="AM21" s="1561"/>
      <c r="AN21" s="1561"/>
      <c r="AO21" s="1561"/>
      <c r="AP21" s="1561"/>
      <c r="AQ21" s="1561"/>
      <c r="AR21" s="1561"/>
      <c r="AS21" s="1561"/>
      <c r="AT21" s="1561"/>
      <c r="AU21" s="1561"/>
      <c r="AV21" s="1561"/>
      <c r="AW21" s="1644"/>
      <c r="AX21" s="1614" t="s">
        <v>19</v>
      </c>
      <c r="AY21" s="1642"/>
      <c r="AZ21" s="1642"/>
      <c r="BA21" s="70">
        <f t="shared" ref="BA21:BD21" si="29">AVERAGE(BA16:BA20)</f>
        <v>0.25</v>
      </c>
      <c r="BB21" s="70">
        <f t="shared" si="29"/>
        <v>0.25</v>
      </c>
      <c r="BC21" s="70">
        <f t="shared" si="29"/>
        <v>0.24975000000000006</v>
      </c>
      <c r="BD21" s="70">
        <f t="shared" si="29"/>
        <v>0.25</v>
      </c>
      <c r="BE21" s="1652"/>
      <c r="BF21" s="1653"/>
      <c r="BG21" s="1653"/>
      <c r="BH21" s="1654"/>
    </row>
    <row r="22" spans="1:60">
      <c r="B22" s="1553"/>
      <c r="C22" s="1553"/>
      <c r="D22" s="1553"/>
      <c r="E22" s="1553"/>
      <c r="F22" s="1553"/>
      <c r="G22" s="1553"/>
      <c r="H22" s="239"/>
      <c r="I22" s="240"/>
      <c r="J22" s="240"/>
      <c r="K22" s="240"/>
      <c r="L22" s="240"/>
      <c r="M22" s="240"/>
      <c r="N22" s="240"/>
      <c r="O22" s="240"/>
    </row>
    <row r="23" spans="1:60">
      <c r="B23" s="240"/>
      <c r="C23" s="240"/>
      <c r="D23" s="1624"/>
      <c r="E23" s="1624"/>
      <c r="F23" s="1624"/>
      <c r="G23" s="1624"/>
      <c r="H23" s="1624"/>
      <c r="I23" s="1624"/>
      <c r="J23" s="1624"/>
      <c r="K23" s="1624"/>
      <c r="L23" s="1624"/>
      <c r="M23" s="1624"/>
      <c r="N23" s="1624"/>
      <c r="O23" s="1624"/>
    </row>
    <row r="24" spans="1:60" ht="15.6">
      <c r="B24" s="77" t="s">
        <v>26</v>
      </c>
      <c r="C24" s="241">
        <v>44224</v>
      </c>
      <c r="D24" s="242"/>
      <c r="E24" s="1625" t="s">
        <v>50</v>
      </c>
      <c r="F24" s="329"/>
      <c r="G24" s="1626" t="s">
        <v>539</v>
      </c>
      <c r="H24" s="1626"/>
      <c r="I24" s="1626"/>
      <c r="J24" s="1626"/>
      <c r="K24" s="243"/>
      <c r="L24" s="1633"/>
      <c r="M24" s="1633"/>
      <c r="N24" s="1633"/>
      <c r="O24" s="1634"/>
    </row>
    <row r="25" spans="1:60" ht="15.6">
      <c r="B25" s="240"/>
      <c r="C25" s="240"/>
      <c r="D25" s="243"/>
      <c r="E25" s="1625"/>
      <c r="F25" s="329"/>
      <c r="G25" s="1626"/>
      <c r="H25" s="1626"/>
      <c r="I25" s="1626"/>
      <c r="J25" s="1626"/>
      <c r="K25" s="240"/>
      <c r="L25" s="240"/>
      <c r="M25" s="240"/>
      <c r="N25" s="240"/>
      <c r="O25" s="240"/>
    </row>
    <row r="26" spans="1:60" ht="15.6">
      <c r="B26" s="77" t="s">
        <v>49</v>
      </c>
      <c r="C26" s="80">
        <v>44581</v>
      </c>
      <c r="D26" s="240"/>
      <c r="E26" s="240"/>
      <c r="F26" s="240"/>
      <c r="K26" s="240"/>
      <c r="L26" s="240"/>
      <c r="M26" s="240"/>
      <c r="N26" s="240"/>
      <c r="O26" s="240"/>
    </row>
    <row r="27" spans="1:60">
      <c r="B27" s="240"/>
      <c r="C27" s="240"/>
      <c r="D27" s="240"/>
      <c r="E27" s="240"/>
      <c r="F27" s="240"/>
      <c r="K27" s="240"/>
      <c r="L27" s="240"/>
      <c r="M27" s="240"/>
      <c r="N27" s="240"/>
      <c r="O27" s="240"/>
    </row>
    <row r="28" spans="1:60">
      <c r="B28" s="1752" t="s">
        <v>924</v>
      </c>
      <c r="C28" s="1752"/>
      <c r="D28" s="1752"/>
      <c r="E28" s="1752"/>
      <c r="F28" s="1752"/>
      <c r="G28" s="1752"/>
      <c r="H28" s="239"/>
      <c r="I28" s="1632"/>
      <c r="J28" s="1632"/>
      <c r="K28" s="1632"/>
      <c r="L28" s="1632"/>
      <c r="M28" s="244"/>
      <c r="N28" s="244"/>
      <c r="O28" s="244"/>
    </row>
    <row r="29" spans="1:60">
      <c r="B29" s="240"/>
      <c r="C29" s="240"/>
      <c r="D29" s="240"/>
      <c r="E29" s="240"/>
      <c r="F29" s="240"/>
      <c r="G29" s="239"/>
      <c r="H29" s="239"/>
      <c r="I29" s="240"/>
      <c r="J29" s="240"/>
      <c r="K29" s="245"/>
      <c r="L29" s="240"/>
      <c r="M29" s="240"/>
      <c r="N29" s="240"/>
      <c r="O29" s="240"/>
    </row>
    <row r="30" spans="1:60">
      <c r="B30" s="240"/>
      <c r="C30" s="240"/>
      <c r="D30" s="240"/>
      <c r="E30" s="240"/>
      <c r="F30" s="240"/>
      <c r="G30" s="239"/>
      <c r="H30" s="239"/>
      <c r="I30" s="1632"/>
      <c r="J30" s="1632"/>
      <c r="K30" s="1632"/>
      <c r="L30" s="1632"/>
      <c r="M30" s="244"/>
      <c r="N30" s="244"/>
      <c r="O30" s="244"/>
    </row>
    <row r="31" spans="1:60">
      <c r="B31" s="240"/>
      <c r="C31" s="240"/>
      <c r="D31" s="240"/>
      <c r="E31" s="240"/>
      <c r="F31" s="240"/>
      <c r="G31" s="239"/>
      <c r="H31" s="239"/>
      <c r="I31" s="240"/>
      <c r="J31" s="240"/>
      <c r="K31" s="245"/>
      <c r="L31" s="240"/>
      <c r="M31" s="240"/>
      <c r="N31" s="240"/>
      <c r="O31" s="240"/>
    </row>
    <row r="32" spans="1:60">
      <c r="B32" s="240"/>
      <c r="C32" s="240"/>
      <c r="D32" s="240"/>
      <c r="E32" s="240"/>
      <c r="F32" s="240"/>
      <c r="G32" s="239"/>
      <c r="H32" s="239"/>
      <c r="I32" s="1632"/>
      <c r="J32" s="1632"/>
      <c r="K32" s="1632"/>
      <c r="L32" s="1632"/>
      <c r="M32" s="244"/>
      <c r="N32" s="244"/>
      <c r="O32" s="244"/>
    </row>
  </sheetData>
  <sheetProtection algorithmName="SHA-512" hashValue="gAyYr4yOauSWPK/gtd3wvKQR3VBdYy5rMWe3A9dvrgtNOPXk7mSXrkXGcHl3fu6lhlKrokEvuaGLU1Rp6AppUA==" saltValue="3wQkByekhbJmqOs/OzijbA==" spinCount="100000" sheet="1" objects="1" scenarios="1"/>
  <mergeCells count="74">
    <mergeCell ref="F12:F15"/>
    <mergeCell ref="BG6:BH6"/>
    <mergeCell ref="AW7:BA7"/>
    <mergeCell ref="C8:D8"/>
    <mergeCell ref="C10:D10"/>
    <mergeCell ref="C9:D9"/>
    <mergeCell ref="Z14:AA14"/>
    <mergeCell ref="BD13:BD15"/>
    <mergeCell ref="AB14:AC14"/>
    <mergeCell ref="AP14:AQ14"/>
    <mergeCell ref="AR14:AS14"/>
    <mergeCell ref="AT14:AU14"/>
    <mergeCell ref="AN14:AO14"/>
    <mergeCell ref="AY13:AY15"/>
    <mergeCell ref="AL14:AM14"/>
    <mergeCell ref="AN13:AU13"/>
    <mergeCell ref="B12:B15"/>
    <mergeCell ref="C12:C15"/>
    <mergeCell ref="D12:D15"/>
    <mergeCell ref="E12:E15"/>
    <mergeCell ref="BE12:BH12"/>
    <mergeCell ref="P13:W13"/>
    <mergeCell ref="X13:AE13"/>
    <mergeCell ref="AF13:AM13"/>
    <mergeCell ref="AZ13:AZ15"/>
    <mergeCell ref="G12:G15"/>
    <mergeCell ref="AJ14:AK14"/>
    <mergeCell ref="P14:Q14"/>
    <mergeCell ref="R14:S14"/>
    <mergeCell ref="T14:U14"/>
    <mergeCell ref="V14:W14"/>
    <mergeCell ref="X14:Y14"/>
    <mergeCell ref="B2:B6"/>
    <mergeCell ref="BE13:BE15"/>
    <mergeCell ref="BF13:BF15"/>
    <mergeCell ref="BG13:BG15"/>
    <mergeCell ref="BH13:BH15"/>
    <mergeCell ref="C2:BF6"/>
    <mergeCell ref="BA13:BA15"/>
    <mergeCell ref="P12:AU12"/>
    <mergeCell ref="AV12:AV15"/>
    <mergeCell ref="AW12:AZ12"/>
    <mergeCell ref="BA12:BD12"/>
    <mergeCell ref="BB13:BB15"/>
    <mergeCell ref="BC13:BC15"/>
    <mergeCell ref="AD14:AE14"/>
    <mergeCell ref="AF14:AG14"/>
    <mergeCell ref="AH14:AI14"/>
    <mergeCell ref="AW13:AW15"/>
    <mergeCell ref="AX13:AX15"/>
    <mergeCell ref="N12:N15"/>
    <mergeCell ref="O12:O15"/>
    <mergeCell ref="H12:H15"/>
    <mergeCell ref="I12:I15"/>
    <mergeCell ref="J12:J15"/>
    <mergeCell ref="K12:K15"/>
    <mergeCell ref="L12:L15"/>
    <mergeCell ref="M12:M15"/>
    <mergeCell ref="BE21:BH21"/>
    <mergeCell ref="I30:L30"/>
    <mergeCell ref="I32:L32"/>
    <mergeCell ref="E19:E20"/>
    <mergeCell ref="D19:D20"/>
    <mergeCell ref="B22:G22"/>
    <mergeCell ref="B16:B20"/>
    <mergeCell ref="C16:C20"/>
    <mergeCell ref="I28:L28"/>
    <mergeCell ref="AX21:AZ21"/>
    <mergeCell ref="D23:O23"/>
    <mergeCell ref="E24:E25"/>
    <mergeCell ref="G24:J25"/>
    <mergeCell ref="L24:O24"/>
    <mergeCell ref="B21:AW21"/>
    <mergeCell ref="B28:G28"/>
  </mergeCells>
  <conditionalFormatting sqref="BA16:BD20">
    <cfRule type="cellIs" dxfId="14" priority="1" operator="greaterThan">
      <formula>1</formula>
    </cfRule>
    <cfRule type="cellIs" dxfId="13" priority="2" operator="between">
      <formula>0.8</formula>
      <formula>1</formula>
    </cfRule>
    <cfRule type="cellIs" dxfId="12" priority="3" operator="between">
      <formula>0.61</formula>
      <formula>0.79</formula>
    </cfRule>
    <cfRule type="cellIs" dxfId="11" priority="4" operator="between">
      <formula>0</formula>
      <formula>0.6</formula>
    </cfRule>
  </conditionalFormatting>
  <dataValidations count="1">
    <dataValidation allowBlank="1" showInputMessage="1" showErrorMessage="1" prompt="Transcriba de manera exacta el objetivo definido en la caracterización del proceso." sqref="C9:D9" xr:uid="{8043215A-E905-4C73-8364-3F2C1DB7857C}"/>
  </dataValidation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4F785-D9C2-480B-B6ED-4FFBE2D42911}">
  <sheetPr>
    <tabColor rgb="FF66FF33"/>
  </sheetPr>
  <dimension ref="B1:BH30"/>
  <sheetViews>
    <sheetView showGridLines="0" zoomScale="70" zoomScaleNormal="70" workbookViewId="0">
      <selection activeCell="C10" sqref="C10:D10"/>
    </sheetView>
  </sheetViews>
  <sheetFormatPr baseColWidth="10" defaultColWidth="17.33203125" defaultRowHeight="15" customHeight="1"/>
  <cols>
    <col min="1" max="1" width="4.33203125" style="135" customWidth="1"/>
    <col min="2" max="2" width="50.44140625" style="133" customWidth="1"/>
    <col min="3" max="3" width="31.44140625" style="133" customWidth="1"/>
    <col min="4" max="4" width="49.6640625" style="133" customWidth="1"/>
    <col min="5" max="5" width="23.44140625" style="133" customWidth="1"/>
    <col min="6" max="6" width="27.5546875" style="133" customWidth="1"/>
    <col min="7" max="8" width="29.33203125" style="134" customWidth="1"/>
    <col min="9" max="9" width="26.88671875" style="133" customWidth="1"/>
    <col min="10" max="10" width="31.88671875" style="133" customWidth="1"/>
    <col min="11" max="11" width="55.88671875" style="133" customWidth="1"/>
    <col min="12" max="12" width="48.44140625" style="133" customWidth="1"/>
    <col min="13" max="14" width="28.5546875" style="133" customWidth="1"/>
    <col min="15" max="15" width="50" style="133" customWidth="1"/>
    <col min="16" max="47" width="15.88671875" style="135" customWidth="1"/>
    <col min="48" max="48" width="24.5546875" style="135" customWidth="1"/>
    <col min="49" max="49" width="22.88671875" style="135" customWidth="1"/>
    <col min="50" max="50" width="19.33203125" style="135" customWidth="1"/>
    <col min="51" max="51" width="18.44140625" style="135" customWidth="1"/>
    <col min="52" max="52" width="19.44140625" style="135" customWidth="1"/>
    <col min="53" max="53" width="23.33203125" style="135" customWidth="1"/>
    <col min="54" max="55" width="25.109375" style="135" customWidth="1"/>
    <col min="56" max="56" width="26.6640625" style="135" customWidth="1"/>
    <col min="57" max="57" width="26.33203125" style="135" customWidth="1"/>
    <col min="58" max="58" width="26.5546875" style="135" customWidth="1"/>
    <col min="59" max="59" width="26.33203125" style="135" customWidth="1"/>
    <col min="60" max="60" width="27.33203125" style="135" customWidth="1"/>
    <col min="61" max="16384" width="17.33203125" style="135"/>
  </cols>
  <sheetData>
    <row r="1" spans="2:60" ht="15.6" thickBot="1"/>
    <row r="2" spans="2:60" ht="15.6" customHeight="1">
      <c r="B2" s="1575" t="s">
        <v>686</v>
      </c>
      <c r="C2" s="1600" t="s">
        <v>118</v>
      </c>
      <c r="D2" s="1601"/>
      <c r="E2" s="1601"/>
      <c r="F2" s="1601"/>
      <c r="G2" s="1601"/>
      <c r="H2" s="1601"/>
      <c r="I2" s="1601"/>
      <c r="J2" s="1601"/>
      <c r="K2" s="1601"/>
      <c r="L2" s="1601"/>
      <c r="M2" s="1601"/>
      <c r="N2" s="1601"/>
      <c r="O2" s="1601"/>
      <c r="P2" s="1601"/>
      <c r="Q2" s="1601"/>
      <c r="R2" s="1601"/>
      <c r="S2" s="1601"/>
      <c r="T2" s="1601"/>
      <c r="U2" s="1601"/>
      <c r="V2" s="1601"/>
      <c r="W2" s="1601"/>
      <c r="X2" s="1601"/>
      <c r="Y2" s="1601"/>
      <c r="Z2" s="1601"/>
      <c r="AA2" s="1601"/>
      <c r="AB2" s="1601"/>
      <c r="AC2" s="1601"/>
      <c r="AD2" s="1601"/>
      <c r="AE2" s="1601"/>
      <c r="AF2" s="1601"/>
      <c r="AG2" s="1601"/>
      <c r="AH2" s="1601"/>
      <c r="AI2" s="1601"/>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2"/>
      <c r="BG2" s="230" t="s">
        <v>31</v>
      </c>
      <c r="BH2" s="231"/>
    </row>
    <row r="3" spans="2:60" ht="15.6" customHeight="1">
      <c r="B3" s="1576"/>
      <c r="C3" s="1603"/>
      <c r="D3" s="1604"/>
      <c r="E3" s="1604"/>
      <c r="F3" s="1604"/>
      <c r="G3" s="1604"/>
      <c r="H3" s="1604"/>
      <c r="I3" s="1604"/>
      <c r="J3" s="1604"/>
      <c r="K3" s="1604"/>
      <c r="L3" s="1604"/>
      <c r="M3" s="1604"/>
      <c r="N3" s="1604"/>
      <c r="O3" s="1604"/>
      <c r="P3" s="1604"/>
      <c r="Q3" s="1604"/>
      <c r="R3" s="1604"/>
      <c r="S3" s="1604"/>
      <c r="T3" s="1604"/>
      <c r="U3" s="1604"/>
      <c r="V3" s="1604"/>
      <c r="W3" s="1604"/>
      <c r="X3" s="1604"/>
      <c r="Y3" s="1604"/>
      <c r="Z3" s="1604"/>
      <c r="AA3" s="1604"/>
      <c r="AB3" s="1604"/>
      <c r="AC3" s="1604"/>
      <c r="AD3" s="1604"/>
      <c r="AE3" s="1604"/>
      <c r="AF3" s="1604"/>
      <c r="AG3" s="1604"/>
      <c r="AH3" s="1604"/>
      <c r="AI3" s="1604"/>
      <c r="AJ3" s="1604"/>
      <c r="AK3" s="1604"/>
      <c r="AL3" s="1604"/>
      <c r="AM3" s="1604"/>
      <c r="AN3" s="1604"/>
      <c r="AO3" s="1604"/>
      <c r="AP3" s="1604"/>
      <c r="AQ3" s="1604"/>
      <c r="AR3" s="1604"/>
      <c r="AS3" s="1604"/>
      <c r="AT3" s="1604"/>
      <c r="AU3" s="1604"/>
      <c r="AV3" s="1604"/>
      <c r="AW3" s="1604"/>
      <c r="AX3" s="1604"/>
      <c r="AY3" s="1604"/>
      <c r="AZ3" s="1604"/>
      <c r="BA3" s="1604"/>
      <c r="BB3" s="1604"/>
      <c r="BC3" s="1604"/>
      <c r="BD3" s="1604"/>
      <c r="BE3" s="1604"/>
      <c r="BF3" s="1605"/>
      <c r="BG3" s="209" t="s">
        <v>28</v>
      </c>
      <c r="BH3" s="28" t="s">
        <v>29</v>
      </c>
    </row>
    <row r="4" spans="2:60" ht="15" customHeight="1">
      <c r="B4" s="1576"/>
      <c r="C4" s="1603"/>
      <c r="D4" s="1604"/>
      <c r="E4" s="1604"/>
      <c r="F4" s="1604"/>
      <c r="G4" s="1604"/>
      <c r="H4" s="1604"/>
      <c r="I4" s="1604"/>
      <c r="J4" s="1604"/>
      <c r="K4" s="1604"/>
      <c r="L4" s="1604"/>
      <c r="M4" s="1604"/>
      <c r="N4" s="1604"/>
      <c r="O4" s="1604"/>
      <c r="P4" s="1604"/>
      <c r="Q4" s="1604"/>
      <c r="R4" s="1604"/>
      <c r="S4" s="1604"/>
      <c r="T4" s="1604"/>
      <c r="U4" s="1604"/>
      <c r="V4" s="1604"/>
      <c r="W4" s="1604"/>
      <c r="X4" s="1604"/>
      <c r="Y4" s="1604"/>
      <c r="Z4" s="1604"/>
      <c r="AA4" s="1604"/>
      <c r="AB4" s="1604"/>
      <c r="AC4" s="1604"/>
      <c r="AD4" s="1604"/>
      <c r="AE4" s="1604"/>
      <c r="AF4" s="1604"/>
      <c r="AG4" s="1604"/>
      <c r="AH4" s="1604"/>
      <c r="AI4" s="1604"/>
      <c r="AJ4" s="1604"/>
      <c r="AK4" s="1604"/>
      <c r="AL4" s="1604"/>
      <c r="AM4" s="1604"/>
      <c r="AN4" s="1604"/>
      <c r="AO4" s="1604"/>
      <c r="AP4" s="1604"/>
      <c r="AQ4" s="1604"/>
      <c r="AR4" s="1604"/>
      <c r="AS4" s="1604"/>
      <c r="AT4" s="1604"/>
      <c r="AU4" s="1604"/>
      <c r="AV4" s="1604"/>
      <c r="AW4" s="1604"/>
      <c r="AX4" s="1604"/>
      <c r="AY4" s="1604"/>
      <c r="AZ4" s="1604"/>
      <c r="BA4" s="1604"/>
      <c r="BB4" s="1604"/>
      <c r="BC4" s="1604"/>
      <c r="BD4" s="1604"/>
      <c r="BE4" s="1604"/>
      <c r="BF4" s="1605"/>
      <c r="BG4" s="210">
        <v>5</v>
      </c>
      <c r="BH4" s="30" t="s">
        <v>657</v>
      </c>
    </row>
    <row r="5" spans="2:60" ht="15.6" customHeight="1">
      <c r="B5" s="1576"/>
      <c r="C5" s="1603"/>
      <c r="D5" s="1604"/>
      <c r="E5" s="1604"/>
      <c r="F5" s="1604"/>
      <c r="G5" s="1604"/>
      <c r="H5" s="1604"/>
      <c r="I5" s="1604"/>
      <c r="J5" s="1604"/>
      <c r="K5" s="1604"/>
      <c r="L5" s="1604"/>
      <c r="M5" s="1604"/>
      <c r="N5" s="1604"/>
      <c r="O5" s="1604"/>
      <c r="P5" s="1604"/>
      <c r="Q5" s="1604"/>
      <c r="R5" s="1604"/>
      <c r="S5" s="1604"/>
      <c r="T5" s="1604"/>
      <c r="U5" s="1604"/>
      <c r="V5" s="1604"/>
      <c r="W5" s="1604"/>
      <c r="X5" s="1604"/>
      <c r="Y5" s="1604"/>
      <c r="Z5" s="1604"/>
      <c r="AA5" s="1604"/>
      <c r="AB5" s="1604"/>
      <c r="AC5" s="1604"/>
      <c r="AD5" s="1604"/>
      <c r="AE5" s="1604"/>
      <c r="AF5" s="1604"/>
      <c r="AG5" s="1604"/>
      <c r="AH5" s="1604"/>
      <c r="AI5" s="1604"/>
      <c r="AJ5" s="1604"/>
      <c r="AK5" s="1604"/>
      <c r="AL5" s="1604"/>
      <c r="AM5" s="1604"/>
      <c r="AN5" s="1604"/>
      <c r="AO5" s="1604"/>
      <c r="AP5" s="1604"/>
      <c r="AQ5" s="1604"/>
      <c r="AR5" s="1604"/>
      <c r="AS5" s="1604"/>
      <c r="AT5" s="1604"/>
      <c r="AU5" s="1604"/>
      <c r="AV5" s="1604"/>
      <c r="AW5" s="1604"/>
      <c r="AX5" s="1604"/>
      <c r="AY5" s="1604"/>
      <c r="AZ5" s="1604"/>
      <c r="BA5" s="1604"/>
      <c r="BB5" s="1604"/>
      <c r="BC5" s="1604"/>
      <c r="BD5" s="1604"/>
      <c r="BE5" s="1604"/>
      <c r="BF5" s="1605"/>
      <c r="BG5" s="211" t="s">
        <v>30</v>
      </c>
      <c r="BH5" s="212"/>
    </row>
    <row r="6" spans="2:60" ht="15.6" customHeight="1" thickBot="1">
      <c r="B6" s="1577"/>
      <c r="C6" s="1606"/>
      <c r="D6" s="1607"/>
      <c r="E6" s="1607"/>
      <c r="F6" s="1607"/>
      <c r="G6" s="1607"/>
      <c r="H6" s="1607"/>
      <c r="I6" s="1607"/>
      <c r="J6" s="1607"/>
      <c r="K6" s="1607"/>
      <c r="L6" s="1607"/>
      <c r="M6" s="1607"/>
      <c r="N6" s="1607"/>
      <c r="O6" s="1607"/>
      <c r="P6" s="1607"/>
      <c r="Q6" s="1607"/>
      <c r="R6" s="1607"/>
      <c r="S6" s="1607"/>
      <c r="T6" s="1607"/>
      <c r="U6" s="1607"/>
      <c r="V6" s="1607"/>
      <c r="W6" s="1607"/>
      <c r="X6" s="1607"/>
      <c r="Y6" s="1607"/>
      <c r="Z6" s="1607"/>
      <c r="AA6" s="1607"/>
      <c r="AB6" s="1607"/>
      <c r="AC6" s="1607"/>
      <c r="AD6" s="1607"/>
      <c r="AE6" s="1607"/>
      <c r="AF6" s="1607"/>
      <c r="AG6" s="1607"/>
      <c r="AH6" s="1607"/>
      <c r="AI6" s="1607"/>
      <c r="AJ6" s="1607"/>
      <c r="AK6" s="1607"/>
      <c r="AL6" s="1607"/>
      <c r="AM6" s="1607"/>
      <c r="AN6" s="1607"/>
      <c r="AO6" s="1607"/>
      <c r="AP6" s="1607"/>
      <c r="AQ6" s="1607"/>
      <c r="AR6" s="1607"/>
      <c r="AS6" s="1607"/>
      <c r="AT6" s="1607"/>
      <c r="AU6" s="1607"/>
      <c r="AV6" s="1607"/>
      <c r="AW6" s="1607"/>
      <c r="AX6" s="1607"/>
      <c r="AY6" s="1607"/>
      <c r="AZ6" s="1607"/>
      <c r="BA6" s="1607"/>
      <c r="BB6" s="1607"/>
      <c r="BC6" s="1607"/>
      <c r="BD6" s="1607"/>
      <c r="BE6" s="1607"/>
      <c r="BF6" s="1608"/>
      <c r="BG6" s="1566">
        <v>44306</v>
      </c>
      <c r="BH6" s="1567"/>
    </row>
    <row r="7" spans="2:60">
      <c r="B7" s="136"/>
      <c r="C7" s="136"/>
      <c r="D7" s="136"/>
      <c r="E7" s="136"/>
      <c r="F7" s="136"/>
      <c r="G7" s="137"/>
      <c r="H7" s="137"/>
      <c r="I7" s="136"/>
      <c r="J7" s="136"/>
      <c r="K7" s="136"/>
      <c r="L7" s="136"/>
      <c r="M7" s="136"/>
      <c r="N7" s="136"/>
      <c r="O7" s="136"/>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589"/>
      <c r="AX7" s="1633"/>
      <c r="AY7" s="1633"/>
      <c r="AZ7" s="1633"/>
      <c r="BA7" s="1591"/>
      <c r="BB7" s="232"/>
      <c r="BC7" s="232"/>
      <c r="BD7" s="232"/>
      <c r="BE7" s="138"/>
      <c r="BF7" s="138"/>
    </row>
    <row r="8" spans="2:60" ht="24.6">
      <c r="B8" s="213" t="s">
        <v>45</v>
      </c>
      <c r="C8" s="1609" t="s">
        <v>87</v>
      </c>
      <c r="D8" s="1609"/>
      <c r="E8" s="214"/>
      <c r="F8" s="214"/>
      <c r="G8" s="214"/>
      <c r="H8" s="214"/>
      <c r="I8" s="214"/>
      <c r="J8" s="214"/>
      <c r="K8" s="214"/>
      <c r="L8" s="214"/>
      <c r="M8" s="214"/>
      <c r="N8" s="214"/>
      <c r="O8" s="214"/>
      <c r="AW8" s="232"/>
      <c r="AX8" s="232"/>
      <c r="AY8" s="232"/>
      <c r="AZ8" s="232"/>
      <c r="BA8" s="232"/>
      <c r="BB8" s="232"/>
      <c r="BC8" s="232"/>
      <c r="BD8" s="232"/>
    </row>
    <row r="9" spans="2:60" ht="75" customHeight="1">
      <c r="B9" s="213" t="s">
        <v>34</v>
      </c>
      <c r="C9" s="1610" t="s">
        <v>380</v>
      </c>
      <c r="D9" s="1611"/>
      <c r="E9" s="214"/>
      <c r="F9" s="214"/>
      <c r="G9" s="214"/>
      <c r="H9" s="214"/>
      <c r="I9" s="214"/>
      <c r="J9" s="214"/>
      <c r="K9" s="214"/>
      <c r="L9" s="214"/>
      <c r="M9" s="214"/>
      <c r="N9" s="214"/>
      <c r="O9" s="214"/>
      <c r="AW9" s="232"/>
      <c r="AX9" s="232"/>
      <c r="AY9" s="232"/>
      <c r="AZ9" s="232"/>
      <c r="BA9" s="232"/>
      <c r="BB9" s="232"/>
      <c r="BC9" s="232"/>
      <c r="BD9" s="232"/>
    </row>
    <row r="10" spans="2:60" ht="24.6">
      <c r="B10" s="213" t="s">
        <v>101</v>
      </c>
      <c r="C10" s="1612">
        <v>2022</v>
      </c>
      <c r="D10" s="1613"/>
      <c r="E10" s="214"/>
      <c r="F10" s="214"/>
      <c r="G10" s="214"/>
      <c r="H10" s="214"/>
      <c r="I10" s="214"/>
      <c r="J10" s="214"/>
      <c r="K10" s="214"/>
      <c r="L10" s="214"/>
      <c r="M10" s="214"/>
      <c r="N10" s="214"/>
      <c r="O10" s="214"/>
      <c r="AW10" s="232"/>
      <c r="AX10" s="232"/>
      <c r="AY10" s="232"/>
      <c r="AZ10" s="232"/>
      <c r="BA10" s="232"/>
      <c r="BB10" s="232"/>
      <c r="BC10" s="232"/>
      <c r="BD10" s="232"/>
    </row>
    <row r="11" spans="2:60">
      <c r="B11" s="136"/>
      <c r="C11" s="136"/>
      <c r="D11" s="136"/>
      <c r="E11" s="136"/>
      <c r="F11" s="136"/>
      <c r="G11" s="137"/>
      <c r="H11" s="137"/>
      <c r="I11" s="136"/>
      <c r="J11" s="136"/>
      <c r="K11" s="136"/>
      <c r="L11" s="136"/>
      <c r="M11" s="136"/>
      <c r="N11" s="136"/>
      <c r="O11" s="136"/>
      <c r="AW11" s="232"/>
      <c r="AX11" s="232"/>
      <c r="AY11" s="232"/>
      <c r="AZ11" s="232"/>
      <c r="BA11" s="232"/>
      <c r="BB11" s="232"/>
      <c r="BC11" s="232"/>
      <c r="BD11" s="232"/>
    </row>
    <row r="12" spans="2:60" ht="25.2" customHeight="1">
      <c r="B12" s="1476" t="s">
        <v>0</v>
      </c>
      <c r="C12" s="1476" t="s">
        <v>52</v>
      </c>
      <c r="D12" s="1302" t="s">
        <v>711</v>
      </c>
      <c r="E12" s="1476" t="s">
        <v>61</v>
      </c>
      <c r="F12" s="1302" t="s">
        <v>682</v>
      </c>
      <c r="G12" s="1476" t="s">
        <v>58</v>
      </c>
      <c r="H12" s="1476" t="s">
        <v>25</v>
      </c>
      <c r="I12" s="1476" t="s">
        <v>60</v>
      </c>
      <c r="J12" s="1476" t="s">
        <v>39</v>
      </c>
      <c r="K12" s="1476" t="s">
        <v>36</v>
      </c>
      <c r="L12" s="1476" t="s">
        <v>20</v>
      </c>
      <c r="M12" s="1476" t="s">
        <v>51</v>
      </c>
      <c r="N12" s="1476" t="s">
        <v>40</v>
      </c>
      <c r="O12" s="1476" t="s">
        <v>42</v>
      </c>
      <c r="P12" s="1528" t="s">
        <v>112</v>
      </c>
      <c r="Q12" s="1528"/>
      <c r="R12" s="1528"/>
      <c r="S12" s="1528"/>
      <c r="T12" s="1528"/>
      <c r="U12" s="1528"/>
      <c r="V12" s="1528"/>
      <c r="W12" s="1528"/>
      <c r="X12" s="1528"/>
      <c r="Y12" s="1528"/>
      <c r="Z12" s="1528"/>
      <c r="AA12" s="1528"/>
      <c r="AB12" s="1528"/>
      <c r="AC12" s="1528"/>
      <c r="AD12" s="1528"/>
      <c r="AE12" s="1528"/>
      <c r="AF12" s="1528"/>
      <c r="AG12" s="1528"/>
      <c r="AH12" s="1528"/>
      <c r="AI12" s="1528"/>
      <c r="AJ12" s="1528"/>
      <c r="AK12" s="1528"/>
      <c r="AL12" s="1528"/>
      <c r="AM12" s="1528"/>
      <c r="AN12" s="1528"/>
      <c r="AO12" s="1528"/>
      <c r="AP12" s="1528"/>
      <c r="AQ12" s="1528"/>
      <c r="AR12" s="1528"/>
      <c r="AS12" s="1528"/>
      <c r="AT12" s="1528"/>
      <c r="AU12" s="1528"/>
      <c r="AV12" s="1592" t="s">
        <v>62</v>
      </c>
      <c r="AW12" s="1594" t="s">
        <v>683</v>
      </c>
      <c r="AX12" s="1595"/>
      <c r="AY12" s="1595"/>
      <c r="AZ12" s="1596"/>
      <c r="BA12" s="1583" t="s">
        <v>684</v>
      </c>
      <c r="BB12" s="1584"/>
      <c r="BC12" s="1584"/>
      <c r="BD12" s="1585"/>
      <c r="BE12" s="1618" t="s">
        <v>685</v>
      </c>
      <c r="BF12" s="1619"/>
      <c r="BG12" s="1619"/>
      <c r="BH12" s="1620"/>
    </row>
    <row r="13" spans="2:60" ht="15.6">
      <c r="B13" s="1476"/>
      <c r="C13" s="1476"/>
      <c r="D13" s="1302"/>
      <c r="E13" s="1476"/>
      <c r="F13" s="1302"/>
      <c r="G13" s="1476"/>
      <c r="H13" s="1476"/>
      <c r="I13" s="1476"/>
      <c r="J13" s="1476"/>
      <c r="K13" s="1476"/>
      <c r="L13" s="1476"/>
      <c r="M13" s="1476"/>
      <c r="N13" s="1476"/>
      <c r="O13" s="1476"/>
      <c r="P13" s="1593" t="s">
        <v>21</v>
      </c>
      <c r="Q13" s="1593"/>
      <c r="R13" s="1593"/>
      <c r="S13" s="1593"/>
      <c r="T13" s="1593"/>
      <c r="U13" s="1593"/>
      <c r="V13" s="1593"/>
      <c r="W13" s="1593"/>
      <c r="X13" s="1593" t="s">
        <v>22</v>
      </c>
      <c r="Y13" s="1593"/>
      <c r="Z13" s="1593"/>
      <c r="AA13" s="1593"/>
      <c r="AB13" s="1593"/>
      <c r="AC13" s="1593"/>
      <c r="AD13" s="1593"/>
      <c r="AE13" s="1593"/>
      <c r="AF13" s="1593" t="s">
        <v>23</v>
      </c>
      <c r="AG13" s="1593"/>
      <c r="AH13" s="1593"/>
      <c r="AI13" s="1593"/>
      <c r="AJ13" s="1593"/>
      <c r="AK13" s="1593"/>
      <c r="AL13" s="1593"/>
      <c r="AM13" s="1593"/>
      <c r="AN13" s="1593" t="s">
        <v>24</v>
      </c>
      <c r="AO13" s="1593"/>
      <c r="AP13" s="1593"/>
      <c r="AQ13" s="1593"/>
      <c r="AR13" s="1593"/>
      <c r="AS13" s="1593"/>
      <c r="AT13" s="1593"/>
      <c r="AU13" s="1593"/>
      <c r="AV13" s="1592"/>
      <c r="AW13" s="1597" t="s">
        <v>119</v>
      </c>
      <c r="AX13" s="1597" t="s">
        <v>22</v>
      </c>
      <c r="AY13" s="1597" t="s">
        <v>120</v>
      </c>
      <c r="AZ13" s="1597" t="s">
        <v>121</v>
      </c>
      <c r="BA13" s="1586" t="s">
        <v>119</v>
      </c>
      <c r="BB13" s="1586" t="s">
        <v>122</v>
      </c>
      <c r="BC13" s="1586" t="s">
        <v>123</v>
      </c>
      <c r="BD13" s="1586" t="s">
        <v>124</v>
      </c>
      <c r="BE13" s="1580" t="s">
        <v>21</v>
      </c>
      <c r="BF13" s="1580" t="s">
        <v>22</v>
      </c>
      <c r="BG13" s="1580" t="s">
        <v>23</v>
      </c>
      <c r="BH13" s="1580" t="s">
        <v>24</v>
      </c>
    </row>
    <row r="14" spans="2:60" ht="15.6">
      <c r="B14" s="1476"/>
      <c r="C14" s="1476"/>
      <c r="D14" s="1302"/>
      <c r="E14" s="1476"/>
      <c r="F14" s="1302"/>
      <c r="G14" s="1476"/>
      <c r="H14" s="1476"/>
      <c r="I14" s="1476"/>
      <c r="J14" s="1476"/>
      <c r="K14" s="1476"/>
      <c r="L14" s="1476"/>
      <c r="M14" s="1476"/>
      <c r="N14" s="1476"/>
      <c r="O14" s="1476"/>
      <c r="P14" s="1641" t="s">
        <v>5</v>
      </c>
      <c r="Q14" s="1641"/>
      <c r="R14" s="1641" t="s">
        <v>6</v>
      </c>
      <c r="S14" s="1641"/>
      <c r="T14" s="1641" t="s">
        <v>7</v>
      </c>
      <c r="U14" s="1641"/>
      <c r="V14" s="1528" t="s">
        <v>8</v>
      </c>
      <c r="W14" s="1528"/>
      <c r="X14" s="1641" t="s">
        <v>27</v>
      </c>
      <c r="Y14" s="1641"/>
      <c r="Z14" s="1641" t="s">
        <v>9</v>
      </c>
      <c r="AA14" s="1641"/>
      <c r="AB14" s="1641" t="s">
        <v>10</v>
      </c>
      <c r="AC14" s="1641"/>
      <c r="AD14" s="1528" t="s">
        <v>8</v>
      </c>
      <c r="AE14" s="1528"/>
      <c r="AF14" s="1641" t="s">
        <v>11</v>
      </c>
      <c r="AG14" s="1641"/>
      <c r="AH14" s="1641" t="s">
        <v>12</v>
      </c>
      <c r="AI14" s="1641"/>
      <c r="AJ14" s="1641" t="s">
        <v>13</v>
      </c>
      <c r="AK14" s="1641"/>
      <c r="AL14" s="1528" t="s">
        <v>8</v>
      </c>
      <c r="AM14" s="1528"/>
      <c r="AN14" s="1641" t="s">
        <v>14</v>
      </c>
      <c r="AO14" s="1641"/>
      <c r="AP14" s="1641" t="s">
        <v>15</v>
      </c>
      <c r="AQ14" s="1641"/>
      <c r="AR14" s="1641" t="s">
        <v>16</v>
      </c>
      <c r="AS14" s="1641"/>
      <c r="AT14" s="1528" t="s">
        <v>8</v>
      </c>
      <c r="AU14" s="1528"/>
      <c r="AV14" s="1592"/>
      <c r="AW14" s="1598"/>
      <c r="AX14" s="1598"/>
      <c r="AY14" s="1598"/>
      <c r="AZ14" s="1598"/>
      <c r="BA14" s="1587"/>
      <c r="BB14" s="1587"/>
      <c r="BC14" s="1587"/>
      <c r="BD14" s="1587"/>
      <c r="BE14" s="1581"/>
      <c r="BF14" s="1581"/>
      <c r="BG14" s="1581"/>
      <c r="BH14" s="1581"/>
    </row>
    <row r="15" spans="2:60" ht="13.2" customHeight="1">
      <c r="B15" s="1476"/>
      <c r="C15" s="1476"/>
      <c r="D15" s="1302"/>
      <c r="E15" s="1476"/>
      <c r="F15" s="1302"/>
      <c r="G15" s="1476"/>
      <c r="H15" s="1476"/>
      <c r="I15" s="1476"/>
      <c r="J15" s="1476"/>
      <c r="K15" s="1476"/>
      <c r="L15" s="1476"/>
      <c r="M15" s="1476"/>
      <c r="N15" s="1476"/>
      <c r="O15" s="1476"/>
      <c r="P15" s="233" t="s">
        <v>17</v>
      </c>
      <c r="Q15" s="234" t="s">
        <v>18</v>
      </c>
      <c r="R15" s="233" t="s">
        <v>17</v>
      </c>
      <c r="S15" s="234" t="s">
        <v>18</v>
      </c>
      <c r="T15" s="233" t="s">
        <v>17</v>
      </c>
      <c r="U15" s="234" t="s">
        <v>18</v>
      </c>
      <c r="V15" s="75" t="s">
        <v>17</v>
      </c>
      <c r="W15" s="76" t="s">
        <v>18</v>
      </c>
      <c r="X15" s="233" t="s">
        <v>17</v>
      </c>
      <c r="Y15" s="234" t="s">
        <v>18</v>
      </c>
      <c r="Z15" s="233" t="s">
        <v>17</v>
      </c>
      <c r="AA15" s="234" t="s">
        <v>18</v>
      </c>
      <c r="AB15" s="233" t="s">
        <v>17</v>
      </c>
      <c r="AC15" s="234" t="s">
        <v>18</v>
      </c>
      <c r="AD15" s="75" t="s">
        <v>17</v>
      </c>
      <c r="AE15" s="76" t="s">
        <v>18</v>
      </c>
      <c r="AF15" s="233" t="s">
        <v>17</v>
      </c>
      <c r="AG15" s="234" t="s">
        <v>18</v>
      </c>
      <c r="AH15" s="233" t="s">
        <v>17</v>
      </c>
      <c r="AI15" s="234" t="s">
        <v>18</v>
      </c>
      <c r="AJ15" s="233" t="s">
        <v>17</v>
      </c>
      <c r="AK15" s="234" t="s">
        <v>18</v>
      </c>
      <c r="AL15" s="75" t="s">
        <v>17</v>
      </c>
      <c r="AM15" s="76" t="s">
        <v>18</v>
      </c>
      <c r="AN15" s="233" t="s">
        <v>17</v>
      </c>
      <c r="AO15" s="234" t="s">
        <v>18</v>
      </c>
      <c r="AP15" s="233" t="s">
        <v>17</v>
      </c>
      <c r="AQ15" s="234" t="s">
        <v>18</v>
      </c>
      <c r="AR15" s="233" t="s">
        <v>17</v>
      </c>
      <c r="AS15" s="234" t="s">
        <v>18</v>
      </c>
      <c r="AT15" s="75" t="s">
        <v>17</v>
      </c>
      <c r="AU15" s="76" t="s">
        <v>18</v>
      </c>
      <c r="AV15" s="1592"/>
      <c r="AW15" s="1599"/>
      <c r="AX15" s="1599"/>
      <c r="AY15" s="1599"/>
      <c r="AZ15" s="1599"/>
      <c r="BA15" s="1588"/>
      <c r="BB15" s="1588"/>
      <c r="BC15" s="1588"/>
      <c r="BD15" s="1588"/>
      <c r="BE15" s="1582"/>
      <c r="BF15" s="1582"/>
      <c r="BG15" s="1582"/>
      <c r="BH15" s="1582"/>
    </row>
    <row r="16" spans="2:60" ht="128.25" customHeight="1">
      <c r="B16" s="1493"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493" t="str">
        <f>+'01-FR-03 POA INSTITUCIONAL'!C55</f>
        <v>4.2. Consolidar el 90% del Modelo Integrado de Planeación y Gestión –MIPG- y sus sistemas de gestión articulados, como compromiso con la Calidad, la Excelencia, la Responsabilidad Ambiental y la Mejora en la prestación del Servicio.</v>
      </c>
      <c r="D16" s="31" t="str">
        <f>+'01-FR-03 POA INSTITUCIONAL'!D59</f>
        <v>4.2.5 Incrementar al 90% la percepción de los usuarios que califican como excelente y bueno el servicio en la Personería de Bogotá</v>
      </c>
      <c r="E16" s="52">
        <f>+'01-FR-03 POA INSTITUCIONAL'!E59</f>
        <v>0.2</v>
      </c>
      <c r="F16" s="303">
        <f>+'01-FR-03 POA INSTITUCIONAL'!F59</f>
        <v>0.9</v>
      </c>
      <c r="G16" s="174">
        <f>+'01-FR-03 POA INSTITUCIONAL'!L59</f>
        <v>0.9</v>
      </c>
      <c r="H16" s="33">
        <f>+'01-FR-03 POA INSTITUCIONAL'!G59</f>
        <v>0.86</v>
      </c>
      <c r="I16" s="33" t="str">
        <f>+'01-FR-03 POA INSTITUCIONAL'!H59</f>
        <v>Porcentaje de Percepción de los usuarios en calificación excelente y bueno incrementado</v>
      </c>
      <c r="J16" s="215" t="s">
        <v>371</v>
      </c>
      <c r="K16" s="217" t="s">
        <v>372</v>
      </c>
      <c r="L16" s="217" t="s">
        <v>373</v>
      </c>
      <c r="M16" s="217" t="s">
        <v>374</v>
      </c>
      <c r="N16" s="217" t="s">
        <v>375</v>
      </c>
      <c r="O16" s="34" t="str">
        <f>+'01-FR-03 POA INSTITUCIONAL'!J59</f>
        <v>Secretaría General</v>
      </c>
      <c r="P16" s="1032">
        <v>0.9</v>
      </c>
      <c r="Q16" s="1051">
        <v>0.95899999999999996</v>
      </c>
      <c r="R16" s="1032">
        <v>0</v>
      </c>
      <c r="S16" s="1032">
        <v>0</v>
      </c>
      <c r="T16" s="1032">
        <v>0</v>
      </c>
      <c r="U16" s="1032">
        <v>0</v>
      </c>
      <c r="V16" s="315">
        <f>IFERROR(AVERAGE(P16),0)</f>
        <v>0.9</v>
      </c>
      <c r="W16" s="323">
        <f>IFERROR(AVERAGE(Q16),0)</f>
        <v>0.95899999999999996</v>
      </c>
      <c r="X16" s="1032">
        <v>0</v>
      </c>
      <c r="Y16" s="1033"/>
      <c r="Z16" s="1032">
        <v>0</v>
      </c>
      <c r="AA16" s="1033"/>
      <c r="AB16" s="1032">
        <v>0</v>
      </c>
      <c r="AC16" s="1033"/>
      <c r="AD16" s="315">
        <f>IFERROR(AVERAGE(X16),0)</f>
        <v>0</v>
      </c>
      <c r="AE16" s="315">
        <f>IFERROR(AVERAGE(Y16),0)</f>
        <v>0</v>
      </c>
      <c r="AF16" s="1032">
        <v>0.9</v>
      </c>
      <c r="AG16" s="1033"/>
      <c r="AH16" s="1032">
        <v>0</v>
      </c>
      <c r="AI16" s="1033"/>
      <c r="AJ16" s="1032">
        <v>0</v>
      </c>
      <c r="AK16" s="1034"/>
      <c r="AL16" s="315">
        <f>IFERROR(AVERAGE(AF16),0)</f>
        <v>0.9</v>
      </c>
      <c r="AM16" s="323">
        <f>IFERROR(AVERAGE(AG16),0)</f>
        <v>0</v>
      </c>
      <c r="AN16" s="1032">
        <v>0</v>
      </c>
      <c r="AO16" s="1033"/>
      <c r="AP16" s="1032">
        <v>0</v>
      </c>
      <c r="AQ16" s="1033"/>
      <c r="AR16" s="1032">
        <v>0</v>
      </c>
      <c r="AS16" s="1033"/>
      <c r="AT16" s="315">
        <f>IFERROR(AVERAGE(AN16),0)</f>
        <v>0</v>
      </c>
      <c r="AU16" s="315">
        <f>IFERROR(AVERAGE(AO16),0)</f>
        <v>0</v>
      </c>
      <c r="AV16" s="303">
        <f>(IFERROR(AVERAGE(V16,AL16),0))</f>
        <v>0.9</v>
      </c>
      <c r="AW16" s="307">
        <f>IFERROR(IF(OR($AV$16="",$AV$16=0),0,ROUNDDOWN(AVERAGE($Q16),3)),0)</f>
        <v>0.95899999999999996</v>
      </c>
      <c r="AX16" s="1057">
        <f>IFERROR(IF(OR($AV$16="",$AV$16=0),0,ROUNDDOWN(AVERAGE($Q16),3)),0)</f>
        <v>0.95899999999999996</v>
      </c>
      <c r="AY16" s="1057">
        <f>IFERROR(IF(OR($AV$16="",$AV$16=0),0,ROUNDDOWN(AVERAGE($AG16),3)),0)</f>
        <v>0</v>
      </c>
      <c r="AZ16" s="1057">
        <f>IFERROR(IF(OR($AV$16="",$AV$16=0),0,ROUNDDOWN(AVERAGE($AG16),3)),0)</f>
        <v>0</v>
      </c>
      <c r="BA16" s="341">
        <f>(IF(AND(AW16&gt;0,AV16&gt;0),AW16/AV16,0))*0.5</f>
        <v>0.53277777777777779</v>
      </c>
      <c r="BB16" s="341">
        <f>(IF(AND(AX16&gt;0,$AV16&gt;0),AX16/$AV16,0))*0.5</f>
        <v>0.53277777777777779</v>
      </c>
      <c r="BC16" s="380">
        <f>(IF(AND(AY16&gt;0,$AV16&gt;0),AY16/$AV16,0))*1</f>
        <v>0</v>
      </c>
      <c r="BD16" s="380">
        <f>IF(AND(AZ16&gt;0,$AV16&gt;0),AZ16/$AV16,0)*1</f>
        <v>0</v>
      </c>
      <c r="BE16" s="316">
        <f>(((IF(AND(AW16&gt;0,$F16&gt;0),AW16/$F16,0)))/4)*0.5</f>
        <v>0.13319444444444445</v>
      </c>
      <c r="BF16" s="1059">
        <f>(((IF(AND(AX16&gt;0,$F16&gt;0),AX16/$F16,0)))/4)*0.5</f>
        <v>0.13319444444444445</v>
      </c>
      <c r="BG16" s="1060">
        <f>(((IF(AND(AY16&gt;0,$F16&gt;0),AY16/$F16,0)))/4)*1</f>
        <v>0</v>
      </c>
      <c r="BH16" s="1059">
        <f>(((IF(AND(AZ16&gt;0,$F16&gt;0),AZ16/$F16,0)))/4)*1</f>
        <v>0</v>
      </c>
    </row>
    <row r="17" spans="2:60" ht="128.25" customHeight="1">
      <c r="B17" s="1494"/>
      <c r="C17" s="1495"/>
      <c r="D17" s="31" t="str">
        <f>+'01-FR-03 POA INSTITUCIONAL'!D60</f>
        <v xml:space="preserve">4.2.6 Implementar 7 lineamientos en compromiso con la calidad para satisfacer las necesidades y expectativas de los (as) usuarios(as) y partes interesadas </v>
      </c>
      <c r="E17" s="52">
        <f>+'01-FR-03 POA INSTITUCIONAL'!E60</f>
        <v>0.15</v>
      </c>
      <c r="F17" s="305">
        <f>+'01-FR-03 POA INSTITUCIONAL'!F60</f>
        <v>7</v>
      </c>
      <c r="G17" s="296">
        <f>+'01-FR-03 POA INSTITUCIONAL'!L60</f>
        <v>3</v>
      </c>
      <c r="H17" s="296">
        <f>+'01-FR-03 POA INSTITUCIONAL'!G60</f>
        <v>3</v>
      </c>
      <c r="I17" s="33" t="str">
        <f>+'01-FR-03 POA INSTITUCIONAL'!H60</f>
        <v>Lineamientos implementados</v>
      </c>
      <c r="J17" s="215" t="s">
        <v>376</v>
      </c>
      <c r="K17" s="217" t="s">
        <v>377</v>
      </c>
      <c r="L17" s="225" t="s">
        <v>1135</v>
      </c>
      <c r="M17" s="217" t="s">
        <v>378</v>
      </c>
      <c r="N17" s="217" t="s">
        <v>375</v>
      </c>
      <c r="O17" s="34" t="str">
        <f>+'01-FR-03 POA INSTITUCIONAL'!J60</f>
        <v>Secretaría General</v>
      </c>
      <c r="P17" s="1033">
        <v>1</v>
      </c>
      <c r="Q17" s="1033">
        <v>1</v>
      </c>
      <c r="R17" s="1033">
        <v>0</v>
      </c>
      <c r="S17" s="1033">
        <v>0</v>
      </c>
      <c r="T17" s="1033">
        <v>0</v>
      </c>
      <c r="U17" s="1033">
        <v>0</v>
      </c>
      <c r="V17" s="304">
        <f t="shared" ref="V17:W17" si="0">P17+R17+T17</f>
        <v>1</v>
      </c>
      <c r="W17" s="304">
        <f t="shared" si="0"/>
        <v>1</v>
      </c>
      <c r="X17" s="1033">
        <v>0</v>
      </c>
      <c r="Y17" s="1033"/>
      <c r="Z17" s="1033">
        <v>0</v>
      </c>
      <c r="AA17" s="1033"/>
      <c r="AB17" s="1033">
        <v>1</v>
      </c>
      <c r="AC17" s="1033"/>
      <c r="AD17" s="304">
        <f t="shared" ref="AD17:AE17" si="1">X17+Z17+AB17</f>
        <v>1</v>
      </c>
      <c r="AE17" s="304">
        <f t="shared" si="1"/>
        <v>0</v>
      </c>
      <c r="AF17" s="1033">
        <v>0</v>
      </c>
      <c r="AG17" s="1033"/>
      <c r="AH17" s="1033">
        <v>0</v>
      </c>
      <c r="AI17" s="1033"/>
      <c r="AJ17" s="1033">
        <v>0</v>
      </c>
      <c r="AK17" s="1034"/>
      <c r="AL17" s="304">
        <f t="shared" ref="AL17:AM17" si="2">AF17+AH17+AJ17</f>
        <v>0</v>
      </c>
      <c r="AM17" s="304">
        <f t="shared" si="2"/>
        <v>0</v>
      </c>
      <c r="AN17" s="1033">
        <v>0</v>
      </c>
      <c r="AO17" s="1033"/>
      <c r="AP17" s="1033">
        <v>1</v>
      </c>
      <c r="AQ17" s="1033"/>
      <c r="AR17" s="1033">
        <v>0</v>
      </c>
      <c r="AS17" s="1033"/>
      <c r="AT17" s="304">
        <f t="shared" ref="AT17:AU17" si="3">AN17+AP17+AR17</f>
        <v>1</v>
      </c>
      <c r="AU17" s="304">
        <f t="shared" si="3"/>
        <v>0</v>
      </c>
      <c r="AV17" s="305">
        <f t="shared" ref="AV17" si="4">V17+AD17+AL17+AT17</f>
        <v>3</v>
      </c>
      <c r="AW17" s="305">
        <f>+W17</f>
        <v>1</v>
      </c>
      <c r="AX17" s="1058">
        <f>+W17+AE17</f>
        <v>1</v>
      </c>
      <c r="AY17" s="1058">
        <f>+W17+AE17+AM17</f>
        <v>1</v>
      </c>
      <c r="AZ17" s="1058">
        <f>+W17+AE17+AM17+AU17</f>
        <v>1</v>
      </c>
      <c r="BA17" s="342">
        <f>IF(AND(AW17&gt;0,AV17&gt;0),AW17/AV17,0)</f>
        <v>0.33333333333333331</v>
      </c>
      <c r="BB17" s="342">
        <f t="shared" ref="BB17:BD18" si="5">IF(AND(AX17&gt;0,$AV17&gt;0),AX17/$AV17,0)</f>
        <v>0.33333333333333331</v>
      </c>
      <c r="BC17" s="342">
        <f t="shared" si="5"/>
        <v>0.33333333333333331</v>
      </c>
      <c r="BD17" s="342">
        <f t="shared" si="5"/>
        <v>0.33333333333333331</v>
      </c>
      <c r="BE17" s="317">
        <f t="shared" ref="BE17:BH18" si="6">(IF(AND(AW17&gt;0,$F17&gt;0),AW17/$F17,0))</f>
        <v>0.14285714285714285</v>
      </c>
      <c r="BF17" s="1060">
        <f t="shared" si="6"/>
        <v>0.14285714285714285</v>
      </c>
      <c r="BG17" s="1060">
        <f t="shared" si="6"/>
        <v>0.14285714285714285</v>
      </c>
      <c r="BH17" s="1060">
        <f t="shared" si="6"/>
        <v>0.14285714285714285</v>
      </c>
    </row>
    <row r="18" spans="2:60" ht="128.25" customHeight="1">
      <c r="B18" s="1495"/>
      <c r="C18" s="31" t="str">
        <f>+'01-FR-03 POA INSTITUCIONAL'!C95</f>
        <v>4.7. Articular el 100% de las acciones de trabajo interinstitucional y cooperación nacional e internacional que permita aunar esfuerzos para el cumplimiento de la misión institucional.</v>
      </c>
      <c r="D18" s="31" t="str">
        <f>+'01-FR-03 POA INSTITUCIONAL'!D95</f>
        <v>4.7.1 Gestionar 3 acuerdos interinstitucionales o de cooperación nacional y/o internacional para garantizar el enfoque social, en el marco de un estado pluralista, para el fortalecimiento de la prestación del servicio al usuario</v>
      </c>
      <c r="E18" s="52">
        <f>+'01-FR-03 POA INSTITUCIONAL'!E95</f>
        <v>1</v>
      </c>
      <c r="F18" s="237">
        <f>+'01-FR-03 POA INSTITUCIONAL'!F95</f>
        <v>3</v>
      </c>
      <c r="G18" s="296">
        <f>+'01-FR-03 POA INSTITUCIONAL'!L95</f>
        <v>1</v>
      </c>
      <c r="H18" s="140" t="str">
        <f>+'01-FR-03 POA INSTITUCIONAL'!G95</f>
        <v>S.I.</v>
      </c>
      <c r="I18" s="140" t="str">
        <f>+'01-FR-03 POA INSTITUCIONAL'!H95</f>
        <v>Acuerdos interinstitucionales gestionados</v>
      </c>
      <c r="J18" s="215" t="s">
        <v>381</v>
      </c>
      <c r="K18" s="217" t="s">
        <v>382</v>
      </c>
      <c r="L18" s="217" t="s">
        <v>383</v>
      </c>
      <c r="M18" s="217" t="s">
        <v>378</v>
      </c>
      <c r="N18" s="217" t="s">
        <v>375</v>
      </c>
      <c r="O18" s="34" t="str">
        <f>+'01-FR-03 POA INSTITUCIONAL'!J95</f>
        <v>Secretaría General</v>
      </c>
      <c r="P18" s="935">
        <v>0</v>
      </c>
      <c r="Q18" s="935">
        <v>0</v>
      </c>
      <c r="R18" s="935">
        <v>0</v>
      </c>
      <c r="S18" s="935">
        <v>0</v>
      </c>
      <c r="T18" s="935">
        <v>0</v>
      </c>
      <c r="U18" s="935">
        <v>0</v>
      </c>
      <c r="V18" s="67">
        <f t="shared" ref="V18:W18" si="7">P18+R18+T18</f>
        <v>0</v>
      </c>
      <c r="W18" s="67">
        <f t="shared" si="7"/>
        <v>0</v>
      </c>
      <c r="X18" s="935">
        <v>0</v>
      </c>
      <c r="Y18" s="935"/>
      <c r="Z18" s="935">
        <v>0</v>
      </c>
      <c r="AA18" s="935"/>
      <c r="AB18" s="935">
        <v>0</v>
      </c>
      <c r="AC18" s="935"/>
      <c r="AD18" s="67">
        <f t="shared" ref="AD18:AE18" si="8">X18+Z18+AB18</f>
        <v>0</v>
      </c>
      <c r="AE18" s="67">
        <f t="shared" si="8"/>
        <v>0</v>
      </c>
      <c r="AF18" s="935">
        <v>0</v>
      </c>
      <c r="AG18" s="935"/>
      <c r="AH18" s="935">
        <v>0</v>
      </c>
      <c r="AI18" s="935"/>
      <c r="AJ18" s="1014">
        <v>0</v>
      </c>
      <c r="AK18" s="1014"/>
      <c r="AL18" s="67">
        <f t="shared" ref="AL18:AM18" si="9">AF18+AH18+AJ18</f>
        <v>0</v>
      </c>
      <c r="AM18" s="67">
        <f t="shared" si="9"/>
        <v>0</v>
      </c>
      <c r="AN18" s="935">
        <v>0</v>
      </c>
      <c r="AO18" s="935"/>
      <c r="AP18" s="935">
        <v>1</v>
      </c>
      <c r="AQ18" s="935"/>
      <c r="AR18" s="935">
        <v>0</v>
      </c>
      <c r="AS18" s="935"/>
      <c r="AT18" s="67">
        <f t="shared" ref="AT18:AU18" si="10">AN18+AP18+AR18</f>
        <v>1</v>
      </c>
      <c r="AU18" s="67">
        <f t="shared" si="10"/>
        <v>0</v>
      </c>
      <c r="AV18" s="237">
        <f t="shared" ref="AV18" si="11">V18+AD18+AL18+AT18</f>
        <v>1</v>
      </c>
      <c r="AW18" s="305">
        <f>+W18</f>
        <v>0</v>
      </c>
      <c r="AX18" s="1058">
        <f>+W18+AE18</f>
        <v>0</v>
      </c>
      <c r="AY18" s="1058">
        <f>+W18+AE18+AM18</f>
        <v>0</v>
      </c>
      <c r="AZ18" s="1058">
        <f>+W18+AE18+AM18+AU18</f>
        <v>0</v>
      </c>
      <c r="BA18" s="342">
        <f>IF(AND(AW18&gt;0,AV18&gt;0),AW18/AV18,0)</f>
        <v>0</v>
      </c>
      <c r="BB18" s="342">
        <f t="shared" si="5"/>
        <v>0</v>
      </c>
      <c r="BC18" s="342">
        <f t="shared" si="5"/>
        <v>0</v>
      </c>
      <c r="BD18" s="342">
        <f t="shared" si="5"/>
        <v>0</v>
      </c>
      <c r="BE18" s="317">
        <f t="shared" si="6"/>
        <v>0</v>
      </c>
      <c r="BF18" s="1060">
        <f t="shared" si="6"/>
        <v>0</v>
      </c>
      <c r="BG18" s="1060">
        <f t="shared" si="6"/>
        <v>0</v>
      </c>
      <c r="BH18" s="1060">
        <f t="shared" si="6"/>
        <v>0</v>
      </c>
    </row>
    <row r="19" spans="2:60" ht="22.8">
      <c r="B19" s="1560" t="s">
        <v>681</v>
      </c>
      <c r="C19" s="1561"/>
      <c r="D19" s="1561"/>
      <c r="E19" s="1561"/>
      <c r="F19" s="1561"/>
      <c r="G19" s="1561"/>
      <c r="H19" s="1561"/>
      <c r="I19" s="1561"/>
      <c r="J19" s="1561"/>
      <c r="K19" s="1561"/>
      <c r="L19" s="1561"/>
      <c r="M19" s="1561"/>
      <c r="N19" s="1561"/>
      <c r="O19" s="1561"/>
      <c r="P19" s="1561"/>
      <c r="Q19" s="1561"/>
      <c r="R19" s="1561"/>
      <c r="S19" s="1561"/>
      <c r="T19" s="1561"/>
      <c r="U19" s="1561"/>
      <c r="V19" s="1561"/>
      <c r="W19" s="1561"/>
      <c r="X19" s="1561"/>
      <c r="Y19" s="1561"/>
      <c r="Z19" s="1561"/>
      <c r="AA19" s="1561"/>
      <c r="AB19" s="1561"/>
      <c r="AC19" s="1561"/>
      <c r="AD19" s="1561"/>
      <c r="AE19" s="1561"/>
      <c r="AF19" s="1561"/>
      <c r="AG19" s="1561"/>
      <c r="AH19" s="1561"/>
      <c r="AI19" s="1561"/>
      <c r="AJ19" s="1561"/>
      <c r="AK19" s="1561"/>
      <c r="AL19" s="1561"/>
      <c r="AM19" s="1561"/>
      <c r="AN19" s="1561"/>
      <c r="AO19" s="1561"/>
      <c r="AP19" s="1561"/>
      <c r="AQ19" s="1561"/>
      <c r="AR19" s="1561"/>
      <c r="AS19" s="1561"/>
      <c r="AT19" s="1561"/>
      <c r="AU19" s="1561"/>
      <c r="AV19" s="1561"/>
      <c r="AW19" s="1644"/>
      <c r="AX19" s="1614" t="s">
        <v>19</v>
      </c>
      <c r="AY19" s="1642"/>
      <c r="AZ19" s="1642"/>
      <c r="BA19" s="70">
        <f>AVERAGE(BA16:BA18)</f>
        <v>0.28870370370370368</v>
      </c>
      <c r="BB19" s="331">
        <f t="shared" ref="BB19:BD19" si="12">AVERAGE(BB16:BB18)</f>
        <v>0.28870370370370368</v>
      </c>
      <c r="BC19" s="331">
        <f t="shared" si="12"/>
        <v>0.1111111111111111</v>
      </c>
      <c r="BD19" s="331">
        <f t="shared" si="12"/>
        <v>0.1111111111111111</v>
      </c>
      <c r="BE19" s="1754"/>
      <c r="BF19" s="1755"/>
      <c r="BG19" s="1755"/>
      <c r="BH19" s="1756"/>
    </row>
    <row r="20" spans="2:60">
      <c r="B20" s="1553"/>
      <c r="C20" s="1553"/>
      <c r="D20" s="1553"/>
      <c r="E20" s="1553"/>
      <c r="F20" s="1553"/>
      <c r="G20" s="1553"/>
      <c r="H20" s="239"/>
      <c r="I20" s="240"/>
      <c r="J20" s="240"/>
      <c r="K20" s="240"/>
      <c r="L20" s="240"/>
      <c r="M20" s="240"/>
      <c r="N20" s="240"/>
      <c r="O20" s="240"/>
    </row>
    <row r="21" spans="2:60">
      <c r="B21" s="240"/>
      <c r="C21" s="240"/>
      <c r="D21" s="1624"/>
      <c r="E21" s="1624"/>
      <c r="F21" s="1624"/>
      <c r="G21" s="1624"/>
      <c r="H21" s="1624"/>
      <c r="I21" s="1624"/>
      <c r="J21" s="1624"/>
      <c r="K21" s="1624"/>
      <c r="L21" s="1624"/>
      <c r="M21" s="1624"/>
      <c r="N21" s="1624"/>
      <c r="O21" s="1624"/>
    </row>
    <row r="22" spans="2:60" ht="15.6" customHeight="1">
      <c r="B22" s="77" t="s">
        <v>26</v>
      </c>
      <c r="C22" s="241">
        <v>44224</v>
      </c>
      <c r="D22" s="242"/>
      <c r="E22" s="1625" t="s">
        <v>50</v>
      </c>
      <c r="F22" s="1701" t="s">
        <v>384</v>
      </c>
      <c r="G22" s="1702"/>
      <c r="H22" s="1702"/>
      <c r="I22" s="1702"/>
      <c r="J22" s="1703"/>
      <c r="K22" s="243"/>
      <c r="L22" s="1633"/>
      <c r="M22" s="1633"/>
      <c r="N22" s="1633"/>
      <c r="O22" s="1634"/>
    </row>
    <row r="23" spans="2:60" ht="15.6">
      <c r="B23" s="240"/>
      <c r="C23" s="240"/>
      <c r="D23" s="243"/>
      <c r="E23" s="1625"/>
      <c r="F23" s="1704"/>
      <c r="G23" s="1705"/>
      <c r="H23" s="1705"/>
      <c r="I23" s="1705"/>
      <c r="J23" s="1706"/>
      <c r="K23" s="240"/>
      <c r="L23" s="240"/>
      <c r="M23" s="240"/>
      <c r="N23" s="240"/>
      <c r="O23" s="240"/>
    </row>
    <row r="24" spans="2:60" ht="15.6">
      <c r="B24" s="77" t="s">
        <v>49</v>
      </c>
      <c r="C24" s="241">
        <v>44581</v>
      </c>
      <c r="D24" s="240"/>
      <c r="E24" s="240"/>
      <c r="F24" s="240"/>
      <c r="K24" s="240"/>
      <c r="L24" s="240"/>
      <c r="M24" s="240"/>
      <c r="N24" s="240"/>
      <c r="O24" s="240"/>
    </row>
    <row r="25" spans="2:60">
      <c r="B25" s="240"/>
      <c r="C25" s="240"/>
      <c r="D25" s="240"/>
      <c r="E25" s="240"/>
      <c r="F25" s="240"/>
      <c r="K25" s="240"/>
      <c r="L25" s="240"/>
      <c r="M25" s="240"/>
      <c r="N25" s="240"/>
      <c r="O25" s="240"/>
    </row>
    <row r="26" spans="2:60">
      <c r="B26" s="1752" t="s">
        <v>924</v>
      </c>
      <c r="C26" s="1752"/>
      <c r="D26" s="1752"/>
      <c r="E26" s="1752"/>
      <c r="F26" s="1752"/>
      <c r="G26" s="1752"/>
      <c r="H26" s="239"/>
      <c r="I26" s="1632"/>
      <c r="J26" s="1632"/>
      <c r="K26" s="1632"/>
      <c r="L26" s="1632"/>
      <c r="M26" s="244"/>
      <c r="N26" s="244"/>
      <c r="O26" s="244"/>
    </row>
    <row r="27" spans="2:60">
      <c r="B27" s="240"/>
      <c r="C27" s="240"/>
      <c r="D27" s="240"/>
      <c r="E27" s="240"/>
      <c r="F27" s="240"/>
      <c r="G27" s="239"/>
      <c r="H27" s="239"/>
      <c r="I27" s="240"/>
      <c r="J27" s="240"/>
      <c r="K27" s="245"/>
      <c r="L27" s="240"/>
      <c r="M27" s="240"/>
      <c r="N27" s="240"/>
      <c r="O27" s="240"/>
    </row>
    <row r="28" spans="2:60">
      <c r="B28" s="240"/>
      <c r="C28" s="240"/>
      <c r="D28" s="240"/>
      <c r="E28" s="240"/>
      <c r="F28" s="240"/>
      <c r="G28" s="239"/>
      <c r="H28" s="239"/>
      <c r="I28" s="1632"/>
      <c r="J28" s="1632"/>
      <c r="K28" s="1632"/>
      <c r="L28" s="1632"/>
      <c r="M28" s="244"/>
      <c r="N28" s="244"/>
      <c r="O28" s="244"/>
    </row>
    <row r="29" spans="2:60">
      <c r="B29" s="240"/>
      <c r="C29" s="240"/>
      <c r="D29" s="240"/>
      <c r="E29" s="240"/>
      <c r="F29" s="240"/>
      <c r="G29" s="239"/>
      <c r="H29" s="239"/>
      <c r="I29" s="240"/>
      <c r="J29" s="240"/>
      <c r="K29" s="245"/>
      <c r="L29" s="240"/>
      <c r="M29" s="240"/>
      <c r="N29" s="240"/>
      <c r="O29" s="240"/>
    </row>
    <row r="30" spans="2:60">
      <c r="B30" s="240"/>
      <c r="C30" s="240"/>
      <c r="D30" s="240"/>
      <c r="E30" s="240"/>
      <c r="F30" s="240"/>
      <c r="G30" s="239"/>
      <c r="H30" s="239"/>
      <c r="I30" s="1632"/>
      <c r="J30" s="1632"/>
      <c r="K30" s="1632"/>
      <c r="L30" s="1632"/>
      <c r="M30" s="244"/>
      <c r="N30" s="244"/>
      <c r="O30" s="244"/>
    </row>
  </sheetData>
  <sheetProtection algorithmName="SHA-512" hashValue="LyhpivLHg40CuCvcufgG9cYuVOTN4Tc+94wPu0BwbX15cL8rfBDF2Ipfa0TA+MCFCGVyVYkJljl7eACKW+hl6g==" saltValue="1SEiZlVOGA/vwJ0v5n2XGg==" spinCount="100000" sheet="1" objects="1" scenarios="1"/>
  <mergeCells count="72">
    <mergeCell ref="BE19:BH19"/>
    <mergeCell ref="BG6:BH6"/>
    <mergeCell ref="AW7:BA7"/>
    <mergeCell ref="C8:D8"/>
    <mergeCell ref="C10:D10"/>
    <mergeCell ref="C9:D9"/>
    <mergeCell ref="C2:BF6"/>
    <mergeCell ref="BA12:BD12"/>
    <mergeCell ref="BB13:BB15"/>
    <mergeCell ref="BC13:BC15"/>
    <mergeCell ref="AD14:AE14"/>
    <mergeCell ref="AF14:AG14"/>
    <mergeCell ref="AH14:AI14"/>
    <mergeCell ref="AJ14:AK14"/>
    <mergeCell ref="P14:Q14"/>
    <mergeCell ref="BE12:BH12"/>
    <mergeCell ref="BH13:BH15"/>
    <mergeCell ref="BA13:BA15"/>
    <mergeCell ref="P12:AU12"/>
    <mergeCell ref="AV12:AV15"/>
    <mergeCell ref="AW12:AZ12"/>
    <mergeCell ref="P13:W13"/>
    <mergeCell ref="X13:AE13"/>
    <mergeCell ref="AF13:AM13"/>
    <mergeCell ref="AZ13:AZ15"/>
    <mergeCell ref="AW13:AW15"/>
    <mergeCell ref="B2:B6"/>
    <mergeCell ref="BE13:BE15"/>
    <mergeCell ref="BF13:BF15"/>
    <mergeCell ref="BG13:BG15"/>
    <mergeCell ref="V14:W14"/>
    <mergeCell ref="X14:Y14"/>
    <mergeCell ref="Z14:AA14"/>
    <mergeCell ref="BD13:BD15"/>
    <mergeCell ref="AB14:AC14"/>
    <mergeCell ref="AP14:AQ14"/>
    <mergeCell ref="AR14:AS14"/>
    <mergeCell ref="AT14:AU14"/>
    <mergeCell ref="AN14:AO14"/>
    <mergeCell ref="AY13:AY15"/>
    <mergeCell ref="AL14:AM14"/>
    <mergeCell ref="AN13:AU13"/>
    <mergeCell ref="I28:L28"/>
    <mergeCell ref="I30:L30"/>
    <mergeCell ref="B20:G20"/>
    <mergeCell ref="I26:L26"/>
    <mergeCell ref="H12:H15"/>
    <mergeCell ref="I12:I15"/>
    <mergeCell ref="J12:J15"/>
    <mergeCell ref="K12:K15"/>
    <mergeCell ref="L12:L15"/>
    <mergeCell ref="C16:C17"/>
    <mergeCell ref="E22:E23"/>
    <mergeCell ref="L22:O22"/>
    <mergeCell ref="B19:AW19"/>
    <mergeCell ref="R14:S14"/>
    <mergeCell ref="T14:U14"/>
    <mergeCell ref="N12:N15"/>
    <mergeCell ref="B26:G26"/>
    <mergeCell ref="B16:B18"/>
    <mergeCell ref="F12:F15"/>
    <mergeCell ref="AX19:AZ19"/>
    <mergeCell ref="D21:O21"/>
    <mergeCell ref="M12:M15"/>
    <mergeCell ref="AX13:AX15"/>
    <mergeCell ref="O12:O15"/>
    <mergeCell ref="B12:B15"/>
    <mergeCell ref="C12:C15"/>
    <mergeCell ref="D12:D15"/>
    <mergeCell ref="E12:E15"/>
    <mergeCell ref="G12:G15"/>
    <mergeCell ref="F22:J23"/>
  </mergeCells>
  <conditionalFormatting sqref="BA16:BD18">
    <cfRule type="cellIs" dxfId="10" priority="1" operator="greaterThan">
      <formula>1</formula>
    </cfRule>
    <cfRule type="cellIs" dxfId="9" priority="2" operator="between">
      <formula>0.8</formula>
      <formula>1</formula>
    </cfRule>
    <cfRule type="cellIs" dxfId="8" priority="3" operator="between">
      <formula>0.61</formula>
      <formula>0.79</formula>
    </cfRule>
    <cfRule type="cellIs" dxfId="7" priority="4" operator="between">
      <formula>0</formula>
      <formula>0.6</formula>
    </cfRule>
  </conditionalFormatting>
  <dataValidations disablePrompts="1" count="1">
    <dataValidation allowBlank="1" showInputMessage="1" showErrorMessage="1" prompt="Transcriba de manera exacta el objetivo definido en la caracterización del proceso." sqref="C9:D9" xr:uid="{5AC50712-266A-4C25-B8E4-4818A822153C}"/>
  </dataValidations>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16C4C-9E24-48BA-A98B-58A98533CC27}">
  <sheetPr>
    <tabColor rgb="FF66FF33"/>
  </sheetPr>
  <dimension ref="B1:BH30"/>
  <sheetViews>
    <sheetView showGridLines="0" zoomScale="55" zoomScaleNormal="55" workbookViewId="0">
      <selection activeCell="C10" sqref="C10:D10"/>
    </sheetView>
  </sheetViews>
  <sheetFormatPr baseColWidth="10" defaultColWidth="17.33203125" defaultRowHeight="15" customHeight="1"/>
  <cols>
    <col min="1" max="1" width="4.33203125" style="135" customWidth="1"/>
    <col min="2" max="2" width="50.44140625" style="133" customWidth="1"/>
    <col min="3" max="3" width="35.88671875" style="133" customWidth="1"/>
    <col min="4" max="4" width="49.6640625" style="133" customWidth="1"/>
    <col min="5" max="6" width="27.5546875" style="133" customWidth="1"/>
    <col min="7" max="8" width="29.33203125" style="134" customWidth="1"/>
    <col min="9" max="9" width="21.44140625" style="133" customWidth="1"/>
    <col min="10" max="10" width="31.88671875" style="133" customWidth="1"/>
    <col min="11" max="11" width="55.88671875" style="133" customWidth="1"/>
    <col min="12" max="12" width="48.44140625" style="133" customWidth="1"/>
    <col min="13" max="14" width="28.5546875" style="133" customWidth="1"/>
    <col min="15" max="15" width="50" style="133" customWidth="1"/>
    <col min="16" max="47" width="15.88671875" style="135" customWidth="1"/>
    <col min="48" max="48" width="24.5546875" style="135" customWidth="1"/>
    <col min="49" max="49" width="22.88671875" style="135" customWidth="1"/>
    <col min="50" max="50" width="19.33203125" style="135" customWidth="1"/>
    <col min="51" max="51" width="18.44140625" style="135" customWidth="1"/>
    <col min="52" max="52" width="19.44140625" style="135" customWidth="1"/>
    <col min="53" max="53" width="23.33203125" style="135" customWidth="1"/>
    <col min="54" max="55" width="25.109375" style="135" customWidth="1"/>
    <col min="56" max="56" width="26.6640625" style="135" customWidth="1"/>
    <col min="57" max="57" width="26.33203125" style="135" customWidth="1"/>
    <col min="58" max="58" width="26.5546875" style="135" customWidth="1"/>
    <col min="59" max="59" width="26.33203125" style="135" customWidth="1"/>
    <col min="60" max="60" width="27.33203125" style="135" customWidth="1"/>
    <col min="61" max="16384" width="17.33203125" style="135"/>
  </cols>
  <sheetData>
    <row r="1" spans="2:60" ht="15.6" thickBot="1"/>
    <row r="2" spans="2:60" ht="15.6">
      <c r="B2" s="1575" t="s">
        <v>686</v>
      </c>
      <c r="C2" s="1600" t="s">
        <v>118</v>
      </c>
      <c r="D2" s="1601"/>
      <c r="E2" s="1601"/>
      <c r="F2" s="1601"/>
      <c r="G2" s="1601"/>
      <c r="H2" s="1601"/>
      <c r="I2" s="1601"/>
      <c r="J2" s="1601"/>
      <c r="K2" s="1601"/>
      <c r="L2" s="1601"/>
      <c r="M2" s="1601"/>
      <c r="N2" s="1601"/>
      <c r="O2" s="1601"/>
      <c r="P2" s="1601"/>
      <c r="Q2" s="1601"/>
      <c r="R2" s="1601"/>
      <c r="S2" s="1601"/>
      <c r="T2" s="1601"/>
      <c r="U2" s="1601"/>
      <c r="V2" s="1601"/>
      <c r="W2" s="1601"/>
      <c r="X2" s="1601"/>
      <c r="Y2" s="1601"/>
      <c r="Z2" s="1601"/>
      <c r="AA2" s="1601"/>
      <c r="AB2" s="1601"/>
      <c r="AC2" s="1601"/>
      <c r="AD2" s="1601"/>
      <c r="AE2" s="1601"/>
      <c r="AF2" s="1601"/>
      <c r="AG2" s="1601"/>
      <c r="AH2" s="1601"/>
      <c r="AI2" s="1601"/>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2"/>
      <c r="BG2" s="230" t="s">
        <v>31</v>
      </c>
      <c r="BH2" s="231"/>
    </row>
    <row r="3" spans="2:60" ht="15.6">
      <c r="B3" s="1576"/>
      <c r="C3" s="1603"/>
      <c r="D3" s="1604"/>
      <c r="E3" s="1604"/>
      <c r="F3" s="1604"/>
      <c r="G3" s="1604"/>
      <c r="H3" s="1604"/>
      <c r="I3" s="1604"/>
      <c r="J3" s="1604"/>
      <c r="K3" s="1604"/>
      <c r="L3" s="1604"/>
      <c r="M3" s="1604"/>
      <c r="N3" s="1604"/>
      <c r="O3" s="1604"/>
      <c r="P3" s="1604"/>
      <c r="Q3" s="1604"/>
      <c r="R3" s="1604"/>
      <c r="S3" s="1604"/>
      <c r="T3" s="1604"/>
      <c r="U3" s="1604"/>
      <c r="V3" s="1604"/>
      <c r="W3" s="1604"/>
      <c r="X3" s="1604"/>
      <c r="Y3" s="1604"/>
      <c r="Z3" s="1604"/>
      <c r="AA3" s="1604"/>
      <c r="AB3" s="1604"/>
      <c r="AC3" s="1604"/>
      <c r="AD3" s="1604"/>
      <c r="AE3" s="1604"/>
      <c r="AF3" s="1604"/>
      <c r="AG3" s="1604"/>
      <c r="AH3" s="1604"/>
      <c r="AI3" s="1604"/>
      <c r="AJ3" s="1604"/>
      <c r="AK3" s="1604"/>
      <c r="AL3" s="1604"/>
      <c r="AM3" s="1604"/>
      <c r="AN3" s="1604"/>
      <c r="AO3" s="1604"/>
      <c r="AP3" s="1604"/>
      <c r="AQ3" s="1604"/>
      <c r="AR3" s="1604"/>
      <c r="AS3" s="1604"/>
      <c r="AT3" s="1604"/>
      <c r="AU3" s="1604"/>
      <c r="AV3" s="1604"/>
      <c r="AW3" s="1604"/>
      <c r="AX3" s="1604"/>
      <c r="AY3" s="1604"/>
      <c r="AZ3" s="1604"/>
      <c r="BA3" s="1604"/>
      <c r="BB3" s="1604"/>
      <c r="BC3" s="1604"/>
      <c r="BD3" s="1604"/>
      <c r="BE3" s="1604"/>
      <c r="BF3" s="1605"/>
      <c r="BG3" s="209" t="s">
        <v>28</v>
      </c>
      <c r="BH3" s="28" t="s">
        <v>29</v>
      </c>
    </row>
    <row r="4" spans="2:60" ht="15" customHeight="1">
      <c r="B4" s="1576"/>
      <c r="C4" s="1603"/>
      <c r="D4" s="1604"/>
      <c r="E4" s="1604"/>
      <c r="F4" s="1604"/>
      <c r="G4" s="1604"/>
      <c r="H4" s="1604"/>
      <c r="I4" s="1604"/>
      <c r="J4" s="1604"/>
      <c r="K4" s="1604"/>
      <c r="L4" s="1604"/>
      <c r="M4" s="1604"/>
      <c r="N4" s="1604"/>
      <c r="O4" s="1604"/>
      <c r="P4" s="1604"/>
      <c r="Q4" s="1604"/>
      <c r="R4" s="1604"/>
      <c r="S4" s="1604"/>
      <c r="T4" s="1604"/>
      <c r="U4" s="1604"/>
      <c r="V4" s="1604"/>
      <c r="W4" s="1604"/>
      <c r="X4" s="1604"/>
      <c r="Y4" s="1604"/>
      <c r="Z4" s="1604"/>
      <c r="AA4" s="1604"/>
      <c r="AB4" s="1604"/>
      <c r="AC4" s="1604"/>
      <c r="AD4" s="1604"/>
      <c r="AE4" s="1604"/>
      <c r="AF4" s="1604"/>
      <c r="AG4" s="1604"/>
      <c r="AH4" s="1604"/>
      <c r="AI4" s="1604"/>
      <c r="AJ4" s="1604"/>
      <c r="AK4" s="1604"/>
      <c r="AL4" s="1604"/>
      <c r="AM4" s="1604"/>
      <c r="AN4" s="1604"/>
      <c r="AO4" s="1604"/>
      <c r="AP4" s="1604"/>
      <c r="AQ4" s="1604"/>
      <c r="AR4" s="1604"/>
      <c r="AS4" s="1604"/>
      <c r="AT4" s="1604"/>
      <c r="AU4" s="1604"/>
      <c r="AV4" s="1604"/>
      <c r="AW4" s="1604"/>
      <c r="AX4" s="1604"/>
      <c r="AY4" s="1604"/>
      <c r="AZ4" s="1604"/>
      <c r="BA4" s="1604"/>
      <c r="BB4" s="1604"/>
      <c r="BC4" s="1604"/>
      <c r="BD4" s="1604"/>
      <c r="BE4" s="1604"/>
      <c r="BF4" s="1605"/>
      <c r="BG4" s="210">
        <v>5</v>
      </c>
      <c r="BH4" s="30" t="s">
        <v>657</v>
      </c>
    </row>
    <row r="5" spans="2:60" ht="15.6">
      <c r="B5" s="1576"/>
      <c r="C5" s="1603"/>
      <c r="D5" s="1604"/>
      <c r="E5" s="1604"/>
      <c r="F5" s="1604"/>
      <c r="G5" s="1604"/>
      <c r="H5" s="1604"/>
      <c r="I5" s="1604"/>
      <c r="J5" s="1604"/>
      <c r="K5" s="1604"/>
      <c r="L5" s="1604"/>
      <c r="M5" s="1604"/>
      <c r="N5" s="1604"/>
      <c r="O5" s="1604"/>
      <c r="P5" s="1604"/>
      <c r="Q5" s="1604"/>
      <c r="R5" s="1604"/>
      <c r="S5" s="1604"/>
      <c r="T5" s="1604"/>
      <c r="U5" s="1604"/>
      <c r="V5" s="1604"/>
      <c r="W5" s="1604"/>
      <c r="X5" s="1604"/>
      <c r="Y5" s="1604"/>
      <c r="Z5" s="1604"/>
      <c r="AA5" s="1604"/>
      <c r="AB5" s="1604"/>
      <c r="AC5" s="1604"/>
      <c r="AD5" s="1604"/>
      <c r="AE5" s="1604"/>
      <c r="AF5" s="1604"/>
      <c r="AG5" s="1604"/>
      <c r="AH5" s="1604"/>
      <c r="AI5" s="1604"/>
      <c r="AJ5" s="1604"/>
      <c r="AK5" s="1604"/>
      <c r="AL5" s="1604"/>
      <c r="AM5" s="1604"/>
      <c r="AN5" s="1604"/>
      <c r="AO5" s="1604"/>
      <c r="AP5" s="1604"/>
      <c r="AQ5" s="1604"/>
      <c r="AR5" s="1604"/>
      <c r="AS5" s="1604"/>
      <c r="AT5" s="1604"/>
      <c r="AU5" s="1604"/>
      <c r="AV5" s="1604"/>
      <c r="AW5" s="1604"/>
      <c r="AX5" s="1604"/>
      <c r="AY5" s="1604"/>
      <c r="AZ5" s="1604"/>
      <c r="BA5" s="1604"/>
      <c r="BB5" s="1604"/>
      <c r="BC5" s="1604"/>
      <c r="BD5" s="1604"/>
      <c r="BE5" s="1604"/>
      <c r="BF5" s="1605"/>
      <c r="BG5" s="211" t="s">
        <v>30</v>
      </c>
      <c r="BH5" s="212"/>
    </row>
    <row r="6" spans="2:60" ht="15.6" customHeight="1" thickBot="1">
      <c r="B6" s="1577"/>
      <c r="C6" s="1606"/>
      <c r="D6" s="1607"/>
      <c r="E6" s="1607"/>
      <c r="F6" s="1607"/>
      <c r="G6" s="1607"/>
      <c r="H6" s="1607"/>
      <c r="I6" s="1607"/>
      <c r="J6" s="1607"/>
      <c r="K6" s="1607"/>
      <c r="L6" s="1607"/>
      <c r="M6" s="1607"/>
      <c r="N6" s="1607"/>
      <c r="O6" s="1607"/>
      <c r="P6" s="1607"/>
      <c r="Q6" s="1607"/>
      <c r="R6" s="1607"/>
      <c r="S6" s="1607"/>
      <c r="T6" s="1607"/>
      <c r="U6" s="1607"/>
      <c r="V6" s="1607"/>
      <c r="W6" s="1607"/>
      <c r="X6" s="1607"/>
      <c r="Y6" s="1607"/>
      <c r="Z6" s="1607"/>
      <c r="AA6" s="1607"/>
      <c r="AB6" s="1607"/>
      <c r="AC6" s="1607"/>
      <c r="AD6" s="1607"/>
      <c r="AE6" s="1607"/>
      <c r="AF6" s="1607"/>
      <c r="AG6" s="1607"/>
      <c r="AH6" s="1607"/>
      <c r="AI6" s="1607"/>
      <c r="AJ6" s="1607"/>
      <c r="AK6" s="1607"/>
      <c r="AL6" s="1607"/>
      <c r="AM6" s="1607"/>
      <c r="AN6" s="1607"/>
      <c r="AO6" s="1607"/>
      <c r="AP6" s="1607"/>
      <c r="AQ6" s="1607"/>
      <c r="AR6" s="1607"/>
      <c r="AS6" s="1607"/>
      <c r="AT6" s="1607"/>
      <c r="AU6" s="1607"/>
      <c r="AV6" s="1607"/>
      <c r="AW6" s="1607"/>
      <c r="AX6" s="1607"/>
      <c r="AY6" s="1607"/>
      <c r="AZ6" s="1607"/>
      <c r="BA6" s="1607"/>
      <c r="BB6" s="1607"/>
      <c r="BC6" s="1607"/>
      <c r="BD6" s="1607"/>
      <c r="BE6" s="1607"/>
      <c r="BF6" s="1608"/>
      <c r="BG6" s="1566">
        <v>44306</v>
      </c>
      <c r="BH6" s="1567"/>
    </row>
    <row r="7" spans="2:60">
      <c r="B7" s="136"/>
      <c r="C7" s="136"/>
      <c r="D7" s="136"/>
      <c r="E7" s="136"/>
      <c r="F7" s="136"/>
      <c r="G7" s="137"/>
      <c r="H7" s="137"/>
      <c r="I7" s="136"/>
      <c r="J7" s="136"/>
      <c r="K7" s="136"/>
      <c r="L7" s="136"/>
      <c r="M7" s="136"/>
      <c r="N7" s="136"/>
      <c r="O7" s="136"/>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589"/>
      <c r="AX7" s="1633"/>
      <c r="AY7" s="1633"/>
      <c r="AZ7" s="1633"/>
      <c r="BA7" s="1591"/>
      <c r="BB7" s="232"/>
      <c r="BC7" s="232"/>
      <c r="BD7" s="232"/>
      <c r="BE7" s="138"/>
      <c r="BF7" s="138"/>
    </row>
    <row r="8" spans="2:60" ht="21">
      <c r="B8" s="213" t="s">
        <v>45</v>
      </c>
      <c r="C8" s="1651" t="s">
        <v>97</v>
      </c>
      <c r="D8" s="1651"/>
      <c r="E8" s="214"/>
      <c r="F8" s="214"/>
      <c r="G8" s="214"/>
      <c r="H8" s="214"/>
      <c r="I8" s="214"/>
      <c r="J8" s="214"/>
      <c r="K8" s="214"/>
      <c r="L8" s="214"/>
      <c r="M8" s="214"/>
      <c r="N8" s="214"/>
      <c r="O8" s="214"/>
      <c r="AW8" s="232"/>
      <c r="AX8" s="232"/>
      <c r="AY8" s="232"/>
      <c r="AZ8" s="232"/>
      <c r="BA8" s="232"/>
      <c r="BB8" s="232"/>
      <c r="BC8" s="232"/>
      <c r="BD8" s="232"/>
    </row>
    <row r="9" spans="2:60" ht="92.25" customHeight="1">
      <c r="B9" s="213" t="s">
        <v>34</v>
      </c>
      <c r="C9" s="1732" t="s">
        <v>556</v>
      </c>
      <c r="D9" s="1611"/>
      <c r="E9" s="214"/>
      <c r="F9" s="214"/>
      <c r="G9" s="214"/>
      <c r="H9" s="214"/>
      <c r="I9" s="214"/>
      <c r="J9" s="214"/>
      <c r="K9" s="214"/>
      <c r="L9" s="214"/>
      <c r="M9" s="214"/>
      <c r="N9" s="214"/>
      <c r="O9" s="214"/>
      <c r="AW9" s="232"/>
      <c r="AX9" s="232"/>
      <c r="AY9" s="232"/>
      <c r="AZ9" s="232"/>
      <c r="BA9" s="232"/>
      <c r="BB9" s="232"/>
      <c r="BC9" s="232"/>
      <c r="BD9" s="232"/>
    </row>
    <row r="10" spans="2:60" ht="24.6">
      <c r="B10" s="213" t="s">
        <v>101</v>
      </c>
      <c r="C10" s="1612">
        <v>2022</v>
      </c>
      <c r="D10" s="1613"/>
      <c r="E10" s="214"/>
      <c r="F10" s="214"/>
      <c r="G10" s="214"/>
      <c r="H10" s="214"/>
      <c r="I10" s="214"/>
      <c r="J10" s="214"/>
      <c r="K10" s="214"/>
      <c r="L10" s="214"/>
      <c r="M10" s="214"/>
      <c r="N10" s="214"/>
      <c r="O10" s="214"/>
      <c r="AW10" s="232"/>
      <c r="AX10" s="232"/>
      <c r="AY10" s="232"/>
      <c r="AZ10" s="232"/>
      <c r="BA10" s="232"/>
      <c r="BB10" s="232"/>
      <c r="BC10" s="232"/>
      <c r="BD10" s="232"/>
    </row>
    <row r="11" spans="2:60">
      <c r="B11" s="136"/>
      <c r="C11" s="136"/>
      <c r="D11" s="136"/>
      <c r="E11" s="136"/>
      <c r="F11" s="136"/>
      <c r="G11" s="137"/>
      <c r="H11" s="137"/>
      <c r="I11" s="136"/>
      <c r="J11" s="136"/>
      <c r="K11" s="136"/>
      <c r="L11" s="136"/>
      <c r="M11" s="136"/>
      <c r="N11" s="136"/>
      <c r="O11" s="136"/>
      <c r="AW11" s="232"/>
      <c r="AX11" s="232"/>
      <c r="AY11" s="232"/>
      <c r="AZ11" s="232"/>
      <c r="BA11" s="232"/>
      <c r="BB11" s="232"/>
      <c r="BC11" s="232"/>
      <c r="BD11" s="232"/>
    </row>
    <row r="12" spans="2:60" ht="31.2" customHeight="1">
      <c r="B12" s="1476" t="s">
        <v>0</v>
      </c>
      <c r="C12" s="1476" t="s">
        <v>52</v>
      </c>
      <c r="D12" s="1302" t="s">
        <v>711</v>
      </c>
      <c r="E12" s="1476" t="s">
        <v>61</v>
      </c>
      <c r="F12" s="1302" t="s">
        <v>682</v>
      </c>
      <c r="G12" s="1476" t="s">
        <v>58</v>
      </c>
      <c r="H12" s="1476" t="s">
        <v>25</v>
      </c>
      <c r="I12" s="1476" t="s">
        <v>60</v>
      </c>
      <c r="J12" s="1476" t="s">
        <v>39</v>
      </c>
      <c r="K12" s="1476" t="s">
        <v>36</v>
      </c>
      <c r="L12" s="1476" t="s">
        <v>20</v>
      </c>
      <c r="M12" s="1476" t="s">
        <v>51</v>
      </c>
      <c r="N12" s="1476" t="s">
        <v>40</v>
      </c>
      <c r="O12" s="1476" t="s">
        <v>42</v>
      </c>
      <c r="P12" s="1528" t="s">
        <v>112</v>
      </c>
      <c r="Q12" s="1528"/>
      <c r="R12" s="1528"/>
      <c r="S12" s="1528"/>
      <c r="T12" s="1528"/>
      <c r="U12" s="1528"/>
      <c r="V12" s="1528"/>
      <c r="W12" s="1528"/>
      <c r="X12" s="1528"/>
      <c r="Y12" s="1528"/>
      <c r="Z12" s="1528"/>
      <c r="AA12" s="1528"/>
      <c r="AB12" s="1528"/>
      <c r="AC12" s="1528"/>
      <c r="AD12" s="1528"/>
      <c r="AE12" s="1528"/>
      <c r="AF12" s="1528"/>
      <c r="AG12" s="1528"/>
      <c r="AH12" s="1528"/>
      <c r="AI12" s="1528"/>
      <c r="AJ12" s="1528"/>
      <c r="AK12" s="1528"/>
      <c r="AL12" s="1528"/>
      <c r="AM12" s="1528"/>
      <c r="AN12" s="1528"/>
      <c r="AO12" s="1528"/>
      <c r="AP12" s="1528"/>
      <c r="AQ12" s="1528"/>
      <c r="AR12" s="1528"/>
      <c r="AS12" s="1528"/>
      <c r="AT12" s="1528"/>
      <c r="AU12" s="1528"/>
      <c r="AV12" s="1592" t="s">
        <v>62</v>
      </c>
      <c r="AW12" s="1594" t="s">
        <v>683</v>
      </c>
      <c r="AX12" s="1595"/>
      <c r="AY12" s="1595"/>
      <c r="AZ12" s="1596"/>
      <c r="BA12" s="1583" t="s">
        <v>684</v>
      </c>
      <c r="BB12" s="1584"/>
      <c r="BC12" s="1584"/>
      <c r="BD12" s="1585"/>
      <c r="BE12" s="1618" t="s">
        <v>685</v>
      </c>
      <c r="BF12" s="1619"/>
      <c r="BG12" s="1619"/>
      <c r="BH12" s="1620"/>
    </row>
    <row r="13" spans="2:60" ht="15.6">
      <c r="B13" s="1476"/>
      <c r="C13" s="1476"/>
      <c r="D13" s="1302"/>
      <c r="E13" s="1476"/>
      <c r="F13" s="1302"/>
      <c r="G13" s="1476"/>
      <c r="H13" s="1476"/>
      <c r="I13" s="1476"/>
      <c r="J13" s="1476"/>
      <c r="K13" s="1476"/>
      <c r="L13" s="1476"/>
      <c r="M13" s="1476"/>
      <c r="N13" s="1476"/>
      <c r="O13" s="1476"/>
      <c r="P13" s="1593" t="s">
        <v>21</v>
      </c>
      <c r="Q13" s="1593"/>
      <c r="R13" s="1593"/>
      <c r="S13" s="1593"/>
      <c r="T13" s="1593"/>
      <c r="U13" s="1593"/>
      <c r="V13" s="1593"/>
      <c r="W13" s="1593"/>
      <c r="X13" s="1593" t="s">
        <v>22</v>
      </c>
      <c r="Y13" s="1593"/>
      <c r="Z13" s="1593"/>
      <c r="AA13" s="1593"/>
      <c r="AB13" s="1593"/>
      <c r="AC13" s="1593"/>
      <c r="AD13" s="1593"/>
      <c r="AE13" s="1593"/>
      <c r="AF13" s="1593" t="s">
        <v>23</v>
      </c>
      <c r="AG13" s="1593"/>
      <c r="AH13" s="1593"/>
      <c r="AI13" s="1593"/>
      <c r="AJ13" s="1593"/>
      <c r="AK13" s="1593"/>
      <c r="AL13" s="1593"/>
      <c r="AM13" s="1593"/>
      <c r="AN13" s="1593" t="s">
        <v>24</v>
      </c>
      <c r="AO13" s="1593"/>
      <c r="AP13" s="1593"/>
      <c r="AQ13" s="1593"/>
      <c r="AR13" s="1593"/>
      <c r="AS13" s="1593"/>
      <c r="AT13" s="1593"/>
      <c r="AU13" s="1593"/>
      <c r="AV13" s="1592"/>
      <c r="AW13" s="1597" t="s">
        <v>119</v>
      </c>
      <c r="AX13" s="1597" t="s">
        <v>22</v>
      </c>
      <c r="AY13" s="1597" t="s">
        <v>120</v>
      </c>
      <c r="AZ13" s="1597" t="s">
        <v>121</v>
      </c>
      <c r="BA13" s="1586" t="s">
        <v>119</v>
      </c>
      <c r="BB13" s="1586" t="s">
        <v>122</v>
      </c>
      <c r="BC13" s="1586" t="s">
        <v>123</v>
      </c>
      <c r="BD13" s="1586" t="s">
        <v>124</v>
      </c>
      <c r="BE13" s="1580" t="s">
        <v>21</v>
      </c>
      <c r="BF13" s="1580" t="s">
        <v>22</v>
      </c>
      <c r="BG13" s="1580" t="s">
        <v>23</v>
      </c>
      <c r="BH13" s="1580" t="s">
        <v>24</v>
      </c>
    </row>
    <row r="14" spans="2:60" ht="15.6">
      <c r="B14" s="1476"/>
      <c r="C14" s="1476"/>
      <c r="D14" s="1302"/>
      <c r="E14" s="1476"/>
      <c r="F14" s="1302"/>
      <c r="G14" s="1476"/>
      <c r="H14" s="1476"/>
      <c r="I14" s="1476"/>
      <c r="J14" s="1476"/>
      <c r="K14" s="1476"/>
      <c r="L14" s="1476"/>
      <c r="M14" s="1476"/>
      <c r="N14" s="1476"/>
      <c r="O14" s="1476"/>
      <c r="P14" s="1641" t="s">
        <v>5</v>
      </c>
      <c r="Q14" s="1641"/>
      <c r="R14" s="1641" t="s">
        <v>6</v>
      </c>
      <c r="S14" s="1641"/>
      <c r="T14" s="1641" t="s">
        <v>7</v>
      </c>
      <c r="U14" s="1641"/>
      <c r="V14" s="1528" t="s">
        <v>8</v>
      </c>
      <c r="W14" s="1528"/>
      <c r="X14" s="1641" t="s">
        <v>27</v>
      </c>
      <c r="Y14" s="1641"/>
      <c r="Z14" s="1641" t="s">
        <v>9</v>
      </c>
      <c r="AA14" s="1641"/>
      <c r="AB14" s="1641" t="s">
        <v>10</v>
      </c>
      <c r="AC14" s="1641"/>
      <c r="AD14" s="1528" t="s">
        <v>8</v>
      </c>
      <c r="AE14" s="1528"/>
      <c r="AF14" s="1641" t="s">
        <v>11</v>
      </c>
      <c r="AG14" s="1641"/>
      <c r="AH14" s="1641" t="s">
        <v>12</v>
      </c>
      <c r="AI14" s="1641"/>
      <c r="AJ14" s="1641" t="s">
        <v>13</v>
      </c>
      <c r="AK14" s="1641"/>
      <c r="AL14" s="1528" t="s">
        <v>8</v>
      </c>
      <c r="AM14" s="1528"/>
      <c r="AN14" s="1641" t="s">
        <v>14</v>
      </c>
      <c r="AO14" s="1641"/>
      <c r="AP14" s="1641" t="s">
        <v>15</v>
      </c>
      <c r="AQ14" s="1641"/>
      <c r="AR14" s="1641" t="s">
        <v>16</v>
      </c>
      <c r="AS14" s="1641"/>
      <c r="AT14" s="1528" t="s">
        <v>8</v>
      </c>
      <c r="AU14" s="1528"/>
      <c r="AV14" s="1592"/>
      <c r="AW14" s="1598"/>
      <c r="AX14" s="1598"/>
      <c r="AY14" s="1598"/>
      <c r="AZ14" s="1598"/>
      <c r="BA14" s="1587"/>
      <c r="BB14" s="1587"/>
      <c r="BC14" s="1587"/>
      <c r="BD14" s="1587"/>
      <c r="BE14" s="1581"/>
      <c r="BF14" s="1581"/>
      <c r="BG14" s="1581"/>
      <c r="BH14" s="1581"/>
    </row>
    <row r="15" spans="2:60" ht="13.2" customHeight="1">
      <c r="B15" s="1476"/>
      <c r="C15" s="1476"/>
      <c r="D15" s="1302"/>
      <c r="E15" s="1476"/>
      <c r="F15" s="1302"/>
      <c r="G15" s="1476"/>
      <c r="H15" s="1476"/>
      <c r="I15" s="1476"/>
      <c r="J15" s="1476"/>
      <c r="K15" s="1476"/>
      <c r="L15" s="1476"/>
      <c r="M15" s="1476"/>
      <c r="N15" s="1476"/>
      <c r="O15" s="1476"/>
      <c r="P15" s="233" t="s">
        <v>17</v>
      </c>
      <c r="Q15" s="234" t="s">
        <v>18</v>
      </c>
      <c r="R15" s="233" t="s">
        <v>17</v>
      </c>
      <c r="S15" s="234" t="s">
        <v>18</v>
      </c>
      <c r="T15" s="233" t="s">
        <v>17</v>
      </c>
      <c r="U15" s="234" t="s">
        <v>18</v>
      </c>
      <c r="V15" s="75" t="s">
        <v>17</v>
      </c>
      <c r="W15" s="76" t="s">
        <v>18</v>
      </c>
      <c r="X15" s="233" t="s">
        <v>17</v>
      </c>
      <c r="Y15" s="234" t="s">
        <v>18</v>
      </c>
      <c r="Z15" s="233" t="s">
        <v>17</v>
      </c>
      <c r="AA15" s="234" t="s">
        <v>18</v>
      </c>
      <c r="AB15" s="233" t="s">
        <v>17</v>
      </c>
      <c r="AC15" s="234" t="s">
        <v>18</v>
      </c>
      <c r="AD15" s="75" t="s">
        <v>17</v>
      </c>
      <c r="AE15" s="76" t="s">
        <v>18</v>
      </c>
      <c r="AF15" s="233" t="s">
        <v>17</v>
      </c>
      <c r="AG15" s="234" t="s">
        <v>18</v>
      </c>
      <c r="AH15" s="233" t="s">
        <v>17</v>
      </c>
      <c r="AI15" s="234" t="s">
        <v>18</v>
      </c>
      <c r="AJ15" s="233" t="s">
        <v>17</v>
      </c>
      <c r="AK15" s="234" t="s">
        <v>18</v>
      </c>
      <c r="AL15" s="75" t="s">
        <v>17</v>
      </c>
      <c r="AM15" s="76" t="s">
        <v>18</v>
      </c>
      <c r="AN15" s="233" t="s">
        <v>17</v>
      </c>
      <c r="AO15" s="234" t="s">
        <v>18</v>
      </c>
      <c r="AP15" s="233" t="s">
        <v>17</v>
      </c>
      <c r="AQ15" s="234" t="s">
        <v>18</v>
      </c>
      <c r="AR15" s="233" t="s">
        <v>17</v>
      </c>
      <c r="AS15" s="234" t="s">
        <v>18</v>
      </c>
      <c r="AT15" s="75" t="s">
        <v>17</v>
      </c>
      <c r="AU15" s="76" t="s">
        <v>18</v>
      </c>
      <c r="AV15" s="1592"/>
      <c r="AW15" s="1599"/>
      <c r="AX15" s="1599"/>
      <c r="AY15" s="1599"/>
      <c r="AZ15" s="1599"/>
      <c r="BA15" s="1588"/>
      <c r="BB15" s="1588"/>
      <c r="BC15" s="1588"/>
      <c r="BD15" s="1588"/>
      <c r="BE15" s="1582"/>
      <c r="BF15" s="1582"/>
      <c r="BG15" s="1582"/>
      <c r="BH15" s="1582"/>
    </row>
    <row r="16" spans="2:60" ht="110.25" customHeight="1">
      <c r="B16" s="1616"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616" t="str">
        <f>+'01-FR-03 POA INSTITUCIONAL'!C87</f>
        <v>4.5. Desarrollar el 100% de las acciones relacionadas con el fomento de la Cultura del Autocontrol, la Autorregulación y la Autogestión institucional.</v>
      </c>
      <c r="D16" s="31" t="str">
        <f>+'01-FR-03 POA INSTITUCIONAL'!D87</f>
        <v xml:space="preserve">4.5.1 Emitir 96 solicitudes de aplicación de medidas de preservación del orden interno, con el fin de prevenir la materialización de conductas con alcance disciplinario. </v>
      </c>
      <c r="E16" s="52">
        <f>+'01-FR-03 POA INSTITUCIONAL'!E87</f>
        <v>0.05</v>
      </c>
      <c r="F16" s="297">
        <f>+'01-FR-03 POA INSTITUCIONAL'!F87</f>
        <v>96</v>
      </c>
      <c r="G16" s="297">
        <f>+'01-FR-03 POA INSTITUCIONAL'!L87</f>
        <v>24</v>
      </c>
      <c r="H16" s="140" t="str">
        <f>+'01-FR-03 POA INSTITUCIONAL'!G87</f>
        <v>S.I.</v>
      </c>
      <c r="I16" s="140" t="str">
        <f>+'01-FR-03 POA INSTITUCIONAL'!H87</f>
        <v>Medidas de preservación del orden interno emitidas</v>
      </c>
      <c r="J16" s="215" t="s">
        <v>551</v>
      </c>
      <c r="K16" s="443" t="s">
        <v>559</v>
      </c>
      <c r="L16" s="217" t="s">
        <v>552</v>
      </c>
      <c r="M16" s="236" t="s">
        <v>562</v>
      </c>
      <c r="N16" s="217" t="s">
        <v>563</v>
      </c>
      <c r="O16" s="298" t="str">
        <f>+'01-FR-03 POA INSTITUCIONAL'!J87</f>
        <v>Oficina Control Interno Disciplinario</v>
      </c>
      <c r="P16" s="995">
        <v>2</v>
      </c>
      <c r="Q16" s="995">
        <v>7</v>
      </c>
      <c r="R16" s="995">
        <v>2</v>
      </c>
      <c r="S16" s="995">
        <v>16</v>
      </c>
      <c r="T16" s="995">
        <v>2</v>
      </c>
      <c r="U16" s="995">
        <v>3</v>
      </c>
      <c r="V16" s="91">
        <f>P16+R16+T16</f>
        <v>6</v>
      </c>
      <c r="W16" s="91">
        <f>Q16+S16+U16</f>
        <v>26</v>
      </c>
      <c r="X16" s="995">
        <v>2</v>
      </c>
      <c r="Y16" s="995"/>
      <c r="Z16" s="995">
        <v>2</v>
      </c>
      <c r="AA16" s="995"/>
      <c r="AB16" s="995">
        <v>2</v>
      </c>
      <c r="AC16" s="995"/>
      <c r="AD16" s="91">
        <f>X16+Z16+AB16</f>
        <v>6</v>
      </c>
      <c r="AE16" s="91">
        <f>Y16+AA16+AC16</f>
        <v>0</v>
      </c>
      <c r="AF16" s="995">
        <v>2</v>
      </c>
      <c r="AG16" s="995"/>
      <c r="AH16" s="995">
        <v>2</v>
      </c>
      <c r="AI16" s="995"/>
      <c r="AJ16" s="998">
        <v>2</v>
      </c>
      <c r="AK16" s="998"/>
      <c r="AL16" s="91">
        <f>AF16+AH16+AJ16</f>
        <v>6</v>
      </c>
      <c r="AM16" s="91">
        <f>AG16+AI16+AK16</f>
        <v>0</v>
      </c>
      <c r="AN16" s="995">
        <v>2</v>
      </c>
      <c r="AO16" s="995"/>
      <c r="AP16" s="995">
        <v>2</v>
      </c>
      <c r="AQ16" s="995"/>
      <c r="AR16" s="995">
        <v>2</v>
      </c>
      <c r="AS16" s="995"/>
      <c r="AT16" s="91">
        <f>AN16+AP16+AR16</f>
        <v>6</v>
      </c>
      <c r="AU16" s="91">
        <f>AO16+AQ16+AS16</f>
        <v>0</v>
      </c>
      <c r="AV16" s="237">
        <f>V16+AD16+AL16+AT16</f>
        <v>24</v>
      </c>
      <c r="AW16" s="81">
        <f>+W16</f>
        <v>26</v>
      </c>
      <c r="AX16" s="1053">
        <f>+W16+AE16</f>
        <v>26</v>
      </c>
      <c r="AY16" s="1053">
        <f>+W16+AE16+AM16</f>
        <v>26</v>
      </c>
      <c r="AZ16" s="1053">
        <f>+W16+AE16+AM16+AU16</f>
        <v>26</v>
      </c>
      <c r="BA16" s="42">
        <f>IF(AND(AW16&gt;0,$AV16&gt;0),AW16/$AV16,0)</f>
        <v>1.0833333333333333</v>
      </c>
      <c r="BB16" s="42">
        <f t="shared" ref="BB16:BD18" si="0">IF(AND(AX16&gt;0,$AV16&gt;0),AX16/$AV16,0)</f>
        <v>1.0833333333333333</v>
      </c>
      <c r="BC16" s="42">
        <f t="shared" si="0"/>
        <v>1.0833333333333333</v>
      </c>
      <c r="BD16" s="42">
        <f t="shared" si="0"/>
        <v>1.0833333333333333</v>
      </c>
      <c r="BE16" s="346">
        <f>(IF(AND(AW16&gt;0,$F16&gt;0),AW16/$F16,0))</f>
        <v>0.27083333333333331</v>
      </c>
      <c r="BF16" s="1056">
        <f t="shared" ref="BF16:BH18" si="1">(IF(AND(AX16&gt;0,$F16&gt;0),AX16/$F16,0))</f>
        <v>0.27083333333333331</v>
      </c>
      <c r="BG16" s="1056">
        <f t="shared" si="1"/>
        <v>0.27083333333333331</v>
      </c>
      <c r="BH16" s="1056">
        <f t="shared" si="1"/>
        <v>0.27083333333333331</v>
      </c>
    </row>
    <row r="17" spans="2:60" ht="152.25" customHeight="1">
      <c r="B17" s="1617"/>
      <c r="C17" s="1617"/>
      <c r="D17" s="31" t="str">
        <f>+'01-FR-03 POA INSTITUCIONAL'!D88</f>
        <v>4.5.2 Realizar 20 jornadas de sensibilización a funcionarios de la Personería de Bogotá D.C. sobre la prevención de las faltas disciplinarias más recurrentes en la Entidad.</v>
      </c>
      <c r="E17" s="52">
        <f>+'01-FR-03 POA INSTITUCIONAL'!E88</f>
        <v>0.05</v>
      </c>
      <c r="F17" s="297">
        <f>+'01-FR-03 POA INSTITUCIONAL'!F88</f>
        <v>20</v>
      </c>
      <c r="G17" s="297">
        <f>+'01-FR-03 POA INSTITUCIONAL'!L88</f>
        <v>6</v>
      </c>
      <c r="H17" s="140" t="str">
        <f>+'01-FR-03 POA INSTITUCIONAL'!G88</f>
        <v>S.I.</v>
      </c>
      <c r="I17" s="140" t="str">
        <f>+'01-FR-03 POA INSTITUCIONAL'!H88</f>
        <v>Jornadas de sensibilización realizadas</v>
      </c>
      <c r="J17" s="215" t="s">
        <v>553</v>
      </c>
      <c r="K17" s="443" t="s">
        <v>560</v>
      </c>
      <c r="L17" s="217" t="s">
        <v>1136</v>
      </c>
      <c r="M17" s="236" t="s">
        <v>562</v>
      </c>
      <c r="N17" s="217" t="s">
        <v>563</v>
      </c>
      <c r="O17" s="298" t="str">
        <f>+'01-FR-03 POA INSTITUCIONAL'!J88</f>
        <v>Oficina Control Interno Disciplinario</v>
      </c>
      <c r="P17" s="995">
        <v>0</v>
      </c>
      <c r="Q17" s="995">
        <v>0</v>
      </c>
      <c r="R17" s="995">
        <v>0</v>
      </c>
      <c r="S17" s="995">
        <v>0</v>
      </c>
      <c r="T17" s="995">
        <v>0</v>
      </c>
      <c r="U17" s="995">
        <v>1</v>
      </c>
      <c r="V17" s="91">
        <f t="shared" ref="V17:W18" si="2">P17+R17+T17</f>
        <v>0</v>
      </c>
      <c r="W17" s="91">
        <f t="shared" si="2"/>
        <v>1</v>
      </c>
      <c r="X17" s="995">
        <v>0</v>
      </c>
      <c r="Y17" s="995"/>
      <c r="Z17" s="995">
        <v>1</v>
      </c>
      <c r="AA17" s="995"/>
      <c r="AB17" s="995">
        <v>1</v>
      </c>
      <c r="AC17" s="995"/>
      <c r="AD17" s="91">
        <f t="shared" ref="AD17:AE18" si="3">X17+Z17+AB17</f>
        <v>2</v>
      </c>
      <c r="AE17" s="91">
        <f t="shared" si="3"/>
        <v>0</v>
      </c>
      <c r="AF17" s="995">
        <v>1</v>
      </c>
      <c r="AG17" s="995"/>
      <c r="AH17" s="995">
        <v>1</v>
      </c>
      <c r="AI17" s="995"/>
      <c r="AJ17" s="998">
        <v>1</v>
      </c>
      <c r="AK17" s="998"/>
      <c r="AL17" s="91">
        <f t="shared" ref="AL17:AM18" si="4">AF17+AH17+AJ17</f>
        <v>3</v>
      </c>
      <c r="AM17" s="91">
        <f t="shared" si="4"/>
        <v>0</v>
      </c>
      <c r="AN17" s="995">
        <v>1</v>
      </c>
      <c r="AO17" s="995"/>
      <c r="AP17" s="995">
        <v>0</v>
      </c>
      <c r="AQ17" s="995"/>
      <c r="AR17" s="995">
        <v>0</v>
      </c>
      <c r="AS17" s="995"/>
      <c r="AT17" s="91">
        <f t="shared" ref="AT17:AU18" si="5">AN17+AP17+AR17</f>
        <v>1</v>
      </c>
      <c r="AU17" s="91">
        <f t="shared" si="5"/>
        <v>0</v>
      </c>
      <c r="AV17" s="237">
        <f t="shared" ref="AV17:AV18" si="6">V17+AD17+AL17+AT17</f>
        <v>6</v>
      </c>
      <c r="AW17" s="81">
        <f t="shared" ref="AW17:AW18" si="7">+W17</f>
        <v>1</v>
      </c>
      <c r="AX17" s="1053">
        <f t="shared" ref="AX17:AX18" si="8">+W17+AE17</f>
        <v>1</v>
      </c>
      <c r="AY17" s="1053">
        <f t="shared" ref="AY17:AY18" si="9">+W17+AE17+AM17</f>
        <v>1</v>
      </c>
      <c r="AZ17" s="1053">
        <f t="shared" ref="AZ17:AZ18" si="10">+W17+AE17+AM17+AU17</f>
        <v>1</v>
      </c>
      <c r="BA17" s="42">
        <f>IF(AND(AW17&gt;0,AV17&gt;0),AW17/AV17,0)</f>
        <v>0.16666666666666666</v>
      </c>
      <c r="BB17" s="42">
        <f t="shared" si="0"/>
        <v>0.16666666666666666</v>
      </c>
      <c r="BC17" s="42">
        <f t="shared" si="0"/>
        <v>0.16666666666666666</v>
      </c>
      <c r="BD17" s="42">
        <f t="shared" si="0"/>
        <v>0.16666666666666666</v>
      </c>
      <c r="BE17" s="346">
        <f t="shared" ref="BE17:BE18" si="11">(IF(AND(AW17&gt;0,$F17&gt;0),AW17/$F17,0))</f>
        <v>0.05</v>
      </c>
      <c r="BF17" s="1056">
        <f t="shared" si="1"/>
        <v>0.05</v>
      </c>
      <c r="BG17" s="1056">
        <f t="shared" si="1"/>
        <v>0.05</v>
      </c>
      <c r="BH17" s="1056">
        <f t="shared" si="1"/>
        <v>0.05</v>
      </c>
    </row>
    <row r="18" spans="2:60" ht="142.5" customHeight="1">
      <c r="B18" s="1643"/>
      <c r="C18" s="1643"/>
      <c r="D18" s="31" t="str">
        <f>+'01-FR-03 POA INSTITUCIONAL'!D89</f>
        <v>4.5.3 Decidir de fondo 400 procesos disciplinarios que se encuentren en términos o con periodos vencidos, dando prelación a aquellos con mayor antigüedad o aquellos próximos a prescribir o caducar.</v>
      </c>
      <c r="E18" s="52">
        <f>+'01-FR-03 POA INSTITUCIONAL'!E89</f>
        <v>0.2</v>
      </c>
      <c r="F18" s="297">
        <f>+'01-FR-03 POA INSTITUCIONAL'!F89</f>
        <v>400</v>
      </c>
      <c r="G18" s="297">
        <f>+'01-FR-03 POA INSTITUCIONAL'!L89</f>
        <v>100</v>
      </c>
      <c r="H18" s="140" t="str">
        <f>+'01-FR-03 POA INSTITUCIONAL'!G89</f>
        <v>115 (en el último año)</v>
      </c>
      <c r="I18" s="140" t="str">
        <f>+'01-FR-03 POA INSTITUCIONAL'!H89</f>
        <v>Procesos disciplinarios con decisión de fondo proferida</v>
      </c>
      <c r="J18" s="215" t="s">
        <v>554</v>
      </c>
      <c r="K18" s="443" t="s">
        <v>561</v>
      </c>
      <c r="L18" s="217" t="s">
        <v>555</v>
      </c>
      <c r="M18" s="236" t="s">
        <v>562</v>
      </c>
      <c r="N18" s="217" t="s">
        <v>563</v>
      </c>
      <c r="O18" s="298" t="str">
        <f>+'01-FR-03 POA INSTITUCIONAL'!J89</f>
        <v>Oficina Control Interno Disciplinario</v>
      </c>
      <c r="P18" s="995">
        <v>7</v>
      </c>
      <c r="Q18" s="995">
        <v>8</v>
      </c>
      <c r="R18" s="995">
        <v>8</v>
      </c>
      <c r="S18" s="995">
        <v>9</v>
      </c>
      <c r="T18" s="995">
        <v>8</v>
      </c>
      <c r="U18" s="995">
        <v>13</v>
      </c>
      <c r="V18" s="91">
        <f t="shared" si="2"/>
        <v>23</v>
      </c>
      <c r="W18" s="91">
        <f t="shared" si="2"/>
        <v>30</v>
      </c>
      <c r="X18" s="995">
        <v>10</v>
      </c>
      <c r="Y18" s="995"/>
      <c r="Z18" s="995">
        <v>10</v>
      </c>
      <c r="AA18" s="995"/>
      <c r="AB18" s="995">
        <v>10</v>
      </c>
      <c r="AC18" s="995"/>
      <c r="AD18" s="91">
        <f t="shared" si="3"/>
        <v>30</v>
      </c>
      <c r="AE18" s="91">
        <f t="shared" si="3"/>
        <v>0</v>
      </c>
      <c r="AF18" s="995">
        <v>10</v>
      </c>
      <c r="AG18" s="995"/>
      <c r="AH18" s="995">
        <v>10</v>
      </c>
      <c r="AI18" s="995"/>
      <c r="AJ18" s="998">
        <v>10</v>
      </c>
      <c r="AK18" s="998"/>
      <c r="AL18" s="91">
        <f t="shared" si="4"/>
        <v>30</v>
      </c>
      <c r="AM18" s="91">
        <f t="shared" si="4"/>
        <v>0</v>
      </c>
      <c r="AN18" s="995">
        <v>6</v>
      </c>
      <c r="AO18" s="995"/>
      <c r="AP18" s="995">
        <v>6</v>
      </c>
      <c r="AQ18" s="995"/>
      <c r="AR18" s="995">
        <v>5</v>
      </c>
      <c r="AS18" s="995"/>
      <c r="AT18" s="91">
        <f t="shared" si="5"/>
        <v>17</v>
      </c>
      <c r="AU18" s="91">
        <f t="shared" si="5"/>
        <v>0</v>
      </c>
      <c r="AV18" s="237">
        <f t="shared" si="6"/>
        <v>100</v>
      </c>
      <c r="AW18" s="81">
        <f t="shared" si="7"/>
        <v>30</v>
      </c>
      <c r="AX18" s="1053">
        <f t="shared" si="8"/>
        <v>30</v>
      </c>
      <c r="AY18" s="1053">
        <f t="shared" si="9"/>
        <v>30</v>
      </c>
      <c r="AZ18" s="1053">
        <f t="shared" si="10"/>
        <v>30</v>
      </c>
      <c r="BA18" s="42">
        <f t="shared" ref="BA18" si="12">IF(AND(AW18&gt;0,AV18&gt;0),AW18/AV18,0)</f>
        <v>0.3</v>
      </c>
      <c r="BB18" s="42">
        <f t="shared" si="0"/>
        <v>0.3</v>
      </c>
      <c r="BC18" s="42">
        <f t="shared" si="0"/>
        <v>0.3</v>
      </c>
      <c r="BD18" s="42">
        <f t="shared" si="0"/>
        <v>0.3</v>
      </c>
      <c r="BE18" s="346">
        <f t="shared" si="11"/>
        <v>7.4999999999999997E-2</v>
      </c>
      <c r="BF18" s="1056">
        <f t="shared" si="1"/>
        <v>7.4999999999999997E-2</v>
      </c>
      <c r="BG18" s="1056">
        <f t="shared" si="1"/>
        <v>7.4999999999999997E-2</v>
      </c>
      <c r="BH18" s="1056">
        <f t="shared" si="1"/>
        <v>7.4999999999999997E-2</v>
      </c>
    </row>
    <row r="19" spans="2:60" ht="22.8">
      <c r="B19" s="1560"/>
      <c r="C19" s="1561"/>
      <c r="D19" s="1561"/>
      <c r="E19" s="1561"/>
      <c r="F19" s="1561"/>
      <c r="G19" s="1561"/>
      <c r="H19" s="1561"/>
      <c r="I19" s="1561"/>
      <c r="J19" s="1561"/>
      <c r="K19" s="1561"/>
      <c r="L19" s="1561"/>
      <c r="M19" s="1561"/>
      <c r="N19" s="1561"/>
      <c r="O19" s="1561"/>
      <c r="P19" s="1561"/>
      <c r="Q19" s="1561"/>
      <c r="R19" s="1561"/>
      <c r="S19" s="1561"/>
      <c r="T19" s="1561"/>
      <c r="U19" s="1561"/>
      <c r="V19" s="1561"/>
      <c r="W19" s="1561"/>
      <c r="X19" s="1561"/>
      <c r="Y19" s="1561"/>
      <c r="Z19" s="1561"/>
      <c r="AA19" s="1561"/>
      <c r="AB19" s="1561"/>
      <c r="AC19" s="1561"/>
      <c r="AD19" s="1561"/>
      <c r="AE19" s="1561"/>
      <c r="AF19" s="1561"/>
      <c r="AG19" s="1561"/>
      <c r="AH19" s="1561"/>
      <c r="AI19" s="1561"/>
      <c r="AJ19" s="1561"/>
      <c r="AK19" s="1561"/>
      <c r="AL19" s="1561"/>
      <c r="AM19" s="1561"/>
      <c r="AN19" s="1561"/>
      <c r="AO19" s="1561"/>
      <c r="AP19" s="1561"/>
      <c r="AQ19" s="1561"/>
      <c r="AR19" s="1561"/>
      <c r="AS19" s="1561"/>
      <c r="AT19" s="1561"/>
      <c r="AU19" s="1561"/>
      <c r="AV19" s="1561"/>
      <c r="AW19" s="1644"/>
      <c r="AX19" s="1614" t="s">
        <v>19</v>
      </c>
      <c r="AY19" s="1642"/>
      <c r="AZ19" s="1642"/>
      <c r="BA19" s="70">
        <f t="shared" ref="BA19:BD19" si="13">AVERAGE(BA16:BA18)</f>
        <v>0.51666666666666672</v>
      </c>
      <c r="BB19" s="70">
        <f t="shared" si="13"/>
        <v>0.51666666666666672</v>
      </c>
      <c r="BC19" s="70">
        <f t="shared" si="13"/>
        <v>0.51666666666666672</v>
      </c>
      <c r="BD19" s="70">
        <f t="shared" si="13"/>
        <v>0.51666666666666672</v>
      </c>
      <c r="BE19" s="1652"/>
      <c r="BF19" s="1653"/>
      <c r="BG19" s="1653"/>
      <c r="BH19" s="1654"/>
    </row>
    <row r="20" spans="2:60">
      <c r="B20" s="1553"/>
      <c r="C20" s="1553"/>
      <c r="D20" s="1553"/>
      <c r="E20" s="1553"/>
      <c r="F20" s="1553"/>
      <c r="G20" s="1553"/>
      <c r="H20" s="239"/>
      <c r="I20" s="240"/>
      <c r="J20" s="240"/>
      <c r="K20" s="240"/>
      <c r="L20" s="240"/>
      <c r="M20" s="240"/>
      <c r="N20" s="240"/>
      <c r="O20" s="240"/>
    </row>
    <row r="21" spans="2:60">
      <c r="B21" s="240"/>
      <c r="C21" s="240"/>
      <c r="D21" s="1624"/>
      <c r="E21" s="1624"/>
      <c r="F21" s="1624"/>
      <c r="G21" s="1624"/>
      <c r="H21" s="1624"/>
      <c r="I21" s="1624"/>
      <c r="J21" s="1624"/>
      <c r="K21" s="1624"/>
      <c r="L21" s="1624"/>
      <c r="M21" s="1624"/>
      <c r="N21" s="1624"/>
      <c r="O21" s="1624"/>
    </row>
    <row r="22" spans="2:60" ht="15.6">
      <c r="B22" s="77" t="s">
        <v>26</v>
      </c>
      <c r="C22" s="241">
        <v>44224</v>
      </c>
      <c r="D22" s="242"/>
      <c r="E22" s="1625" t="s">
        <v>50</v>
      </c>
      <c r="F22" s="329"/>
      <c r="G22" s="1626" t="s">
        <v>557</v>
      </c>
      <c r="H22" s="1626"/>
      <c r="I22" s="1626"/>
      <c r="J22" s="1626"/>
      <c r="K22" s="243"/>
      <c r="L22" s="1633"/>
      <c r="M22" s="1633"/>
      <c r="N22" s="1633"/>
      <c r="O22" s="1634"/>
    </row>
    <row r="23" spans="2:60" ht="15.6">
      <c r="B23" s="240"/>
      <c r="C23" s="240"/>
      <c r="D23" s="243"/>
      <c r="E23" s="1625"/>
      <c r="F23" s="329"/>
      <c r="G23" s="1626"/>
      <c r="H23" s="1626"/>
      <c r="I23" s="1626"/>
      <c r="J23" s="1626"/>
      <c r="K23" s="240"/>
      <c r="L23" s="240"/>
      <c r="M23" s="240"/>
      <c r="N23" s="240"/>
      <c r="O23" s="240"/>
    </row>
    <row r="24" spans="2:60" ht="15.6">
      <c r="B24" s="77" t="s">
        <v>49</v>
      </c>
      <c r="C24" s="241">
        <v>44581</v>
      </c>
      <c r="D24" s="240"/>
      <c r="E24" s="240"/>
      <c r="F24" s="240"/>
      <c r="K24" s="240"/>
      <c r="L24" s="240"/>
      <c r="M24" s="240"/>
      <c r="N24" s="240"/>
      <c r="O24" s="240"/>
    </row>
    <row r="25" spans="2:60">
      <c r="B25" s="240"/>
      <c r="C25" s="240"/>
      <c r="D25" s="240"/>
      <c r="E25" s="240"/>
      <c r="F25" s="240"/>
      <c r="K25" s="240"/>
      <c r="L25" s="240"/>
      <c r="M25" s="240"/>
      <c r="N25" s="240"/>
      <c r="O25" s="240"/>
    </row>
    <row r="26" spans="2:60">
      <c r="B26" s="1752" t="s">
        <v>924</v>
      </c>
      <c r="C26" s="1752"/>
      <c r="D26" s="1752"/>
      <c r="E26" s="1752"/>
      <c r="F26" s="1752"/>
      <c r="G26" s="1752"/>
      <c r="H26" s="239"/>
      <c r="I26" s="1632"/>
      <c r="J26" s="1632"/>
      <c r="K26" s="1632"/>
      <c r="L26" s="1632"/>
      <c r="M26" s="244"/>
      <c r="N26" s="244"/>
      <c r="O26" s="244"/>
    </row>
    <row r="27" spans="2:60">
      <c r="B27" s="240"/>
      <c r="C27" s="240"/>
      <c r="D27" s="240"/>
      <c r="E27" s="240"/>
      <c r="F27" s="240"/>
      <c r="G27" s="239"/>
      <c r="H27" s="239"/>
      <c r="I27" s="240"/>
      <c r="J27" s="240"/>
      <c r="K27" s="245"/>
      <c r="L27" s="240"/>
      <c r="M27" s="240"/>
      <c r="N27" s="240"/>
      <c r="O27" s="240"/>
    </row>
    <row r="28" spans="2:60">
      <c r="B28" s="240"/>
      <c r="C28" s="240"/>
      <c r="D28" s="240"/>
      <c r="E28" s="240"/>
      <c r="F28" s="240"/>
      <c r="G28" s="239"/>
      <c r="H28" s="239"/>
      <c r="I28" s="1632"/>
      <c r="J28" s="1632"/>
      <c r="K28" s="1632"/>
      <c r="L28" s="1632"/>
      <c r="M28" s="244"/>
      <c r="N28" s="244"/>
      <c r="O28" s="244"/>
    </row>
    <row r="29" spans="2:60">
      <c r="B29" s="240"/>
      <c r="C29" s="240"/>
      <c r="D29" s="240"/>
      <c r="E29" s="240"/>
      <c r="F29" s="240"/>
      <c r="G29" s="239"/>
      <c r="H29" s="239"/>
      <c r="I29" s="240"/>
      <c r="J29" s="240"/>
      <c r="K29" s="245"/>
      <c r="L29" s="240"/>
      <c r="M29" s="240"/>
      <c r="N29" s="240"/>
      <c r="O29" s="240"/>
    </row>
    <row r="30" spans="2:60">
      <c r="B30" s="240"/>
      <c r="C30" s="240"/>
      <c r="D30" s="240"/>
      <c r="E30" s="240"/>
      <c r="F30" s="240"/>
      <c r="G30" s="239"/>
      <c r="H30" s="239"/>
      <c r="I30" s="1632"/>
      <c r="J30" s="1632"/>
      <c r="K30" s="1632"/>
      <c r="L30" s="1632"/>
      <c r="M30" s="244"/>
      <c r="N30" s="244"/>
      <c r="O30" s="244"/>
    </row>
  </sheetData>
  <sheetProtection algorithmName="SHA-512" hashValue="OjWk5Ym7pT5af6nRzEtTv1aU/V8loJpqiwKGieMwAzJgq8iEXogvBmhBScJC6G8pAg7eE9sP7rMrJSuJ4xYYhQ==" saltValue="yL2Dlq97Aylu1kIvrfvYXA==" spinCount="100000" sheet="1" objects="1" scenarios="1"/>
  <mergeCells count="72">
    <mergeCell ref="C9:D9"/>
    <mergeCell ref="B2:B6"/>
    <mergeCell ref="C2:BF6"/>
    <mergeCell ref="BG6:BH6"/>
    <mergeCell ref="AW7:BA7"/>
    <mergeCell ref="C8:D8"/>
    <mergeCell ref="C10:D10"/>
    <mergeCell ref="B12:B15"/>
    <mergeCell ref="C12:C15"/>
    <mergeCell ref="D12:D15"/>
    <mergeCell ref="E12:E15"/>
    <mergeCell ref="BE12:BH12"/>
    <mergeCell ref="P13:W13"/>
    <mergeCell ref="X13:AE13"/>
    <mergeCell ref="AF13:AM13"/>
    <mergeCell ref="AN13:AU13"/>
    <mergeCell ref="AW13:AW15"/>
    <mergeCell ref="AX13:AX15"/>
    <mergeCell ref="AY13:AY15"/>
    <mergeCell ref="AZ13:AZ15"/>
    <mergeCell ref="BA13:BA15"/>
    <mergeCell ref="P12:AU12"/>
    <mergeCell ref="AV12:AV15"/>
    <mergeCell ref="AW12:AZ12"/>
    <mergeCell ref="BA12:BD12"/>
    <mergeCell ref="BB13:BB15"/>
    <mergeCell ref="BC13:BC15"/>
    <mergeCell ref="BE13:BE15"/>
    <mergeCell ref="BF13:BF15"/>
    <mergeCell ref="BG13:BG15"/>
    <mergeCell ref="BH13:BH15"/>
    <mergeCell ref="P14:Q14"/>
    <mergeCell ref="R14:S14"/>
    <mergeCell ref="T14:U14"/>
    <mergeCell ref="V14:W14"/>
    <mergeCell ref="X14:Y14"/>
    <mergeCell ref="Z14:AA14"/>
    <mergeCell ref="BD13:BD15"/>
    <mergeCell ref="AB14:AC14"/>
    <mergeCell ref="J12:J15"/>
    <mergeCell ref="AX19:AZ19"/>
    <mergeCell ref="D21:O21"/>
    <mergeCell ref="B16:B18"/>
    <mergeCell ref="C16:C18"/>
    <mergeCell ref="B20:G20"/>
    <mergeCell ref="K12:K15"/>
    <mergeCell ref="L12:L15"/>
    <mergeCell ref="M12:M15"/>
    <mergeCell ref="G12:G15"/>
    <mergeCell ref="F12:F15"/>
    <mergeCell ref="I28:L28"/>
    <mergeCell ref="I30:L30"/>
    <mergeCell ref="AP14:AQ14"/>
    <mergeCell ref="AR14:AS14"/>
    <mergeCell ref="AT14:AU14"/>
    <mergeCell ref="B19:AW19"/>
    <mergeCell ref="AD14:AE14"/>
    <mergeCell ref="AF14:AG14"/>
    <mergeCell ref="AH14:AI14"/>
    <mergeCell ref="AJ14:AK14"/>
    <mergeCell ref="AL14:AM14"/>
    <mergeCell ref="AN14:AO14"/>
    <mergeCell ref="N12:N15"/>
    <mergeCell ref="O12:O15"/>
    <mergeCell ref="H12:H15"/>
    <mergeCell ref="I12:I15"/>
    <mergeCell ref="BE19:BH19"/>
    <mergeCell ref="E22:E23"/>
    <mergeCell ref="G22:J23"/>
    <mergeCell ref="L22:O22"/>
    <mergeCell ref="I26:L26"/>
    <mergeCell ref="B26:G26"/>
  </mergeCells>
  <conditionalFormatting sqref="BA16:BD18">
    <cfRule type="cellIs" dxfId="6" priority="1" operator="greaterThan">
      <formula>1</formula>
    </cfRule>
    <cfRule type="cellIs" dxfId="5" priority="5" operator="between">
      <formula>0.8</formula>
      <formula>1</formula>
    </cfRule>
    <cfRule type="cellIs" dxfId="4" priority="6" operator="between">
      <formula>0.61</formula>
      <formula>0.99</formula>
    </cfRule>
    <cfRule type="cellIs" dxfId="3" priority="7" operator="between">
      <formula>0</formula>
      <formula>0.6</formula>
    </cfRule>
  </conditionalFormatting>
  <dataValidations count="1">
    <dataValidation allowBlank="1" showInputMessage="1" showErrorMessage="1" prompt="Transcriba de manera exacta el objetivo definido en la caracterización del proceso." sqref="C9:D9" xr:uid="{5CDBEB9E-556A-4019-999E-AD7B56F2622D}"/>
  </dataValidation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42A26-0845-45A7-AA99-CE0381827BE0}">
  <sheetPr>
    <tabColor rgb="FF66FF33"/>
  </sheetPr>
  <dimension ref="B1:BH30"/>
  <sheetViews>
    <sheetView showGridLines="0" zoomScale="70" zoomScaleNormal="70" workbookViewId="0">
      <selection activeCell="C10" sqref="C10:D10"/>
    </sheetView>
  </sheetViews>
  <sheetFormatPr baseColWidth="10" defaultColWidth="17.33203125" defaultRowHeight="15" customHeight="1"/>
  <cols>
    <col min="1" max="1" width="4.33203125" style="135" customWidth="1"/>
    <col min="2" max="2" width="50.44140625" style="133" customWidth="1"/>
    <col min="3" max="3" width="31.44140625" style="133" customWidth="1"/>
    <col min="4" max="4" width="49.6640625" style="133" customWidth="1"/>
    <col min="5" max="6" width="27.5546875" style="133" customWidth="1"/>
    <col min="7" max="8" width="29.33203125" style="134" customWidth="1"/>
    <col min="9" max="9" width="21.44140625" style="133" customWidth="1"/>
    <col min="10" max="10" width="31.88671875" style="133" customWidth="1"/>
    <col min="11" max="11" width="55.88671875" style="133" customWidth="1"/>
    <col min="12" max="12" width="48.44140625" style="133" customWidth="1"/>
    <col min="13" max="14" width="28.5546875" style="133" customWidth="1"/>
    <col min="15" max="15" width="50" style="133" customWidth="1"/>
    <col min="16" max="47" width="15.88671875" style="135" customWidth="1"/>
    <col min="48" max="48" width="24.5546875" style="135" customWidth="1"/>
    <col min="49" max="49" width="22.88671875" style="135" customWidth="1"/>
    <col min="50" max="50" width="19.33203125" style="135" customWidth="1"/>
    <col min="51" max="51" width="18.44140625" style="135" customWidth="1"/>
    <col min="52" max="52" width="19.44140625" style="135" customWidth="1"/>
    <col min="53" max="53" width="23.33203125" style="135" customWidth="1"/>
    <col min="54" max="55" width="25.109375" style="135" customWidth="1"/>
    <col min="56" max="56" width="26.6640625" style="135" customWidth="1"/>
    <col min="57" max="57" width="26.33203125" style="135" customWidth="1"/>
    <col min="58" max="58" width="26.5546875" style="135" customWidth="1"/>
    <col min="59" max="59" width="26.33203125" style="135" customWidth="1"/>
    <col min="60" max="60" width="27.33203125" style="135" customWidth="1"/>
    <col min="61" max="16384" width="17.33203125" style="135"/>
  </cols>
  <sheetData>
    <row r="1" spans="2:60" ht="15.6" thickBot="1"/>
    <row r="2" spans="2:60" ht="15.6">
      <c r="B2" s="1575" t="s">
        <v>686</v>
      </c>
      <c r="C2" s="1600" t="s">
        <v>118</v>
      </c>
      <c r="D2" s="1601"/>
      <c r="E2" s="1601"/>
      <c r="F2" s="1601"/>
      <c r="G2" s="1601"/>
      <c r="H2" s="1601"/>
      <c r="I2" s="1601"/>
      <c r="J2" s="1601"/>
      <c r="K2" s="1601"/>
      <c r="L2" s="1601"/>
      <c r="M2" s="1601"/>
      <c r="N2" s="1601"/>
      <c r="O2" s="1601"/>
      <c r="P2" s="1601"/>
      <c r="Q2" s="1601"/>
      <c r="R2" s="1601"/>
      <c r="S2" s="1601"/>
      <c r="T2" s="1601"/>
      <c r="U2" s="1601"/>
      <c r="V2" s="1601"/>
      <c r="W2" s="1601"/>
      <c r="X2" s="1601"/>
      <c r="Y2" s="1601"/>
      <c r="Z2" s="1601"/>
      <c r="AA2" s="1601"/>
      <c r="AB2" s="1601"/>
      <c r="AC2" s="1601"/>
      <c r="AD2" s="1601"/>
      <c r="AE2" s="1601"/>
      <c r="AF2" s="1601"/>
      <c r="AG2" s="1601"/>
      <c r="AH2" s="1601"/>
      <c r="AI2" s="1601"/>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2"/>
      <c r="BG2" s="230" t="s">
        <v>31</v>
      </c>
      <c r="BH2" s="231"/>
    </row>
    <row r="3" spans="2:60" ht="15.6">
      <c r="B3" s="1576"/>
      <c r="C3" s="1603"/>
      <c r="D3" s="1604"/>
      <c r="E3" s="1604"/>
      <c r="F3" s="1604"/>
      <c r="G3" s="1604"/>
      <c r="H3" s="1604"/>
      <c r="I3" s="1604"/>
      <c r="J3" s="1604"/>
      <c r="K3" s="1604"/>
      <c r="L3" s="1604"/>
      <c r="M3" s="1604"/>
      <c r="N3" s="1604"/>
      <c r="O3" s="1604"/>
      <c r="P3" s="1604"/>
      <c r="Q3" s="1604"/>
      <c r="R3" s="1604"/>
      <c r="S3" s="1604"/>
      <c r="T3" s="1604"/>
      <c r="U3" s="1604"/>
      <c r="V3" s="1604"/>
      <c r="W3" s="1604"/>
      <c r="X3" s="1604"/>
      <c r="Y3" s="1604"/>
      <c r="Z3" s="1604"/>
      <c r="AA3" s="1604"/>
      <c r="AB3" s="1604"/>
      <c r="AC3" s="1604"/>
      <c r="AD3" s="1604"/>
      <c r="AE3" s="1604"/>
      <c r="AF3" s="1604"/>
      <c r="AG3" s="1604"/>
      <c r="AH3" s="1604"/>
      <c r="AI3" s="1604"/>
      <c r="AJ3" s="1604"/>
      <c r="AK3" s="1604"/>
      <c r="AL3" s="1604"/>
      <c r="AM3" s="1604"/>
      <c r="AN3" s="1604"/>
      <c r="AO3" s="1604"/>
      <c r="AP3" s="1604"/>
      <c r="AQ3" s="1604"/>
      <c r="AR3" s="1604"/>
      <c r="AS3" s="1604"/>
      <c r="AT3" s="1604"/>
      <c r="AU3" s="1604"/>
      <c r="AV3" s="1604"/>
      <c r="AW3" s="1604"/>
      <c r="AX3" s="1604"/>
      <c r="AY3" s="1604"/>
      <c r="AZ3" s="1604"/>
      <c r="BA3" s="1604"/>
      <c r="BB3" s="1604"/>
      <c r="BC3" s="1604"/>
      <c r="BD3" s="1604"/>
      <c r="BE3" s="1604"/>
      <c r="BF3" s="1605"/>
      <c r="BG3" s="209" t="s">
        <v>28</v>
      </c>
      <c r="BH3" s="28" t="s">
        <v>29</v>
      </c>
    </row>
    <row r="4" spans="2:60" ht="15" customHeight="1">
      <c r="B4" s="1576"/>
      <c r="C4" s="1603"/>
      <c r="D4" s="1604"/>
      <c r="E4" s="1604"/>
      <c r="F4" s="1604"/>
      <c r="G4" s="1604"/>
      <c r="H4" s="1604"/>
      <c r="I4" s="1604"/>
      <c r="J4" s="1604"/>
      <c r="K4" s="1604"/>
      <c r="L4" s="1604"/>
      <c r="M4" s="1604"/>
      <c r="N4" s="1604"/>
      <c r="O4" s="1604"/>
      <c r="P4" s="1604"/>
      <c r="Q4" s="1604"/>
      <c r="R4" s="1604"/>
      <c r="S4" s="1604"/>
      <c r="T4" s="1604"/>
      <c r="U4" s="1604"/>
      <c r="V4" s="1604"/>
      <c r="W4" s="1604"/>
      <c r="X4" s="1604"/>
      <c r="Y4" s="1604"/>
      <c r="Z4" s="1604"/>
      <c r="AA4" s="1604"/>
      <c r="AB4" s="1604"/>
      <c r="AC4" s="1604"/>
      <c r="AD4" s="1604"/>
      <c r="AE4" s="1604"/>
      <c r="AF4" s="1604"/>
      <c r="AG4" s="1604"/>
      <c r="AH4" s="1604"/>
      <c r="AI4" s="1604"/>
      <c r="AJ4" s="1604"/>
      <c r="AK4" s="1604"/>
      <c r="AL4" s="1604"/>
      <c r="AM4" s="1604"/>
      <c r="AN4" s="1604"/>
      <c r="AO4" s="1604"/>
      <c r="AP4" s="1604"/>
      <c r="AQ4" s="1604"/>
      <c r="AR4" s="1604"/>
      <c r="AS4" s="1604"/>
      <c r="AT4" s="1604"/>
      <c r="AU4" s="1604"/>
      <c r="AV4" s="1604"/>
      <c r="AW4" s="1604"/>
      <c r="AX4" s="1604"/>
      <c r="AY4" s="1604"/>
      <c r="AZ4" s="1604"/>
      <c r="BA4" s="1604"/>
      <c r="BB4" s="1604"/>
      <c r="BC4" s="1604"/>
      <c r="BD4" s="1604"/>
      <c r="BE4" s="1604"/>
      <c r="BF4" s="1605"/>
      <c r="BG4" s="210">
        <v>5</v>
      </c>
      <c r="BH4" s="30" t="s">
        <v>657</v>
      </c>
    </row>
    <row r="5" spans="2:60" ht="15.6">
      <c r="B5" s="1576"/>
      <c r="C5" s="1603"/>
      <c r="D5" s="1604"/>
      <c r="E5" s="1604"/>
      <c r="F5" s="1604"/>
      <c r="G5" s="1604"/>
      <c r="H5" s="1604"/>
      <c r="I5" s="1604"/>
      <c r="J5" s="1604"/>
      <c r="K5" s="1604"/>
      <c r="L5" s="1604"/>
      <c r="M5" s="1604"/>
      <c r="N5" s="1604"/>
      <c r="O5" s="1604"/>
      <c r="P5" s="1604"/>
      <c r="Q5" s="1604"/>
      <c r="R5" s="1604"/>
      <c r="S5" s="1604"/>
      <c r="T5" s="1604"/>
      <c r="U5" s="1604"/>
      <c r="V5" s="1604"/>
      <c r="W5" s="1604"/>
      <c r="X5" s="1604"/>
      <c r="Y5" s="1604"/>
      <c r="Z5" s="1604"/>
      <c r="AA5" s="1604"/>
      <c r="AB5" s="1604"/>
      <c r="AC5" s="1604"/>
      <c r="AD5" s="1604"/>
      <c r="AE5" s="1604"/>
      <c r="AF5" s="1604"/>
      <c r="AG5" s="1604"/>
      <c r="AH5" s="1604"/>
      <c r="AI5" s="1604"/>
      <c r="AJ5" s="1604"/>
      <c r="AK5" s="1604"/>
      <c r="AL5" s="1604"/>
      <c r="AM5" s="1604"/>
      <c r="AN5" s="1604"/>
      <c r="AO5" s="1604"/>
      <c r="AP5" s="1604"/>
      <c r="AQ5" s="1604"/>
      <c r="AR5" s="1604"/>
      <c r="AS5" s="1604"/>
      <c r="AT5" s="1604"/>
      <c r="AU5" s="1604"/>
      <c r="AV5" s="1604"/>
      <c r="AW5" s="1604"/>
      <c r="AX5" s="1604"/>
      <c r="AY5" s="1604"/>
      <c r="AZ5" s="1604"/>
      <c r="BA5" s="1604"/>
      <c r="BB5" s="1604"/>
      <c r="BC5" s="1604"/>
      <c r="BD5" s="1604"/>
      <c r="BE5" s="1604"/>
      <c r="BF5" s="1605"/>
      <c r="BG5" s="211" t="s">
        <v>30</v>
      </c>
      <c r="BH5" s="212"/>
    </row>
    <row r="6" spans="2:60" ht="15.6" customHeight="1" thickBot="1">
      <c r="B6" s="1577"/>
      <c r="C6" s="1606"/>
      <c r="D6" s="1607"/>
      <c r="E6" s="1607"/>
      <c r="F6" s="1607"/>
      <c r="G6" s="1607"/>
      <c r="H6" s="1607"/>
      <c r="I6" s="1607"/>
      <c r="J6" s="1607"/>
      <c r="K6" s="1607"/>
      <c r="L6" s="1607"/>
      <c r="M6" s="1607"/>
      <c r="N6" s="1607"/>
      <c r="O6" s="1607"/>
      <c r="P6" s="1607"/>
      <c r="Q6" s="1607"/>
      <c r="R6" s="1607"/>
      <c r="S6" s="1607"/>
      <c r="T6" s="1607"/>
      <c r="U6" s="1607"/>
      <c r="V6" s="1607"/>
      <c r="W6" s="1607"/>
      <c r="X6" s="1607"/>
      <c r="Y6" s="1607"/>
      <c r="Z6" s="1607"/>
      <c r="AA6" s="1607"/>
      <c r="AB6" s="1607"/>
      <c r="AC6" s="1607"/>
      <c r="AD6" s="1607"/>
      <c r="AE6" s="1607"/>
      <c r="AF6" s="1607"/>
      <c r="AG6" s="1607"/>
      <c r="AH6" s="1607"/>
      <c r="AI6" s="1607"/>
      <c r="AJ6" s="1607"/>
      <c r="AK6" s="1607"/>
      <c r="AL6" s="1607"/>
      <c r="AM6" s="1607"/>
      <c r="AN6" s="1607"/>
      <c r="AO6" s="1607"/>
      <c r="AP6" s="1607"/>
      <c r="AQ6" s="1607"/>
      <c r="AR6" s="1607"/>
      <c r="AS6" s="1607"/>
      <c r="AT6" s="1607"/>
      <c r="AU6" s="1607"/>
      <c r="AV6" s="1607"/>
      <c r="AW6" s="1607"/>
      <c r="AX6" s="1607"/>
      <c r="AY6" s="1607"/>
      <c r="AZ6" s="1607"/>
      <c r="BA6" s="1607"/>
      <c r="BB6" s="1607"/>
      <c r="BC6" s="1607"/>
      <c r="BD6" s="1607"/>
      <c r="BE6" s="1607"/>
      <c r="BF6" s="1608"/>
      <c r="BG6" s="1566">
        <v>44306</v>
      </c>
      <c r="BH6" s="1567"/>
    </row>
    <row r="7" spans="2:60">
      <c r="B7" s="136"/>
      <c r="C7" s="136"/>
      <c r="D7" s="136"/>
      <c r="E7" s="136"/>
      <c r="F7" s="136"/>
      <c r="G7" s="137"/>
      <c r="H7" s="137"/>
      <c r="I7" s="136"/>
      <c r="J7" s="136"/>
      <c r="K7" s="136"/>
      <c r="L7" s="136"/>
      <c r="M7" s="136"/>
      <c r="N7" s="136"/>
      <c r="O7" s="136"/>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589"/>
      <c r="AX7" s="1633"/>
      <c r="AY7" s="1633"/>
      <c r="AZ7" s="1633"/>
      <c r="BA7" s="1591"/>
      <c r="BB7" s="232"/>
      <c r="BC7" s="232"/>
      <c r="BD7" s="232"/>
      <c r="BE7" s="138"/>
      <c r="BF7" s="138"/>
    </row>
    <row r="8" spans="2:60" ht="21">
      <c r="B8" s="213" t="s">
        <v>45</v>
      </c>
      <c r="C8" s="1651" t="s">
        <v>98</v>
      </c>
      <c r="D8" s="1651"/>
      <c r="E8" s="214"/>
      <c r="F8" s="214"/>
      <c r="G8" s="214"/>
      <c r="H8" s="214"/>
      <c r="I8" s="214"/>
      <c r="J8" s="214"/>
      <c r="K8" s="214"/>
      <c r="L8" s="214"/>
      <c r="M8" s="214"/>
      <c r="N8" s="214"/>
      <c r="O8" s="214"/>
      <c r="AW8" s="232"/>
      <c r="AX8" s="232"/>
      <c r="AY8" s="232"/>
      <c r="AZ8" s="232"/>
      <c r="BA8" s="232"/>
      <c r="BB8" s="232"/>
      <c r="BC8" s="232"/>
      <c r="BD8" s="232"/>
    </row>
    <row r="9" spans="2:60" ht="93" customHeight="1">
      <c r="B9" s="213" t="s">
        <v>34</v>
      </c>
      <c r="C9" s="1610" t="s">
        <v>568</v>
      </c>
      <c r="D9" s="1611"/>
      <c r="E9" s="214"/>
      <c r="F9" s="214"/>
      <c r="G9" s="214"/>
      <c r="H9" s="214"/>
      <c r="I9" s="214"/>
      <c r="J9" s="214"/>
      <c r="K9" s="214"/>
      <c r="L9" s="214"/>
      <c r="M9" s="214"/>
      <c r="N9" s="214"/>
      <c r="O9" s="214"/>
      <c r="AW9" s="232"/>
      <c r="AX9" s="232"/>
      <c r="AY9" s="232"/>
      <c r="AZ9" s="232"/>
      <c r="BA9" s="232"/>
      <c r="BB9" s="232"/>
      <c r="BC9" s="232"/>
      <c r="BD9" s="232"/>
    </row>
    <row r="10" spans="2:60" ht="24.6">
      <c r="B10" s="213" t="s">
        <v>101</v>
      </c>
      <c r="C10" s="1612">
        <v>2022</v>
      </c>
      <c r="D10" s="1613"/>
      <c r="E10" s="214"/>
      <c r="F10" s="214"/>
      <c r="G10" s="214"/>
      <c r="H10" s="214"/>
      <c r="I10" s="214"/>
      <c r="J10" s="214"/>
      <c r="K10" s="214"/>
      <c r="L10" s="214"/>
      <c r="M10" s="214"/>
      <c r="N10" s="214"/>
      <c r="O10" s="214"/>
      <c r="AW10" s="232"/>
      <c r="AX10" s="232"/>
      <c r="AY10" s="232"/>
      <c r="AZ10" s="232"/>
      <c r="BA10" s="232"/>
      <c r="BB10" s="232"/>
      <c r="BC10" s="232"/>
      <c r="BD10" s="232"/>
    </row>
    <row r="11" spans="2:60">
      <c r="B11" s="136"/>
      <c r="C11" s="136"/>
      <c r="D11" s="136"/>
      <c r="E11" s="136"/>
      <c r="F11" s="136"/>
      <c r="G11" s="137"/>
      <c r="H11" s="137"/>
      <c r="I11" s="136"/>
      <c r="J11" s="136"/>
      <c r="K11" s="136"/>
      <c r="L11" s="136"/>
      <c r="M11" s="136"/>
      <c r="N11" s="136"/>
      <c r="O11" s="136"/>
      <c r="AW11" s="232"/>
      <c r="AX11" s="232"/>
      <c r="AY11" s="232"/>
      <c r="AZ11" s="232"/>
      <c r="BA11" s="232"/>
      <c r="BB11" s="232"/>
      <c r="BC11" s="232"/>
      <c r="BD11" s="232"/>
    </row>
    <row r="12" spans="2:60" ht="15.6" customHeight="1">
      <c r="B12" s="1476" t="s">
        <v>0</v>
      </c>
      <c r="C12" s="1476" t="s">
        <v>52</v>
      </c>
      <c r="D12" s="1302" t="s">
        <v>711</v>
      </c>
      <c r="E12" s="1476" t="s">
        <v>61</v>
      </c>
      <c r="F12" s="1302" t="s">
        <v>682</v>
      </c>
      <c r="G12" s="1476" t="s">
        <v>58</v>
      </c>
      <c r="H12" s="1476" t="s">
        <v>25</v>
      </c>
      <c r="I12" s="1476" t="s">
        <v>60</v>
      </c>
      <c r="J12" s="1476" t="s">
        <v>39</v>
      </c>
      <c r="K12" s="1476" t="s">
        <v>36</v>
      </c>
      <c r="L12" s="1476" t="s">
        <v>20</v>
      </c>
      <c r="M12" s="1476" t="s">
        <v>51</v>
      </c>
      <c r="N12" s="1476" t="s">
        <v>40</v>
      </c>
      <c r="O12" s="1476" t="s">
        <v>42</v>
      </c>
      <c r="P12" s="1528" t="s">
        <v>112</v>
      </c>
      <c r="Q12" s="1528"/>
      <c r="R12" s="1528"/>
      <c r="S12" s="1528"/>
      <c r="T12" s="1528"/>
      <c r="U12" s="1528"/>
      <c r="V12" s="1528"/>
      <c r="W12" s="1528"/>
      <c r="X12" s="1528"/>
      <c r="Y12" s="1528"/>
      <c r="Z12" s="1528"/>
      <c r="AA12" s="1528"/>
      <c r="AB12" s="1528"/>
      <c r="AC12" s="1528"/>
      <c r="AD12" s="1528"/>
      <c r="AE12" s="1528"/>
      <c r="AF12" s="1528"/>
      <c r="AG12" s="1528"/>
      <c r="AH12" s="1528"/>
      <c r="AI12" s="1528"/>
      <c r="AJ12" s="1528"/>
      <c r="AK12" s="1528"/>
      <c r="AL12" s="1528"/>
      <c r="AM12" s="1528"/>
      <c r="AN12" s="1528"/>
      <c r="AO12" s="1528"/>
      <c r="AP12" s="1528"/>
      <c r="AQ12" s="1528"/>
      <c r="AR12" s="1528"/>
      <c r="AS12" s="1528"/>
      <c r="AT12" s="1528"/>
      <c r="AU12" s="1528"/>
      <c r="AV12" s="1592" t="s">
        <v>62</v>
      </c>
      <c r="AW12" s="1594" t="s">
        <v>683</v>
      </c>
      <c r="AX12" s="1595"/>
      <c r="AY12" s="1595"/>
      <c r="AZ12" s="1596"/>
      <c r="BA12" s="1583" t="s">
        <v>684</v>
      </c>
      <c r="BB12" s="1584"/>
      <c r="BC12" s="1584"/>
      <c r="BD12" s="1585"/>
      <c r="BE12" s="1618" t="s">
        <v>685</v>
      </c>
      <c r="BF12" s="1619"/>
      <c r="BG12" s="1619"/>
      <c r="BH12" s="1620"/>
    </row>
    <row r="13" spans="2:60" ht="15.6">
      <c r="B13" s="1476"/>
      <c r="C13" s="1476"/>
      <c r="D13" s="1302"/>
      <c r="E13" s="1476"/>
      <c r="F13" s="1302"/>
      <c r="G13" s="1476"/>
      <c r="H13" s="1476"/>
      <c r="I13" s="1476"/>
      <c r="J13" s="1476"/>
      <c r="K13" s="1476"/>
      <c r="L13" s="1476"/>
      <c r="M13" s="1476"/>
      <c r="N13" s="1476"/>
      <c r="O13" s="1476"/>
      <c r="P13" s="1593" t="s">
        <v>21</v>
      </c>
      <c r="Q13" s="1593"/>
      <c r="R13" s="1593"/>
      <c r="S13" s="1593"/>
      <c r="T13" s="1593"/>
      <c r="U13" s="1593"/>
      <c r="V13" s="1593"/>
      <c r="W13" s="1593"/>
      <c r="X13" s="1593" t="s">
        <v>22</v>
      </c>
      <c r="Y13" s="1593"/>
      <c r="Z13" s="1593"/>
      <c r="AA13" s="1593"/>
      <c r="AB13" s="1593"/>
      <c r="AC13" s="1593"/>
      <c r="AD13" s="1593"/>
      <c r="AE13" s="1593"/>
      <c r="AF13" s="1593" t="s">
        <v>23</v>
      </c>
      <c r="AG13" s="1593"/>
      <c r="AH13" s="1593"/>
      <c r="AI13" s="1593"/>
      <c r="AJ13" s="1593"/>
      <c r="AK13" s="1593"/>
      <c r="AL13" s="1593"/>
      <c r="AM13" s="1593"/>
      <c r="AN13" s="1593" t="s">
        <v>24</v>
      </c>
      <c r="AO13" s="1593"/>
      <c r="AP13" s="1593"/>
      <c r="AQ13" s="1593"/>
      <c r="AR13" s="1593"/>
      <c r="AS13" s="1593"/>
      <c r="AT13" s="1593"/>
      <c r="AU13" s="1593"/>
      <c r="AV13" s="1592"/>
      <c r="AW13" s="1597" t="s">
        <v>119</v>
      </c>
      <c r="AX13" s="1597" t="s">
        <v>22</v>
      </c>
      <c r="AY13" s="1597" t="s">
        <v>120</v>
      </c>
      <c r="AZ13" s="1597" t="s">
        <v>121</v>
      </c>
      <c r="BA13" s="1586" t="s">
        <v>119</v>
      </c>
      <c r="BB13" s="1586" t="s">
        <v>122</v>
      </c>
      <c r="BC13" s="1586" t="s">
        <v>123</v>
      </c>
      <c r="BD13" s="1586" t="s">
        <v>124</v>
      </c>
      <c r="BE13" s="1580" t="s">
        <v>21</v>
      </c>
      <c r="BF13" s="1580" t="s">
        <v>22</v>
      </c>
      <c r="BG13" s="1580" t="s">
        <v>23</v>
      </c>
      <c r="BH13" s="1580" t="s">
        <v>24</v>
      </c>
    </row>
    <row r="14" spans="2:60" ht="15.6">
      <c r="B14" s="1476"/>
      <c r="C14" s="1476"/>
      <c r="D14" s="1302"/>
      <c r="E14" s="1476"/>
      <c r="F14" s="1302"/>
      <c r="G14" s="1476"/>
      <c r="H14" s="1476"/>
      <c r="I14" s="1476"/>
      <c r="J14" s="1476"/>
      <c r="K14" s="1476"/>
      <c r="L14" s="1476"/>
      <c r="M14" s="1476"/>
      <c r="N14" s="1476"/>
      <c r="O14" s="1476"/>
      <c r="P14" s="1641" t="s">
        <v>5</v>
      </c>
      <c r="Q14" s="1641"/>
      <c r="R14" s="1641" t="s">
        <v>6</v>
      </c>
      <c r="S14" s="1641"/>
      <c r="T14" s="1641" t="s">
        <v>7</v>
      </c>
      <c r="U14" s="1641"/>
      <c r="V14" s="1528" t="s">
        <v>8</v>
      </c>
      <c r="W14" s="1528"/>
      <c r="X14" s="1641" t="s">
        <v>27</v>
      </c>
      <c r="Y14" s="1641"/>
      <c r="Z14" s="1641" t="s">
        <v>9</v>
      </c>
      <c r="AA14" s="1641"/>
      <c r="AB14" s="1641" t="s">
        <v>10</v>
      </c>
      <c r="AC14" s="1641"/>
      <c r="AD14" s="1528" t="s">
        <v>8</v>
      </c>
      <c r="AE14" s="1528"/>
      <c r="AF14" s="1641" t="s">
        <v>11</v>
      </c>
      <c r="AG14" s="1641"/>
      <c r="AH14" s="1641" t="s">
        <v>12</v>
      </c>
      <c r="AI14" s="1641"/>
      <c r="AJ14" s="1641" t="s">
        <v>13</v>
      </c>
      <c r="AK14" s="1641"/>
      <c r="AL14" s="1528" t="s">
        <v>8</v>
      </c>
      <c r="AM14" s="1528"/>
      <c r="AN14" s="1641" t="s">
        <v>14</v>
      </c>
      <c r="AO14" s="1641"/>
      <c r="AP14" s="1641" t="s">
        <v>15</v>
      </c>
      <c r="AQ14" s="1641"/>
      <c r="AR14" s="1641" t="s">
        <v>16</v>
      </c>
      <c r="AS14" s="1641"/>
      <c r="AT14" s="1528" t="s">
        <v>8</v>
      </c>
      <c r="AU14" s="1528"/>
      <c r="AV14" s="1592"/>
      <c r="AW14" s="1598"/>
      <c r="AX14" s="1598"/>
      <c r="AY14" s="1598"/>
      <c r="AZ14" s="1598"/>
      <c r="BA14" s="1587"/>
      <c r="BB14" s="1587"/>
      <c r="BC14" s="1587"/>
      <c r="BD14" s="1587"/>
      <c r="BE14" s="1581"/>
      <c r="BF14" s="1581"/>
      <c r="BG14" s="1581"/>
      <c r="BH14" s="1581"/>
    </row>
    <row r="15" spans="2:60" ht="13.2" customHeight="1">
      <c r="B15" s="1476"/>
      <c r="C15" s="1476"/>
      <c r="D15" s="1302"/>
      <c r="E15" s="1476"/>
      <c r="F15" s="1302"/>
      <c r="G15" s="1476"/>
      <c r="H15" s="1476"/>
      <c r="I15" s="1476"/>
      <c r="J15" s="1476"/>
      <c r="K15" s="1476"/>
      <c r="L15" s="1476"/>
      <c r="M15" s="1476"/>
      <c r="N15" s="1476"/>
      <c r="O15" s="1476"/>
      <c r="P15" s="233" t="s">
        <v>17</v>
      </c>
      <c r="Q15" s="234" t="s">
        <v>18</v>
      </c>
      <c r="R15" s="233" t="s">
        <v>17</v>
      </c>
      <c r="S15" s="234" t="s">
        <v>18</v>
      </c>
      <c r="T15" s="233" t="s">
        <v>17</v>
      </c>
      <c r="U15" s="234" t="s">
        <v>18</v>
      </c>
      <c r="V15" s="75" t="s">
        <v>17</v>
      </c>
      <c r="W15" s="76" t="s">
        <v>18</v>
      </c>
      <c r="X15" s="233" t="s">
        <v>17</v>
      </c>
      <c r="Y15" s="234" t="s">
        <v>18</v>
      </c>
      <c r="Z15" s="233" t="s">
        <v>17</v>
      </c>
      <c r="AA15" s="234" t="s">
        <v>18</v>
      </c>
      <c r="AB15" s="233" t="s">
        <v>17</v>
      </c>
      <c r="AC15" s="234" t="s">
        <v>18</v>
      </c>
      <c r="AD15" s="75" t="s">
        <v>17</v>
      </c>
      <c r="AE15" s="76" t="s">
        <v>18</v>
      </c>
      <c r="AF15" s="233" t="s">
        <v>17</v>
      </c>
      <c r="AG15" s="234" t="s">
        <v>18</v>
      </c>
      <c r="AH15" s="233" t="s">
        <v>17</v>
      </c>
      <c r="AI15" s="234" t="s">
        <v>18</v>
      </c>
      <c r="AJ15" s="233" t="s">
        <v>17</v>
      </c>
      <c r="AK15" s="234" t="s">
        <v>18</v>
      </c>
      <c r="AL15" s="75" t="s">
        <v>17</v>
      </c>
      <c r="AM15" s="76" t="s">
        <v>18</v>
      </c>
      <c r="AN15" s="233" t="s">
        <v>17</v>
      </c>
      <c r="AO15" s="234" t="s">
        <v>18</v>
      </c>
      <c r="AP15" s="233" t="s">
        <v>17</v>
      </c>
      <c r="AQ15" s="234" t="s">
        <v>18</v>
      </c>
      <c r="AR15" s="233" t="s">
        <v>17</v>
      </c>
      <c r="AS15" s="234" t="s">
        <v>18</v>
      </c>
      <c r="AT15" s="75" t="s">
        <v>17</v>
      </c>
      <c r="AU15" s="76" t="s">
        <v>18</v>
      </c>
      <c r="AV15" s="1592"/>
      <c r="AW15" s="1599"/>
      <c r="AX15" s="1599"/>
      <c r="AY15" s="1599"/>
      <c r="AZ15" s="1599"/>
      <c r="BA15" s="1588"/>
      <c r="BB15" s="1588"/>
      <c r="BC15" s="1588"/>
      <c r="BD15" s="1588"/>
      <c r="BE15" s="1582"/>
      <c r="BF15" s="1582"/>
      <c r="BG15" s="1582"/>
      <c r="BH15" s="1582"/>
    </row>
    <row r="16" spans="2:60" ht="98.25" customHeight="1">
      <c r="B16" s="1616"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616" t="str">
        <f>+'01-FR-03 POA INSTITUCIONAL'!C87</f>
        <v>4.5. Desarrollar el 100% de las acciones relacionadas con el fomento de la Cultura del Autocontrol, la Autorregulación y la Autogestión institucional.</v>
      </c>
      <c r="D16" s="31" t="str">
        <f>+'01-FR-03 POA INSTITUCIONAL'!D90</f>
        <v>4.5.4 Ejecutar  4 programas anuales de auditorias, aprobados por el Comité Institucional de Coordinación del Sistema de Control Interno.</v>
      </c>
      <c r="E16" s="52">
        <f>+'01-FR-03 POA INSTITUCIONAL'!E90</f>
        <v>0.5</v>
      </c>
      <c r="F16" s="68">
        <f>+'01-FR-03 POA INSTITUCIONAL'!F90</f>
        <v>4</v>
      </c>
      <c r="G16" s="68">
        <f>+'01-FR-03 POA INSTITUCIONAL'!L90</f>
        <v>1</v>
      </c>
      <c r="H16" s="68">
        <f>+'01-FR-03 POA INSTITUCIONAL'!G90</f>
        <v>4</v>
      </c>
      <c r="I16" s="140" t="str">
        <f>+'01-FR-03 POA INSTITUCIONAL'!H90</f>
        <v>Programa anual de auditorías ejecutado.</v>
      </c>
      <c r="J16" s="215" t="s">
        <v>664</v>
      </c>
      <c r="K16" s="443" t="s">
        <v>569</v>
      </c>
      <c r="L16" s="217" t="s">
        <v>570</v>
      </c>
      <c r="M16" s="217" t="s">
        <v>571</v>
      </c>
      <c r="N16" s="217" t="s">
        <v>572</v>
      </c>
      <c r="O16" s="236" t="str">
        <f>+'[7]POA Anualizado (Pág 1 de 3)'!J13</f>
        <v>Oficina de Control Interno</v>
      </c>
      <c r="P16" s="995">
        <v>0.06</v>
      </c>
      <c r="Q16" s="995">
        <v>0.06</v>
      </c>
      <c r="R16" s="995">
        <v>0.06</v>
      </c>
      <c r="S16" s="995">
        <v>0.06</v>
      </c>
      <c r="T16" s="995">
        <v>0.23</v>
      </c>
      <c r="U16" s="995">
        <v>0.23</v>
      </c>
      <c r="V16" s="93">
        <f>P16+R16+T16</f>
        <v>0.35</v>
      </c>
      <c r="W16" s="93">
        <f>Q16+S16+U16</f>
        <v>0.35</v>
      </c>
      <c r="X16" s="995">
        <v>0.03</v>
      </c>
      <c r="Y16" s="995"/>
      <c r="Z16" s="995">
        <v>0.09</v>
      </c>
      <c r="AA16" s="995"/>
      <c r="AB16" s="995">
        <v>0.03</v>
      </c>
      <c r="AC16" s="995"/>
      <c r="AD16" s="93">
        <f>X16+Z16+AB16</f>
        <v>0.15</v>
      </c>
      <c r="AE16" s="93">
        <f>Y16+AA16+AC16</f>
        <v>0</v>
      </c>
      <c r="AF16" s="995">
        <v>0.15</v>
      </c>
      <c r="AG16" s="995"/>
      <c r="AH16" s="995">
        <v>0.13</v>
      </c>
      <c r="AI16" s="995"/>
      <c r="AJ16" s="995">
        <v>0.16</v>
      </c>
      <c r="AK16" s="998"/>
      <c r="AL16" s="93">
        <f>AF16+AH16+AJ16</f>
        <v>0.44000000000000006</v>
      </c>
      <c r="AM16" s="93">
        <f>AG16+AI16+AK16</f>
        <v>0</v>
      </c>
      <c r="AN16" s="995">
        <v>0.02</v>
      </c>
      <c r="AO16" s="995"/>
      <c r="AP16" s="995">
        <v>0.04</v>
      </c>
      <c r="AQ16" s="995"/>
      <c r="AR16" s="995">
        <v>0</v>
      </c>
      <c r="AS16" s="995"/>
      <c r="AT16" s="93">
        <f>AN16+AP16+AR16</f>
        <v>0.06</v>
      </c>
      <c r="AU16" s="93">
        <f>AO16+AQ16+AS16</f>
        <v>0</v>
      </c>
      <c r="AV16" s="237">
        <f>V16+AD16+AL16+AT16</f>
        <v>1</v>
      </c>
      <c r="AW16" s="320">
        <f>+W16</f>
        <v>0.35</v>
      </c>
      <c r="AX16" s="1052">
        <f>+W16+AE16</f>
        <v>0.35</v>
      </c>
      <c r="AY16" s="1052">
        <f>+W16+AE16+AM16</f>
        <v>0.35</v>
      </c>
      <c r="AZ16" s="1052">
        <f>+W16+AE16+AM16+AU16</f>
        <v>0.35</v>
      </c>
      <c r="BA16" s="42">
        <f>IF(AND(AW16&gt;0,$AV16&gt;0),AW16/$AV16,0)</f>
        <v>0.35</v>
      </c>
      <c r="BB16" s="1054">
        <f t="shared" ref="BB16:BD18" si="0">IF(AND(AX16&gt;0,$AV16&gt;0),AX16/$AV16,0)</f>
        <v>0.35</v>
      </c>
      <c r="BC16" s="1054">
        <f t="shared" si="0"/>
        <v>0.35</v>
      </c>
      <c r="BD16" s="1054">
        <f t="shared" si="0"/>
        <v>0.35</v>
      </c>
      <c r="BE16" s="308">
        <f>(IF(AND(AW16&gt;0,$F16&gt;0),AW16/$F16,0))</f>
        <v>8.7499999999999994E-2</v>
      </c>
      <c r="BF16" s="1055">
        <f t="shared" ref="BF16:BH18" si="1">(IF(AND(AX16&gt;0,$F16&gt;0),AX16/$F16,0))</f>
        <v>8.7499999999999994E-2</v>
      </c>
      <c r="BG16" s="1055">
        <f t="shared" si="1"/>
        <v>8.7499999999999994E-2</v>
      </c>
      <c r="BH16" s="1055">
        <f t="shared" si="1"/>
        <v>8.7499999999999994E-2</v>
      </c>
    </row>
    <row r="17" spans="2:60" ht="120">
      <c r="B17" s="1617"/>
      <c r="C17" s="1617"/>
      <c r="D17" s="31" t="str">
        <f>+'01-FR-03 POA INSTITUCIONAL'!D91</f>
        <v>4.5.5 Desarrollar 4 estrategias de sensibilización acerca de la cultura del control.</v>
      </c>
      <c r="E17" s="52">
        <f>+'01-FR-03 POA INSTITUCIONAL'!E91</f>
        <v>0.1</v>
      </c>
      <c r="F17" s="68">
        <f>+'01-FR-03 POA INSTITUCIONAL'!F91</f>
        <v>4</v>
      </c>
      <c r="G17" s="68">
        <f>+'01-FR-03 POA INSTITUCIONAL'!L91</f>
        <v>1</v>
      </c>
      <c r="H17" s="68">
        <f>+'01-FR-03 POA INSTITUCIONAL'!G91</f>
        <v>4</v>
      </c>
      <c r="I17" s="140" t="str">
        <f>+'01-FR-03 POA INSTITUCIONAL'!H91</f>
        <v>Estrategia de Sensibilización acerca de la Cultura del Control realizada</v>
      </c>
      <c r="J17" s="215" t="s">
        <v>573</v>
      </c>
      <c r="K17" s="443" t="s">
        <v>578</v>
      </c>
      <c r="L17" s="217" t="s">
        <v>574</v>
      </c>
      <c r="M17" s="217" t="s">
        <v>571</v>
      </c>
      <c r="N17" s="217" t="s">
        <v>572</v>
      </c>
      <c r="O17" s="236" t="str">
        <f>+'[7]POA Anualizado (Pág 1 de 3)'!J14</f>
        <v>Oficina de Control Interno</v>
      </c>
      <c r="P17" s="995">
        <v>0</v>
      </c>
      <c r="Q17" s="995">
        <v>0</v>
      </c>
      <c r="R17" s="995">
        <v>0</v>
      </c>
      <c r="S17" s="995">
        <v>0</v>
      </c>
      <c r="T17" s="995">
        <v>0</v>
      </c>
      <c r="U17" s="995">
        <v>0</v>
      </c>
      <c r="V17" s="91">
        <f t="shared" ref="V17:W18" si="2">P17+R17+T17</f>
        <v>0</v>
      </c>
      <c r="W17" s="91">
        <f t="shared" si="2"/>
        <v>0</v>
      </c>
      <c r="X17" s="995">
        <v>0</v>
      </c>
      <c r="Y17" s="995"/>
      <c r="Z17" s="995">
        <v>0</v>
      </c>
      <c r="AA17" s="995"/>
      <c r="AB17" s="995">
        <v>0</v>
      </c>
      <c r="AC17" s="995"/>
      <c r="AD17" s="91">
        <f t="shared" ref="AD17:AE18" si="3">X17+Z17+AB17</f>
        <v>0</v>
      </c>
      <c r="AE17" s="91">
        <f t="shared" si="3"/>
        <v>0</v>
      </c>
      <c r="AF17" s="995">
        <v>0</v>
      </c>
      <c r="AG17" s="995"/>
      <c r="AH17" s="995">
        <v>0</v>
      </c>
      <c r="AI17" s="995"/>
      <c r="AJ17" s="995">
        <v>0</v>
      </c>
      <c r="AK17" s="998"/>
      <c r="AL17" s="91">
        <f t="shared" ref="AL17:AM18" si="4">AF17+AH17+AJ17</f>
        <v>0</v>
      </c>
      <c r="AM17" s="91">
        <f t="shared" si="4"/>
        <v>0</v>
      </c>
      <c r="AN17" s="995">
        <v>0</v>
      </c>
      <c r="AO17" s="995"/>
      <c r="AP17" s="995">
        <v>1</v>
      </c>
      <c r="AQ17" s="995"/>
      <c r="AR17" s="995">
        <v>0</v>
      </c>
      <c r="AS17" s="995"/>
      <c r="AT17" s="91">
        <f t="shared" ref="AT17:AU18" si="5">AN17+AP17+AR17</f>
        <v>1</v>
      </c>
      <c r="AU17" s="91">
        <f t="shared" si="5"/>
        <v>0</v>
      </c>
      <c r="AV17" s="237">
        <f t="shared" ref="AV17:AV18" si="6">V17+AD17+AL17+AT17</f>
        <v>1</v>
      </c>
      <c r="AW17" s="81">
        <f t="shared" ref="AW17:AW18" si="7">+W17</f>
        <v>0</v>
      </c>
      <c r="AX17" s="1053">
        <f t="shared" ref="AX17:AX18" si="8">+W17+AE17</f>
        <v>0</v>
      </c>
      <c r="AY17" s="1053">
        <f t="shared" ref="AY17:AY18" si="9">+W17+AE17+AM17</f>
        <v>0</v>
      </c>
      <c r="AZ17" s="1053">
        <f t="shared" ref="AZ17:AZ18" si="10">+W17+AE17+AM17+AU17</f>
        <v>0</v>
      </c>
      <c r="BA17" s="42">
        <f>IF(AND(AW17&gt;0,AV17&gt;0),AW17/AV17,0)</f>
        <v>0</v>
      </c>
      <c r="BB17" s="1054">
        <f t="shared" si="0"/>
        <v>0</v>
      </c>
      <c r="BC17" s="1054">
        <f t="shared" si="0"/>
        <v>0</v>
      </c>
      <c r="BD17" s="1054">
        <f t="shared" si="0"/>
        <v>0</v>
      </c>
      <c r="BE17" s="308">
        <f t="shared" ref="BE17:BE18" si="11">(IF(AND(AW17&gt;0,$F17&gt;0),AW17/$F17,0))</f>
        <v>0</v>
      </c>
      <c r="BF17" s="1055">
        <f t="shared" si="1"/>
        <v>0</v>
      </c>
      <c r="BG17" s="1055">
        <f t="shared" si="1"/>
        <v>0</v>
      </c>
      <c r="BH17" s="1055">
        <f t="shared" si="1"/>
        <v>0</v>
      </c>
    </row>
    <row r="18" spans="2:60" ht="104.25" customHeight="1">
      <c r="B18" s="1643"/>
      <c r="C18" s="1643"/>
      <c r="D18" s="31" t="str">
        <f>+'01-FR-03 POA INSTITUCIONAL'!D92</f>
        <v>4.5.6 Realizar 4 jornadas de sensibilización a Directivos y Referentes de proceso sobre la Séptima Dimensión.</v>
      </c>
      <c r="E18" s="52">
        <f>+'01-FR-03 POA INSTITUCIONAL'!E92</f>
        <v>0.1</v>
      </c>
      <c r="F18" s="68">
        <f>+'01-FR-03 POA INSTITUCIONAL'!F92</f>
        <v>4</v>
      </c>
      <c r="G18" s="68">
        <f>+'01-FR-03 POA INSTITUCIONAL'!L92</f>
        <v>1</v>
      </c>
      <c r="H18" s="68">
        <f>+'01-FR-03 POA INSTITUCIONAL'!G92</f>
        <v>4</v>
      </c>
      <c r="I18" s="140" t="str">
        <f>+'01-FR-03 POA INSTITUCIONAL'!H92</f>
        <v>Sensibilización a Directivos y Referentes de Gestión sobre la Séptima Dimensión del MIPG realizada</v>
      </c>
      <c r="J18" s="215" t="s">
        <v>575</v>
      </c>
      <c r="K18" s="443" t="s">
        <v>579</v>
      </c>
      <c r="L18" s="217" t="s">
        <v>576</v>
      </c>
      <c r="M18" s="217" t="s">
        <v>571</v>
      </c>
      <c r="N18" s="217" t="s">
        <v>572</v>
      </c>
      <c r="O18" s="236" t="str">
        <f>+'[7]POA Anualizado (Pág 1 de 3)'!J15</f>
        <v>Oficina de Control Interno</v>
      </c>
      <c r="P18" s="995">
        <v>0</v>
      </c>
      <c r="Q18" s="995">
        <v>0</v>
      </c>
      <c r="R18" s="995">
        <v>0</v>
      </c>
      <c r="S18" s="995">
        <v>0</v>
      </c>
      <c r="T18" s="995">
        <v>0</v>
      </c>
      <c r="U18" s="995">
        <v>0</v>
      </c>
      <c r="V18" s="91">
        <f t="shared" si="2"/>
        <v>0</v>
      </c>
      <c r="W18" s="91">
        <f t="shared" si="2"/>
        <v>0</v>
      </c>
      <c r="X18" s="995">
        <v>0</v>
      </c>
      <c r="Y18" s="995"/>
      <c r="Z18" s="995">
        <v>1</v>
      </c>
      <c r="AA18" s="995"/>
      <c r="AB18" s="995">
        <v>0</v>
      </c>
      <c r="AC18" s="995"/>
      <c r="AD18" s="91">
        <f t="shared" si="3"/>
        <v>1</v>
      </c>
      <c r="AE18" s="91">
        <f t="shared" si="3"/>
        <v>0</v>
      </c>
      <c r="AF18" s="995">
        <v>0</v>
      </c>
      <c r="AG18" s="995"/>
      <c r="AH18" s="995">
        <v>0</v>
      </c>
      <c r="AI18" s="995"/>
      <c r="AJ18" s="995">
        <v>0</v>
      </c>
      <c r="AK18" s="998"/>
      <c r="AL18" s="91">
        <f t="shared" si="4"/>
        <v>0</v>
      </c>
      <c r="AM18" s="91">
        <f t="shared" si="4"/>
        <v>0</v>
      </c>
      <c r="AN18" s="995">
        <v>0</v>
      </c>
      <c r="AO18" s="995"/>
      <c r="AP18" s="995">
        <v>0</v>
      </c>
      <c r="AQ18" s="995"/>
      <c r="AR18" s="995">
        <v>0</v>
      </c>
      <c r="AS18" s="995"/>
      <c r="AT18" s="91">
        <f t="shared" si="5"/>
        <v>0</v>
      </c>
      <c r="AU18" s="91">
        <f t="shared" si="5"/>
        <v>0</v>
      </c>
      <c r="AV18" s="237">
        <f t="shared" si="6"/>
        <v>1</v>
      </c>
      <c r="AW18" s="81">
        <f t="shared" si="7"/>
        <v>0</v>
      </c>
      <c r="AX18" s="1053">
        <f t="shared" si="8"/>
        <v>0</v>
      </c>
      <c r="AY18" s="1053">
        <f t="shared" si="9"/>
        <v>0</v>
      </c>
      <c r="AZ18" s="1053">
        <f t="shared" si="10"/>
        <v>0</v>
      </c>
      <c r="BA18" s="42">
        <f t="shared" ref="BA18" si="12">IF(AND(AW18&gt;0,AV18&gt;0),AW18/AV18,0)</f>
        <v>0</v>
      </c>
      <c r="BB18" s="1054">
        <f t="shared" si="0"/>
        <v>0</v>
      </c>
      <c r="BC18" s="1054">
        <f t="shared" si="0"/>
        <v>0</v>
      </c>
      <c r="BD18" s="1054">
        <f t="shared" si="0"/>
        <v>0</v>
      </c>
      <c r="BE18" s="308">
        <f t="shared" si="11"/>
        <v>0</v>
      </c>
      <c r="BF18" s="1055">
        <f t="shared" si="1"/>
        <v>0</v>
      </c>
      <c r="BG18" s="1055">
        <f t="shared" si="1"/>
        <v>0</v>
      </c>
      <c r="BH18" s="1055">
        <f t="shared" si="1"/>
        <v>0</v>
      </c>
    </row>
    <row r="19" spans="2:60" ht="22.8">
      <c r="B19" s="1560"/>
      <c r="C19" s="1561"/>
      <c r="D19" s="1561"/>
      <c r="E19" s="1561"/>
      <c r="F19" s="1561"/>
      <c r="G19" s="1561"/>
      <c r="H19" s="1561"/>
      <c r="I19" s="1561"/>
      <c r="J19" s="1561"/>
      <c r="K19" s="1561"/>
      <c r="L19" s="1561"/>
      <c r="M19" s="1561"/>
      <c r="N19" s="1561"/>
      <c r="O19" s="1561"/>
      <c r="P19" s="1561"/>
      <c r="Q19" s="1561"/>
      <c r="R19" s="1561"/>
      <c r="S19" s="1561"/>
      <c r="T19" s="1561"/>
      <c r="U19" s="1561"/>
      <c r="V19" s="1561"/>
      <c r="W19" s="1561"/>
      <c r="X19" s="1561"/>
      <c r="Y19" s="1561"/>
      <c r="Z19" s="1561"/>
      <c r="AA19" s="1561"/>
      <c r="AB19" s="1561"/>
      <c r="AC19" s="1561"/>
      <c r="AD19" s="1561"/>
      <c r="AE19" s="1561"/>
      <c r="AF19" s="1561"/>
      <c r="AG19" s="1561"/>
      <c r="AH19" s="1561"/>
      <c r="AI19" s="1561"/>
      <c r="AJ19" s="1561"/>
      <c r="AK19" s="1561"/>
      <c r="AL19" s="1561"/>
      <c r="AM19" s="1561"/>
      <c r="AN19" s="1561"/>
      <c r="AO19" s="1561"/>
      <c r="AP19" s="1561"/>
      <c r="AQ19" s="1561"/>
      <c r="AR19" s="1561"/>
      <c r="AS19" s="1561"/>
      <c r="AT19" s="1561"/>
      <c r="AU19" s="1561"/>
      <c r="AV19" s="1561"/>
      <c r="AW19" s="1644"/>
      <c r="AX19" s="1614" t="s">
        <v>19</v>
      </c>
      <c r="AY19" s="1642"/>
      <c r="AZ19" s="1642"/>
      <c r="BA19" s="70">
        <f t="shared" ref="BA19:BD19" si="13">AVERAGE(BA16:BA18)</f>
        <v>0.11666666666666665</v>
      </c>
      <c r="BB19" s="70">
        <f t="shared" si="13"/>
        <v>0.11666666666666665</v>
      </c>
      <c r="BC19" s="70">
        <f t="shared" si="13"/>
        <v>0.11666666666666665</v>
      </c>
      <c r="BD19" s="70">
        <f t="shared" si="13"/>
        <v>0.11666666666666665</v>
      </c>
      <c r="BE19" s="1652"/>
      <c r="BF19" s="1653"/>
      <c r="BG19" s="1653"/>
      <c r="BH19" s="1654"/>
    </row>
    <row r="20" spans="2:60">
      <c r="B20" s="1553"/>
      <c r="C20" s="1553"/>
      <c r="D20" s="1553"/>
      <c r="E20" s="1553"/>
      <c r="F20" s="1553"/>
      <c r="G20" s="1553"/>
      <c r="H20" s="239"/>
      <c r="I20" s="240"/>
      <c r="J20" s="240"/>
      <c r="K20" s="240"/>
      <c r="L20" s="240"/>
      <c r="M20" s="240"/>
      <c r="N20" s="240"/>
      <c r="O20" s="240"/>
    </row>
    <row r="21" spans="2:60">
      <c r="B21" s="240"/>
      <c r="C21" s="240"/>
      <c r="D21" s="1624"/>
      <c r="E21" s="1624"/>
      <c r="F21" s="1624"/>
      <c r="G21" s="1624"/>
      <c r="H21" s="1624"/>
      <c r="I21" s="1624"/>
      <c r="J21" s="1624"/>
      <c r="K21" s="1624"/>
      <c r="L21" s="1624"/>
      <c r="M21" s="1624"/>
      <c r="N21" s="1624"/>
      <c r="O21" s="1624"/>
    </row>
    <row r="22" spans="2:60" ht="15.6" customHeight="1">
      <c r="B22" s="77" t="s">
        <v>26</v>
      </c>
      <c r="C22" s="241">
        <v>44224</v>
      </c>
      <c r="D22" s="242"/>
      <c r="E22" s="1625" t="s">
        <v>50</v>
      </c>
      <c r="F22" s="1701" t="s">
        <v>577</v>
      </c>
      <c r="G22" s="1702"/>
      <c r="H22" s="1702"/>
      <c r="I22" s="1702"/>
      <c r="J22" s="1703"/>
      <c r="K22" s="243"/>
      <c r="L22" s="1633"/>
      <c r="M22" s="1633"/>
      <c r="N22" s="1633"/>
      <c r="O22" s="1634"/>
    </row>
    <row r="23" spans="2:60" ht="15.6">
      <c r="B23" s="240"/>
      <c r="C23" s="240"/>
      <c r="D23" s="243"/>
      <c r="E23" s="1625"/>
      <c r="F23" s="1704"/>
      <c r="G23" s="1705"/>
      <c r="H23" s="1705"/>
      <c r="I23" s="1705"/>
      <c r="J23" s="1706"/>
      <c r="K23" s="240"/>
      <c r="L23" s="240"/>
      <c r="M23" s="240"/>
      <c r="N23" s="240"/>
      <c r="O23" s="240"/>
    </row>
    <row r="24" spans="2:60" ht="15.6">
      <c r="B24" s="77" t="s">
        <v>49</v>
      </c>
      <c r="C24" s="241">
        <v>44581</v>
      </c>
      <c r="D24" s="240"/>
      <c r="E24" s="240"/>
      <c r="F24" s="240"/>
      <c r="K24" s="240"/>
      <c r="L24" s="240"/>
      <c r="M24" s="240"/>
      <c r="N24" s="240"/>
      <c r="O24" s="240"/>
    </row>
    <row r="25" spans="2:60">
      <c r="B25" s="240"/>
      <c r="C25" s="240"/>
      <c r="D25" s="240"/>
      <c r="E25" s="240"/>
      <c r="F25" s="240"/>
      <c r="K25" s="240"/>
      <c r="L25" s="240"/>
      <c r="M25" s="240"/>
      <c r="N25" s="240"/>
      <c r="O25" s="240"/>
    </row>
    <row r="26" spans="2:60">
      <c r="B26" s="1752" t="s">
        <v>924</v>
      </c>
      <c r="C26" s="1752"/>
      <c r="D26" s="1752"/>
      <c r="E26" s="1752"/>
      <c r="F26" s="1752"/>
      <c r="G26" s="1752"/>
      <c r="H26" s="239"/>
      <c r="I26" s="1632"/>
      <c r="J26" s="1632"/>
      <c r="K26" s="1632"/>
      <c r="L26" s="1632"/>
      <c r="M26" s="244"/>
      <c r="N26" s="244"/>
      <c r="O26" s="244"/>
    </row>
    <row r="27" spans="2:60">
      <c r="B27" s="240"/>
      <c r="C27" s="240"/>
      <c r="D27" s="240"/>
      <c r="E27" s="240"/>
      <c r="F27" s="240"/>
      <c r="G27" s="239"/>
      <c r="H27" s="239"/>
      <c r="I27" s="240"/>
      <c r="J27" s="240"/>
      <c r="K27" s="245"/>
      <c r="L27" s="240"/>
      <c r="M27" s="240"/>
      <c r="N27" s="240"/>
      <c r="O27" s="240"/>
    </row>
    <row r="28" spans="2:60">
      <c r="B28" s="240"/>
      <c r="C28" s="240"/>
      <c r="D28" s="240"/>
      <c r="E28" s="240"/>
      <c r="F28" s="240"/>
      <c r="G28" s="239"/>
      <c r="H28" s="239"/>
      <c r="I28" s="1632"/>
      <c r="J28" s="1632"/>
      <c r="K28" s="1632"/>
      <c r="L28" s="1632"/>
      <c r="M28" s="244"/>
      <c r="N28" s="244"/>
      <c r="O28" s="244"/>
    </row>
    <row r="29" spans="2:60">
      <c r="B29" s="240"/>
      <c r="C29" s="240"/>
      <c r="D29" s="240"/>
      <c r="E29" s="240"/>
      <c r="F29" s="240"/>
      <c r="G29" s="239"/>
      <c r="H29" s="239"/>
      <c r="I29" s="240"/>
      <c r="J29" s="240"/>
      <c r="K29" s="245"/>
      <c r="L29" s="240"/>
      <c r="M29" s="240"/>
      <c r="N29" s="240"/>
      <c r="O29" s="240"/>
    </row>
    <row r="30" spans="2:60">
      <c r="B30" s="240"/>
      <c r="C30" s="240"/>
      <c r="D30" s="240"/>
      <c r="E30" s="240"/>
      <c r="F30" s="240"/>
      <c r="G30" s="239"/>
      <c r="H30" s="239"/>
      <c r="I30" s="1632"/>
      <c r="J30" s="1632"/>
      <c r="K30" s="1632"/>
      <c r="L30" s="1632"/>
      <c r="M30" s="244"/>
      <c r="N30" s="244"/>
      <c r="O30" s="244"/>
    </row>
  </sheetData>
  <sheetProtection algorithmName="SHA-512" hashValue="pYDv7aeAkKMrEqLGGFSfJuolck7E4hBegqI7A4Rh40b5pfyNiCTp+U3EDP7KlWbyB7jD+m9VgLO7jfNw302QLA==" saltValue="rNU4KzVeRa4+IAiuE+HGLQ==" spinCount="100000" sheet="1" objects="1" scenarios="1"/>
  <mergeCells count="72">
    <mergeCell ref="C9:D9"/>
    <mergeCell ref="B2:B6"/>
    <mergeCell ref="C2:BF6"/>
    <mergeCell ref="BG6:BH6"/>
    <mergeCell ref="AW7:BA7"/>
    <mergeCell ref="C8:D8"/>
    <mergeCell ref="C10:D10"/>
    <mergeCell ref="B12:B15"/>
    <mergeCell ref="C12:C15"/>
    <mergeCell ref="D12:D15"/>
    <mergeCell ref="E12:E15"/>
    <mergeCell ref="BE12:BH12"/>
    <mergeCell ref="P13:W13"/>
    <mergeCell ref="X13:AE13"/>
    <mergeCell ref="AF13:AM13"/>
    <mergeCell ref="AN13:AU13"/>
    <mergeCell ref="AW13:AW15"/>
    <mergeCell ref="AX13:AX15"/>
    <mergeCell ref="AY13:AY15"/>
    <mergeCell ref="AZ13:AZ15"/>
    <mergeCell ref="BA13:BA15"/>
    <mergeCell ref="P12:AU12"/>
    <mergeCell ref="AV12:AV15"/>
    <mergeCell ref="AW12:AZ12"/>
    <mergeCell ref="BA12:BD12"/>
    <mergeCell ref="BB13:BB15"/>
    <mergeCell ref="BC13:BC15"/>
    <mergeCell ref="BE13:BE15"/>
    <mergeCell ref="BF13:BF15"/>
    <mergeCell ref="BG13:BG15"/>
    <mergeCell ref="BH13:BH15"/>
    <mergeCell ref="P14:Q14"/>
    <mergeCell ref="R14:S14"/>
    <mergeCell ref="T14:U14"/>
    <mergeCell ref="V14:W14"/>
    <mergeCell ref="X14:Y14"/>
    <mergeCell ref="Z14:AA14"/>
    <mergeCell ref="BD13:BD15"/>
    <mergeCell ref="AB14:AC14"/>
    <mergeCell ref="AP14:AQ14"/>
    <mergeCell ref="AR14:AS14"/>
    <mergeCell ref="AT14:AU14"/>
    <mergeCell ref="AJ14:AK14"/>
    <mergeCell ref="B16:B18"/>
    <mergeCell ref="C16:C18"/>
    <mergeCell ref="AD14:AE14"/>
    <mergeCell ref="AF14:AG14"/>
    <mergeCell ref="AH14:AI14"/>
    <mergeCell ref="K12:K15"/>
    <mergeCell ref="L12:L15"/>
    <mergeCell ref="M12:M15"/>
    <mergeCell ref="G12:G15"/>
    <mergeCell ref="F12:F15"/>
    <mergeCell ref="AL14:AM14"/>
    <mergeCell ref="AN14:AO14"/>
    <mergeCell ref="N12:N15"/>
    <mergeCell ref="O12:O15"/>
    <mergeCell ref="H12:H15"/>
    <mergeCell ref="I12:I15"/>
    <mergeCell ref="J12:J15"/>
    <mergeCell ref="BE19:BH19"/>
    <mergeCell ref="I28:L28"/>
    <mergeCell ref="I30:L30"/>
    <mergeCell ref="B20:G20"/>
    <mergeCell ref="AX19:AZ19"/>
    <mergeCell ref="D21:O21"/>
    <mergeCell ref="E22:E23"/>
    <mergeCell ref="L22:O22"/>
    <mergeCell ref="I26:L26"/>
    <mergeCell ref="B19:AW19"/>
    <mergeCell ref="F22:J23"/>
    <mergeCell ref="B26:G26"/>
  </mergeCells>
  <conditionalFormatting sqref="BA16:BD18">
    <cfRule type="cellIs" dxfId="2" priority="4" operator="between">
      <formula>0.7</formula>
      <formula>1</formula>
    </cfRule>
    <cfRule type="cellIs" dxfId="1" priority="5" operator="between">
      <formula>0.51</formula>
      <formula>0.69</formula>
    </cfRule>
    <cfRule type="cellIs" dxfId="0" priority="6" operator="between">
      <formula>0</formula>
      <formula>0.5</formula>
    </cfRule>
  </conditionalFormatting>
  <dataValidations count="1">
    <dataValidation allowBlank="1" showInputMessage="1" showErrorMessage="1" prompt="Transcriba de manera exacta el objetivo definido en la caracterización del proceso." sqref="C9:D9" xr:uid="{AC91E4B6-A05D-4C61-8930-579B792DC14C}"/>
  </dataValidations>
  <pageMargins left="0.7" right="0.7" top="0.75" bottom="0.75" header="0.3" footer="0.3"/>
  <pageSetup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6402D-B25B-4217-ACEE-1D28C5DF4A91}">
  <sheetPr>
    <tabColor rgb="FF00B050"/>
  </sheetPr>
  <dimension ref="B1:P68"/>
  <sheetViews>
    <sheetView showGridLines="0" workbookViewId="0">
      <selection activeCell="C14" sqref="C14:O14"/>
    </sheetView>
  </sheetViews>
  <sheetFormatPr baseColWidth="10" defaultColWidth="11.44140625" defaultRowHeight="13.2"/>
  <cols>
    <col min="1" max="1" width="4.33203125" style="340" customWidth="1"/>
    <col min="2" max="2" width="42.88671875" style="340" customWidth="1"/>
    <col min="3" max="13" width="7.109375" style="340" customWidth="1"/>
    <col min="14" max="14" width="14.33203125" style="340" customWidth="1"/>
    <col min="15" max="15" width="14.44140625" style="340" customWidth="1"/>
    <col min="16" max="16" width="6.6640625" style="340" customWidth="1"/>
    <col min="17" max="17" width="9.5546875" style="340" customWidth="1"/>
    <col min="18" max="18" width="17.109375" style="340" customWidth="1"/>
    <col min="19" max="16384" width="11.44140625" style="340"/>
  </cols>
  <sheetData>
    <row r="1" spans="2:16" s="7" customFormat="1" ht="7.5" customHeight="1" thickBot="1">
      <c r="B1" s="338"/>
      <c r="C1" s="338"/>
      <c r="D1" s="338"/>
      <c r="E1" s="338"/>
      <c r="F1" s="338"/>
      <c r="G1" s="338"/>
      <c r="H1" s="338"/>
      <c r="I1" s="338"/>
      <c r="J1" s="338"/>
      <c r="K1" s="338"/>
      <c r="L1" s="338"/>
      <c r="M1" s="338"/>
      <c r="N1" s="338"/>
      <c r="O1" s="338"/>
      <c r="P1" s="338"/>
    </row>
    <row r="2" spans="2:16" s="7" customFormat="1" ht="15.6">
      <c r="B2" s="1758" t="s">
        <v>686</v>
      </c>
      <c r="C2" s="1761" t="s">
        <v>4</v>
      </c>
      <c r="D2" s="1762"/>
      <c r="E2" s="1762"/>
      <c r="F2" s="1762"/>
      <c r="G2" s="1762"/>
      <c r="H2" s="1762"/>
      <c r="I2" s="1762"/>
      <c r="J2" s="1762"/>
      <c r="K2" s="1762"/>
      <c r="L2" s="1762"/>
      <c r="M2" s="1762"/>
      <c r="N2" s="1383" t="s">
        <v>31</v>
      </c>
      <c r="O2" s="1384"/>
      <c r="P2" s="338"/>
    </row>
    <row r="3" spans="2:16" s="7" customFormat="1" ht="15.6">
      <c r="B3" s="1759"/>
      <c r="C3" s="1763"/>
      <c r="D3" s="1764"/>
      <c r="E3" s="1764"/>
      <c r="F3" s="1764"/>
      <c r="G3" s="1764"/>
      <c r="H3" s="1764"/>
      <c r="I3" s="1764"/>
      <c r="J3" s="1764"/>
      <c r="K3" s="1764"/>
      <c r="L3" s="1764"/>
      <c r="M3" s="1764"/>
      <c r="N3" s="8" t="s">
        <v>28</v>
      </c>
      <c r="O3" s="9" t="s">
        <v>29</v>
      </c>
      <c r="P3" s="338"/>
    </row>
    <row r="4" spans="2:16" s="7" customFormat="1" ht="15.75" customHeight="1">
      <c r="B4" s="1759"/>
      <c r="C4" s="1763"/>
      <c r="D4" s="1764"/>
      <c r="E4" s="1764"/>
      <c r="F4" s="1764"/>
      <c r="G4" s="1764"/>
      <c r="H4" s="1764"/>
      <c r="I4" s="1764"/>
      <c r="J4" s="1764"/>
      <c r="K4" s="1764"/>
      <c r="L4" s="1764"/>
      <c r="M4" s="1764"/>
      <c r="N4" s="10">
        <v>5</v>
      </c>
      <c r="O4" s="11" t="s">
        <v>687</v>
      </c>
      <c r="P4" s="338"/>
    </row>
    <row r="5" spans="2:16" s="7" customFormat="1" ht="15.6">
      <c r="B5" s="1759"/>
      <c r="C5" s="1763"/>
      <c r="D5" s="1764"/>
      <c r="E5" s="1764"/>
      <c r="F5" s="1764"/>
      <c r="G5" s="1764"/>
      <c r="H5" s="1764"/>
      <c r="I5" s="1764"/>
      <c r="J5" s="1764"/>
      <c r="K5" s="1764"/>
      <c r="L5" s="1764"/>
      <c r="M5" s="1764"/>
      <c r="N5" s="1767" t="s">
        <v>30</v>
      </c>
      <c r="O5" s="1768"/>
      <c r="P5" s="338"/>
    </row>
    <row r="6" spans="2:16" s="7" customFormat="1" ht="16.5" customHeight="1" thickBot="1">
      <c r="B6" s="1760"/>
      <c r="C6" s="1765"/>
      <c r="D6" s="1766"/>
      <c r="E6" s="1766"/>
      <c r="F6" s="1766"/>
      <c r="G6" s="1766"/>
      <c r="H6" s="1766"/>
      <c r="I6" s="1766"/>
      <c r="J6" s="1766"/>
      <c r="K6" s="1766"/>
      <c r="L6" s="1766"/>
      <c r="M6" s="1766"/>
      <c r="N6" s="1769">
        <v>44306</v>
      </c>
      <c r="O6" s="1770"/>
      <c r="P6" s="338"/>
    </row>
    <row r="7" spans="2:16" s="7" customFormat="1" ht="7.5" customHeight="1">
      <c r="B7" s="338"/>
      <c r="C7" s="338"/>
      <c r="D7" s="338"/>
      <c r="E7" s="338"/>
      <c r="F7" s="339">
        <f>D13</f>
        <v>0</v>
      </c>
      <c r="G7" s="338"/>
      <c r="H7" s="338"/>
      <c r="I7" s="338"/>
      <c r="J7" s="338"/>
      <c r="K7" s="338"/>
      <c r="L7" s="338"/>
      <c r="M7" s="338"/>
      <c r="N7" s="338"/>
      <c r="O7" s="338"/>
      <c r="P7" s="338"/>
    </row>
    <row r="8" spans="2:16" s="7" customFormat="1" ht="22.5" customHeight="1">
      <c r="B8" s="1771" t="s">
        <v>46</v>
      </c>
      <c r="C8" s="1771"/>
      <c r="D8" s="1771"/>
      <c r="E8" s="1771"/>
      <c r="F8" s="1771"/>
      <c r="G8" s="1771"/>
      <c r="H8" s="1771"/>
      <c r="I8" s="1771"/>
      <c r="J8" s="1771"/>
      <c r="K8" s="1771"/>
      <c r="L8" s="1771"/>
      <c r="M8" s="1771"/>
      <c r="N8" s="1771"/>
      <c r="O8" s="1771"/>
      <c r="P8" s="338"/>
    </row>
    <row r="9" spans="2:16" s="7" customFormat="1" ht="7.5" customHeight="1">
      <c r="B9" s="338"/>
      <c r="C9" s="338"/>
      <c r="D9" s="338"/>
      <c r="E9" s="338"/>
      <c r="F9" s="339"/>
      <c r="G9" s="338"/>
      <c r="H9" s="338"/>
      <c r="I9" s="338"/>
      <c r="J9" s="338"/>
      <c r="K9" s="338"/>
      <c r="L9" s="338"/>
      <c r="M9" s="338"/>
      <c r="N9" s="338"/>
      <c r="O9" s="338"/>
      <c r="P9" s="338"/>
    </row>
    <row r="10" spans="2:16" s="7" customFormat="1" ht="28.5" customHeight="1">
      <c r="B10" s="1757" t="s">
        <v>47</v>
      </c>
      <c r="C10" s="1757"/>
      <c r="D10" s="1757"/>
      <c r="E10" s="1757"/>
      <c r="F10" s="1757"/>
      <c r="G10" s="1757"/>
      <c r="H10" s="1757"/>
      <c r="I10" s="1757"/>
      <c r="J10" s="1757"/>
      <c r="K10" s="1757"/>
      <c r="L10" s="1757"/>
      <c r="M10" s="1757"/>
      <c r="N10" s="1757"/>
      <c r="O10" s="1757"/>
      <c r="P10" s="338"/>
    </row>
    <row r="11" spans="2:16" s="7" customFormat="1" ht="7.5" customHeight="1">
      <c r="B11" s="338"/>
      <c r="C11" s="338"/>
      <c r="D11" s="338"/>
      <c r="E11" s="338"/>
      <c r="F11" s="339"/>
      <c r="G11" s="338"/>
      <c r="H11" s="338"/>
      <c r="I11" s="338"/>
      <c r="J11" s="338"/>
      <c r="K11" s="338"/>
      <c r="L11" s="338"/>
      <c r="M11" s="338"/>
      <c r="N11" s="338"/>
      <c r="O11" s="338"/>
      <c r="P11" s="338"/>
    </row>
    <row r="12" spans="2:16" s="7" customFormat="1" ht="22.5" customHeight="1">
      <c r="B12" s="333" t="s">
        <v>32</v>
      </c>
      <c r="C12" s="1773" t="s">
        <v>33</v>
      </c>
      <c r="D12" s="1773"/>
      <c r="E12" s="1773"/>
      <c r="F12" s="1773"/>
      <c r="G12" s="1773"/>
      <c r="H12" s="1773"/>
      <c r="I12" s="1773"/>
      <c r="J12" s="1773"/>
      <c r="K12" s="1773"/>
      <c r="L12" s="1773"/>
      <c r="M12" s="1773"/>
      <c r="N12" s="1773"/>
      <c r="O12" s="1773"/>
      <c r="P12" s="338"/>
    </row>
    <row r="13" spans="2:16" s="7" customFormat="1" ht="45.75" customHeight="1">
      <c r="B13" s="22" t="s">
        <v>64</v>
      </c>
      <c r="C13" s="1772" t="s">
        <v>65</v>
      </c>
      <c r="D13" s="1772"/>
      <c r="E13" s="1772"/>
      <c r="F13" s="1772"/>
      <c r="G13" s="1772"/>
      <c r="H13" s="1772"/>
      <c r="I13" s="1772"/>
      <c r="J13" s="1772"/>
      <c r="K13" s="1772"/>
      <c r="L13" s="1772"/>
      <c r="M13" s="1772"/>
      <c r="N13" s="1772"/>
      <c r="O13" s="1772"/>
    </row>
    <row r="14" spans="2:16" s="7" customFormat="1" ht="45.75" customHeight="1">
      <c r="B14" s="22" t="s">
        <v>688</v>
      </c>
      <c r="C14" s="1772" t="s">
        <v>66</v>
      </c>
      <c r="D14" s="1772"/>
      <c r="E14" s="1772"/>
      <c r="F14" s="1772"/>
      <c r="G14" s="1772"/>
      <c r="H14" s="1772"/>
      <c r="I14" s="1772"/>
      <c r="J14" s="1772"/>
      <c r="K14" s="1772"/>
      <c r="L14" s="1772"/>
      <c r="M14" s="1772"/>
      <c r="N14" s="1772"/>
      <c r="O14" s="1772"/>
    </row>
    <row r="15" spans="2:16" s="7" customFormat="1" ht="76.5" customHeight="1">
      <c r="B15" s="22" t="s">
        <v>689</v>
      </c>
      <c r="C15" s="1772" t="s">
        <v>129</v>
      </c>
      <c r="D15" s="1772"/>
      <c r="E15" s="1772"/>
      <c r="F15" s="1772"/>
      <c r="G15" s="1772"/>
      <c r="H15" s="1772"/>
      <c r="I15" s="1772"/>
      <c r="J15" s="1772"/>
      <c r="K15" s="1772"/>
      <c r="L15" s="1772"/>
      <c r="M15" s="1772"/>
      <c r="N15" s="1772"/>
      <c r="O15" s="1772"/>
    </row>
    <row r="16" spans="2:16" s="7" customFormat="1" ht="45.75" customHeight="1">
      <c r="B16" s="22" t="s">
        <v>690</v>
      </c>
      <c r="C16" s="1772" t="s">
        <v>67</v>
      </c>
      <c r="D16" s="1772"/>
      <c r="E16" s="1772"/>
      <c r="F16" s="1772"/>
      <c r="G16" s="1772"/>
      <c r="H16" s="1772"/>
      <c r="I16" s="1772"/>
      <c r="J16" s="1772"/>
      <c r="K16" s="1772"/>
      <c r="L16" s="1772"/>
      <c r="M16" s="1772"/>
      <c r="N16" s="1772"/>
      <c r="O16" s="1772"/>
    </row>
    <row r="17" spans="2:16" s="7" customFormat="1" ht="61.5" customHeight="1">
      <c r="B17" s="22" t="s">
        <v>691</v>
      </c>
      <c r="C17" s="1772" t="s">
        <v>692</v>
      </c>
      <c r="D17" s="1772"/>
      <c r="E17" s="1772"/>
      <c r="F17" s="1772"/>
      <c r="G17" s="1772"/>
      <c r="H17" s="1772"/>
      <c r="I17" s="1772"/>
      <c r="J17" s="1772"/>
      <c r="K17" s="1772"/>
      <c r="L17" s="1772"/>
      <c r="M17" s="1772"/>
      <c r="N17" s="1772"/>
      <c r="O17" s="1772"/>
    </row>
    <row r="18" spans="2:16" s="7" customFormat="1" ht="45.75" customHeight="1">
      <c r="B18" s="22" t="s">
        <v>69</v>
      </c>
      <c r="C18" s="1772" t="s">
        <v>71</v>
      </c>
      <c r="D18" s="1772"/>
      <c r="E18" s="1772"/>
      <c r="F18" s="1772"/>
      <c r="G18" s="1772"/>
      <c r="H18" s="1772"/>
      <c r="I18" s="1772"/>
      <c r="J18" s="1772"/>
      <c r="K18" s="1772"/>
      <c r="L18" s="1772"/>
      <c r="M18" s="1772"/>
      <c r="N18" s="1772"/>
      <c r="O18" s="1772"/>
    </row>
    <row r="19" spans="2:16" s="7" customFormat="1" ht="45.75" customHeight="1">
      <c r="B19" s="22" t="s">
        <v>693</v>
      </c>
      <c r="C19" s="1772" t="s">
        <v>72</v>
      </c>
      <c r="D19" s="1772"/>
      <c r="E19" s="1772"/>
      <c r="F19" s="1772"/>
      <c r="G19" s="1772"/>
      <c r="H19" s="1772"/>
      <c r="I19" s="1772"/>
      <c r="J19" s="1772"/>
      <c r="K19" s="1772"/>
      <c r="L19" s="1772"/>
      <c r="M19" s="1772"/>
      <c r="N19" s="1772"/>
      <c r="O19" s="1772"/>
    </row>
    <row r="20" spans="2:16" s="7" customFormat="1" ht="45.75" customHeight="1">
      <c r="B20" s="22" t="s">
        <v>45</v>
      </c>
      <c r="C20" s="1772" t="s">
        <v>73</v>
      </c>
      <c r="D20" s="1772"/>
      <c r="E20" s="1772"/>
      <c r="F20" s="1772"/>
      <c r="G20" s="1772"/>
      <c r="H20" s="1772"/>
      <c r="I20" s="1772"/>
      <c r="J20" s="1772"/>
      <c r="K20" s="1772"/>
      <c r="L20" s="1772"/>
      <c r="M20" s="1772"/>
      <c r="N20" s="1772"/>
      <c r="O20" s="1772"/>
    </row>
    <row r="21" spans="2:16" s="7" customFormat="1" ht="45.75" customHeight="1">
      <c r="B21" s="22" t="s">
        <v>68</v>
      </c>
      <c r="C21" s="1772" t="s">
        <v>74</v>
      </c>
      <c r="D21" s="1772"/>
      <c r="E21" s="1772"/>
      <c r="F21" s="1772"/>
      <c r="G21" s="1772"/>
      <c r="H21" s="1772"/>
      <c r="I21" s="1772"/>
      <c r="J21" s="1772"/>
      <c r="K21" s="1772"/>
      <c r="L21" s="1772"/>
      <c r="M21" s="1772"/>
      <c r="N21" s="1772"/>
      <c r="O21" s="1772"/>
    </row>
    <row r="22" spans="2:16" s="7" customFormat="1" ht="78" customHeight="1">
      <c r="B22" s="16" t="s">
        <v>76</v>
      </c>
      <c r="C22" s="1772" t="s">
        <v>116</v>
      </c>
      <c r="D22" s="1772"/>
      <c r="E22" s="1772"/>
      <c r="F22" s="1772"/>
      <c r="G22" s="1772"/>
      <c r="H22" s="1772"/>
      <c r="I22" s="1772"/>
      <c r="J22" s="1772"/>
      <c r="K22" s="1772"/>
      <c r="L22" s="1772"/>
      <c r="M22" s="1772"/>
      <c r="N22" s="1772"/>
      <c r="O22" s="1772"/>
    </row>
    <row r="23" spans="2:16" s="7" customFormat="1" ht="45.75" customHeight="1">
      <c r="B23" s="16" t="s">
        <v>77</v>
      </c>
      <c r="C23" s="1774" t="s">
        <v>117</v>
      </c>
      <c r="D23" s="1774"/>
      <c r="E23" s="1774"/>
      <c r="F23" s="1774"/>
      <c r="G23" s="1774"/>
      <c r="H23" s="1774"/>
      <c r="I23" s="1774"/>
      <c r="J23" s="1774"/>
      <c r="K23" s="1774"/>
      <c r="L23" s="1774"/>
      <c r="M23" s="1774"/>
      <c r="N23" s="1774"/>
      <c r="O23" s="1774"/>
    </row>
    <row r="24" spans="2:16" s="7" customFormat="1" ht="45.75" customHeight="1">
      <c r="B24" s="16" t="s">
        <v>37</v>
      </c>
      <c r="C24" s="1772" t="s">
        <v>83</v>
      </c>
      <c r="D24" s="1772"/>
      <c r="E24" s="1772"/>
      <c r="F24" s="1772"/>
      <c r="G24" s="1772"/>
      <c r="H24" s="1772"/>
      <c r="I24" s="1772"/>
      <c r="J24" s="1772"/>
      <c r="K24" s="1772"/>
      <c r="L24" s="1772"/>
      <c r="M24" s="1772"/>
      <c r="N24" s="1772"/>
      <c r="O24" s="1772"/>
    </row>
    <row r="25" spans="2:16" s="7" customFormat="1" ht="45.75" customHeight="1">
      <c r="B25" s="16" t="s">
        <v>82</v>
      </c>
      <c r="C25" s="1772" t="s">
        <v>84</v>
      </c>
      <c r="D25" s="1772"/>
      <c r="E25" s="1772"/>
      <c r="F25" s="1772"/>
      <c r="G25" s="1772"/>
      <c r="H25" s="1772"/>
      <c r="I25" s="1772"/>
      <c r="J25" s="1772"/>
      <c r="K25" s="1772"/>
      <c r="L25" s="1772"/>
      <c r="M25" s="1772"/>
      <c r="N25" s="1772"/>
      <c r="O25" s="1772"/>
    </row>
    <row r="26" spans="2:16" s="7" customFormat="1">
      <c r="B26" s="338"/>
      <c r="C26" s="338"/>
      <c r="D26" s="338"/>
      <c r="E26" s="338"/>
      <c r="F26" s="339"/>
      <c r="G26" s="338"/>
      <c r="H26" s="338"/>
      <c r="I26" s="338"/>
      <c r="J26" s="338"/>
      <c r="K26" s="338"/>
      <c r="L26" s="338"/>
      <c r="M26" s="338"/>
      <c r="N26" s="338"/>
      <c r="O26" s="338"/>
      <c r="P26" s="338"/>
    </row>
    <row r="27" spans="2:16" s="7" customFormat="1" ht="32.25" customHeight="1">
      <c r="B27" s="1757" t="s">
        <v>63</v>
      </c>
      <c r="C27" s="1757"/>
      <c r="D27" s="1757"/>
      <c r="E27" s="1757"/>
      <c r="F27" s="1757"/>
      <c r="G27" s="1757"/>
      <c r="H27" s="1757"/>
      <c r="I27" s="1757"/>
      <c r="J27" s="1757"/>
      <c r="K27" s="1757"/>
      <c r="L27" s="1757"/>
      <c r="M27" s="1757"/>
      <c r="N27" s="1757"/>
      <c r="O27" s="1757"/>
      <c r="P27" s="338"/>
    </row>
    <row r="28" spans="2:16" s="7" customFormat="1" ht="7.5" customHeight="1">
      <c r="B28" s="338"/>
      <c r="C28" s="338"/>
      <c r="D28" s="338"/>
      <c r="E28" s="338"/>
      <c r="F28" s="339"/>
      <c r="G28" s="338"/>
      <c r="H28" s="338"/>
      <c r="I28" s="338"/>
      <c r="J28" s="338"/>
      <c r="K28" s="338"/>
      <c r="L28" s="338"/>
      <c r="M28" s="338"/>
      <c r="N28" s="338"/>
      <c r="O28" s="338"/>
      <c r="P28" s="338"/>
    </row>
    <row r="29" spans="2:16" s="7" customFormat="1" ht="22.5" customHeight="1">
      <c r="B29" s="333" t="s">
        <v>32</v>
      </c>
      <c r="C29" s="1773" t="s">
        <v>33</v>
      </c>
      <c r="D29" s="1773"/>
      <c r="E29" s="1773"/>
      <c r="F29" s="1773"/>
      <c r="G29" s="1773"/>
      <c r="H29" s="1773"/>
      <c r="I29" s="1773"/>
      <c r="J29" s="1773"/>
      <c r="K29" s="1773"/>
      <c r="L29" s="1773"/>
      <c r="M29" s="1773"/>
      <c r="N29" s="1773"/>
      <c r="O29" s="1773"/>
      <c r="P29" s="338"/>
    </row>
    <row r="30" spans="2:16" s="7" customFormat="1" ht="45.75" customHeight="1">
      <c r="B30" s="22" t="s">
        <v>45</v>
      </c>
      <c r="C30" s="1772" t="s">
        <v>100</v>
      </c>
      <c r="D30" s="1772"/>
      <c r="E30" s="1772"/>
      <c r="F30" s="1772"/>
      <c r="G30" s="1772"/>
      <c r="H30" s="1772"/>
      <c r="I30" s="1772"/>
      <c r="J30" s="1772"/>
      <c r="K30" s="1772"/>
      <c r="L30" s="1772"/>
      <c r="M30" s="1772"/>
      <c r="N30" s="1772"/>
      <c r="O30" s="1772"/>
    </row>
    <row r="31" spans="2:16" s="7" customFormat="1" ht="45.75" customHeight="1">
      <c r="B31" s="22" t="s">
        <v>34</v>
      </c>
      <c r="C31" s="1772" t="s">
        <v>85</v>
      </c>
      <c r="D31" s="1772"/>
      <c r="E31" s="1772"/>
      <c r="F31" s="1772"/>
      <c r="G31" s="1772"/>
      <c r="H31" s="1772"/>
      <c r="I31" s="1772"/>
      <c r="J31" s="1772"/>
      <c r="K31" s="1772"/>
      <c r="L31" s="1772"/>
      <c r="M31" s="1772"/>
      <c r="N31" s="1772"/>
      <c r="O31" s="1772"/>
    </row>
    <row r="32" spans="2:16" s="7" customFormat="1" ht="45.75" customHeight="1">
      <c r="B32" s="23" t="s">
        <v>101</v>
      </c>
      <c r="C32" s="1772" t="s">
        <v>102</v>
      </c>
      <c r="D32" s="1772"/>
      <c r="E32" s="1772"/>
      <c r="F32" s="1772"/>
      <c r="G32" s="1772"/>
      <c r="H32" s="1772"/>
      <c r="I32" s="1772"/>
      <c r="J32" s="1772"/>
      <c r="K32" s="1772"/>
      <c r="L32" s="1772"/>
      <c r="M32" s="1772"/>
      <c r="N32" s="1772"/>
      <c r="O32" s="1772"/>
    </row>
    <row r="33" spans="2:15" s="7" customFormat="1" ht="45.75" customHeight="1">
      <c r="B33" s="22" t="s">
        <v>691</v>
      </c>
      <c r="C33" s="1772" t="s">
        <v>694</v>
      </c>
      <c r="D33" s="1772"/>
      <c r="E33" s="1772"/>
      <c r="F33" s="1772"/>
      <c r="G33" s="1772"/>
      <c r="H33" s="1772"/>
      <c r="I33" s="1772"/>
      <c r="J33" s="1772"/>
      <c r="K33" s="1772"/>
      <c r="L33" s="1772"/>
      <c r="M33" s="1772"/>
      <c r="N33" s="1772"/>
      <c r="O33" s="1772"/>
    </row>
    <row r="34" spans="2:15" s="7" customFormat="1" ht="45.75" customHeight="1">
      <c r="B34" s="22" t="s">
        <v>695</v>
      </c>
      <c r="C34" s="1772" t="s">
        <v>696</v>
      </c>
      <c r="D34" s="1772"/>
      <c r="E34" s="1772"/>
      <c r="F34" s="1772"/>
      <c r="G34" s="1772"/>
      <c r="H34" s="1772"/>
      <c r="I34" s="1772"/>
      <c r="J34" s="1772"/>
      <c r="K34" s="1772"/>
      <c r="L34" s="1772"/>
      <c r="M34" s="1772"/>
      <c r="N34" s="1772"/>
      <c r="O34" s="1772"/>
    </row>
    <row r="35" spans="2:15" s="7" customFormat="1" ht="144" customHeight="1">
      <c r="B35" s="24" t="s">
        <v>697</v>
      </c>
      <c r="C35" s="1772" t="s">
        <v>103</v>
      </c>
      <c r="D35" s="1772"/>
      <c r="E35" s="1772"/>
      <c r="F35" s="1772"/>
      <c r="G35" s="1772"/>
      <c r="H35" s="1772"/>
      <c r="I35" s="1772"/>
      <c r="J35" s="1772"/>
      <c r="K35" s="1772"/>
      <c r="L35" s="1772"/>
      <c r="M35" s="1772"/>
      <c r="N35" s="1772"/>
      <c r="O35" s="1772"/>
    </row>
    <row r="36" spans="2:15" s="7" customFormat="1" ht="45.75" customHeight="1">
      <c r="B36" s="21" t="s">
        <v>104</v>
      </c>
      <c r="C36" s="1772" t="s">
        <v>105</v>
      </c>
      <c r="D36" s="1772"/>
      <c r="E36" s="1772"/>
      <c r="F36" s="1772"/>
      <c r="G36" s="1772"/>
      <c r="H36" s="1772"/>
      <c r="I36" s="1772"/>
      <c r="J36" s="1772"/>
      <c r="K36" s="1772"/>
      <c r="L36" s="1772"/>
      <c r="M36" s="1772"/>
      <c r="N36" s="1772"/>
      <c r="O36" s="1772"/>
    </row>
    <row r="37" spans="2:15" s="7" customFormat="1" ht="45.75" customHeight="1">
      <c r="B37" s="22" t="s">
        <v>36</v>
      </c>
      <c r="C37" s="1772" t="s">
        <v>106</v>
      </c>
      <c r="D37" s="1772"/>
      <c r="E37" s="1772"/>
      <c r="F37" s="1772"/>
      <c r="G37" s="1772"/>
      <c r="H37" s="1772"/>
      <c r="I37" s="1772"/>
      <c r="J37" s="1772"/>
      <c r="K37" s="1772"/>
      <c r="L37" s="1772"/>
      <c r="M37" s="1772"/>
      <c r="N37" s="1772"/>
      <c r="O37" s="1772"/>
    </row>
    <row r="38" spans="2:15" s="7" customFormat="1" ht="45.75" customHeight="1">
      <c r="B38" s="16" t="s">
        <v>35</v>
      </c>
      <c r="C38" s="1772" t="s">
        <v>107</v>
      </c>
      <c r="D38" s="1772"/>
      <c r="E38" s="1772"/>
      <c r="F38" s="1772"/>
      <c r="G38" s="1772"/>
      <c r="H38" s="1772"/>
      <c r="I38" s="1772"/>
      <c r="J38" s="1772"/>
      <c r="K38" s="1772"/>
      <c r="L38" s="1772"/>
      <c r="M38" s="1772"/>
      <c r="N38" s="1772"/>
      <c r="O38" s="1772"/>
    </row>
    <row r="39" spans="2:15" s="7" customFormat="1" ht="45.75" customHeight="1">
      <c r="B39" s="21" t="s">
        <v>111</v>
      </c>
      <c r="C39" s="1772" t="s">
        <v>108</v>
      </c>
      <c r="D39" s="1772"/>
      <c r="E39" s="1772"/>
      <c r="F39" s="1772"/>
      <c r="G39" s="1772"/>
      <c r="H39" s="1772"/>
      <c r="I39" s="1772"/>
      <c r="J39" s="1772"/>
      <c r="K39" s="1772"/>
      <c r="L39" s="1772"/>
      <c r="M39" s="1772"/>
      <c r="N39" s="1772"/>
      <c r="O39" s="1772"/>
    </row>
    <row r="40" spans="2:15" s="7" customFormat="1" ht="45.75" customHeight="1">
      <c r="B40" s="16" t="s">
        <v>110</v>
      </c>
      <c r="C40" s="1772" t="s">
        <v>109</v>
      </c>
      <c r="D40" s="1772"/>
      <c r="E40" s="1772"/>
      <c r="F40" s="1772"/>
      <c r="G40" s="1772"/>
      <c r="H40" s="1772"/>
      <c r="I40" s="1772"/>
      <c r="J40" s="1772"/>
      <c r="K40" s="1772"/>
      <c r="L40" s="1772"/>
      <c r="M40" s="1772"/>
      <c r="N40" s="1772"/>
      <c r="O40" s="1772"/>
    </row>
    <row r="41" spans="2:15" s="7" customFormat="1" ht="108.75" customHeight="1">
      <c r="B41" s="16" t="s">
        <v>113</v>
      </c>
      <c r="C41" s="1772" t="s">
        <v>114</v>
      </c>
      <c r="D41" s="1772"/>
      <c r="E41" s="1772"/>
      <c r="F41" s="1772"/>
      <c r="G41" s="1772"/>
      <c r="H41" s="1772"/>
      <c r="I41" s="1772"/>
      <c r="J41" s="1772"/>
      <c r="K41" s="1772"/>
      <c r="L41" s="1772"/>
      <c r="M41" s="1772"/>
      <c r="N41" s="1772"/>
      <c r="O41" s="1772"/>
    </row>
    <row r="42" spans="2:15" s="7" customFormat="1" ht="45.75" customHeight="1">
      <c r="B42" s="21" t="s">
        <v>115</v>
      </c>
      <c r="C42" s="1774" t="s">
        <v>125</v>
      </c>
      <c r="D42" s="1774"/>
      <c r="E42" s="1774"/>
      <c r="F42" s="1774"/>
      <c r="G42" s="1774"/>
      <c r="H42" s="1774"/>
      <c r="I42" s="1774"/>
      <c r="J42" s="1774"/>
      <c r="K42" s="1774"/>
      <c r="L42" s="1774"/>
      <c r="M42" s="1774"/>
      <c r="N42" s="1774"/>
      <c r="O42" s="1774"/>
    </row>
    <row r="43" spans="2:15" s="7" customFormat="1" ht="45.75" customHeight="1">
      <c r="B43" s="16" t="s">
        <v>698</v>
      </c>
      <c r="C43" s="1774" t="s">
        <v>126</v>
      </c>
      <c r="D43" s="1774"/>
      <c r="E43" s="1774"/>
      <c r="F43" s="1774"/>
      <c r="G43" s="1774"/>
      <c r="H43" s="1774"/>
      <c r="I43" s="1774"/>
      <c r="J43" s="1774"/>
      <c r="K43" s="1774"/>
      <c r="L43" s="1774"/>
      <c r="M43" s="1774"/>
      <c r="N43" s="1774"/>
      <c r="O43" s="1774"/>
    </row>
    <row r="44" spans="2:15" s="7" customFormat="1" ht="75" customHeight="1">
      <c r="B44" s="16" t="s">
        <v>684</v>
      </c>
      <c r="C44" s="1774" t="s">
        <v>699</v>
      </c>
      <c r="D44" s="1774"/>
      <c r="E44" s="1774"/>
      <c r="F44" s="1774"/>
      <c r="G44" s="1774"/>
      <c r="H44" s="1774"/>
      <c r="I44" s="1774"/>
      <c r="J44" s="1774"/>
      <c r="K44" s="1774"/>
      <c r="L44" s="1774"/>
      <c r="M44" s="1774"/>
      <c r="N44" s="1774"/>
      <c r="O44" s="1774"/>
    </row>
    <row r="45" spans="2:15" s="7" customFormat="1" ht="64.2" customHeight="1">
      <c r="B45" s="16" t="s">
        <v>700</v>
      </c>
      <c r="C45" s="1774" t="s">
        <v>701</v>
      </c>
      <c r="D45" s="1774"/>
      <c r="E45" s="1774"/>
      <c r="F45" s="1774"/>
      <c r="G45" s="1774"/>
      <c r="H45" s="1774"/>
      <c r="I45" s="1774"/>
      <c r="J45" s="1774"/>
      <c r="K45" s="1774"/>
      <c r="L45" s="1774"/>
      <c r="M45" s="1774"/>
      <c r="N45" s="1774"/>
      <c r="O45" s="1774"/>
    </row>
    <row r="46" spans="2:15" s="7" customFormat="1" ht="45.75" customHeight="1">
      <c r="B46" s="16" t="s">
        <v>37</v>
      </c>
      <c r="C46" s="1772" t="s">
        <v>127</v>
      </c>
      <c r="D46" s="1772"/>
      <c r="E46" s="1772"/>
      <c r="F46" s="1772"/>
      <c r="G46" s="1772"/>
      <c r="H46" s="1772"/>
      <c r="I46" s="1772"/>
      <c r="J46" s="1772"/>
      <c r="K46" s="1772"/>
      <c r="L46" s="1772"/>
      <c r="M46" s="1772"/>
      <c r="N46" s="1772"/>
      <c r="O46" s="1772"/>
    </row>
    <row r="47" spans="2:15" s="7" customFormat="1" ht="45.75" customHeight="1">
      <c r="B47" s="16" t="s">
        <v>82</v>
      </c>
      <c r="C47" s="1772" t="s">
        <v>128</v>
      </c>
      <c r="D47" s="1772"/>
      <c r="E47" s="1772"/>
      <c r="F47" s="1772"/>
      <c r="G47" s="1772"/>
      <c r="H47" s="1772"/>
      <c r="I47" s="1772"/>
      <c r="J47" s="1772"/>
      <c r="K47" s="1772"/>
      <c r="L47" s="1772"/>
      <c r="M47" s="1772"/>
      <c r="N47" s="1772"/>
      <c r="O47" s="1772"/>
    </row>
    <row r="48" spans="2:15" s="7" customFormat="1" ht="45" customHeight="1">
      <c r="B48" s="16" t="s">
        <v>50</v>
      </c>
      <c r="C48" s="1772" t="s">
        <v>38</v>
      </c>
      <c r="D48" s="1772"/>
      <c r="E48" s="1772"/>
      <c r="F48" s="1772"/>
      <c r="G48" s="1772"/>
      <c r="H48" s="1772"/>
      <c r="I48" s="1772"/>
      <c r="J48" s="1772"/>
      <c r="K48" s="1772"/>
      <c r="L48" s="1772"/>
      <c r="M48" s="1772"/>
      <c r="N48" s="1772"/>
      <c r="O48" s="1772"/>
    </row>
    <row r="50" spans="2:15" ht="34.200000000000003" customHeight="1">
      <c r="B50" s="1775" t="s">
        <v>924</v>
      </c>
      <c r="C50" s="1775"/>
      <c r="D50" s="1775"/>
      <c r="E50" s="1775"/>
      <c r="F50" s="1775"/>
      <c r="G50" s="1775"/>
      <c r="H50" s="1775"/>
      <c r="I50" s="1775"/>
      <c r="J50" s="1775"/>
      <c r="K50" s="1775"/>
      <c r="L50" s="1775"/>
      <c r="M50" s="1775"/>
      <c r="N50" s="1775"/>
      <c r="O50" s="1775"/>
    </row>
    <row r="51" spans="2:15" ht="12.75" customHeight="1"/>
    <row r="52" spans="2:15" ht="12.75" customHeight="1"/>
    <row r="53" spans="2:15" ht="12.75" customHeight="1"/>
    <row r="54" spans="2:15" ht="12.75" customHeight="1"/>
    <row r="55" spans="2:15" ht="12.75" customHeight="1"/>
    <row r="56" spans="2:15" ht="12.75" customHeight="1"/>
    <row r="57" spans="2:15" ht="12.75" customHeight="1"/>
    <row r="58" spans="2:15" ht="12.75" customHeight="1"/>
    <row r="59" spans="2:15" ht="12.75" customHeight="1"/>
    <row r="60" spans="2:15" ht="12.75" customHeight="1"/>
    <row r="61" spans="2:15" ht="12.75" customHeight="1"/>
    <row r="62" spans="2:15" ht="12.75" customHeight="1"/>
    <row r="63" spans="2:15" ht="12.75" customHeight="1"/>
    <row r="64" spans="2:15" ht="12.75" customHeight="1"/>
    <row r="65" ht="12.75" customHeight="1"/>
    <row r="66" ht="12.75" customHeight="1"/>
    <row r="67" ht="12.75" customHeight="1"/>
    <row r="68" ht="12.75" customHeight="1"/>
  </sheetData>
  <sheetProtection algorithmName="SHA-512" hashValue="Hr4bdyFraZfnT2YrvI8WvJi0ZhA0jg89lzQJ2JY3y+5av9M/CKtCls+j1UJJFq74Nx4CF38DW0tWlN6kekM6XA==" saltValue="Qiof59kNb8aIBPNtejzqPQ==" spinCount="100000" sheet="1" objects="1" scenarios="1"/>
  <mergeCells count="43">
    <mergeCell ref="B50:O50"/>
    <mergeCell ref="C48:O48"/>
    <mergeCell ref="C35:O35"/>
    <mergeCell ref="C36:O36"/>
    <mergeCell ref="C37:O37"/>
    <mergeCell ref="C45:O45"/>
    <mergeCell ref="C46:O46"/>
    <mergeCell ref="C47:O47"/>
    <mergeCell ref="C34:O34"/>
    <mergeCell ref="C33:O33"/>
    <mergeCell ref="C43:O43"/>
    <mergeCell ref="C44:O44"/>
    <mergeCell ref="C38:O38"/>
    <mergeCell ref="C39:O39"/>
    <mergeCell ref="C40:O40"/>
    <mergeCell ref="C41:O41"/>
    <mergeCell ref="C42:O42"/>
    <mergeCell ref="C12:O12"/>
    <mergeCell ref="C13:O13"/>
    <mergeCell ref="C14:O14"/>
    <mergeCell ref="C15:O15"/>
    <mergeCell ref="C21:O21"/>
    <mergeCell ref="C16:O16"/>
    <mergeCell ref="C18:O18"/>
    <mergeCell ref="C17:O17"/>
    <mergeCell ref="C19:O19"/>
    <mergeCell ref="C20:O20"/>
    <mergeCell ref="C22:O22"/>
    <mergeCell ref="C25:O25"/>
    <mergeCell ref="C29:O29"/>
    <mergeCell ref="C31:O31"/>
    <mergeCell ref="C32:O32"/>
    <mergeCell ref="C23:O23"/>
    <mergeCell ref="C24:O24"/>
    <mergeCell ref="C30:O30"/>
    <mergeCell ref="B27:O27"/>
    <mergeCell ref="B10:O10"/>
    <mergeCell ref="B2:B6"/>
    <mergeCell ref="C2:M6"/>
    <mergeCell ref="N2:O2"/>
    <mergeCell ref="N5:O5"/>
    <mergeCell ref="N6:O6"/>
    <mergeCell ref="B8:O8"/>
  </mergeCell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39</vt:i4>
      </vt:variant>
      <vt:variant>
        <vt:lpstr>Rangos con nombre</vt:lpstr>
      </vt:variant>
      <vt:variant>
        <vt:i4>2</vt:i4>
      </vt:variant>
    </vt:vector>
  </HeadingPairs>
  <TitlesOfParts>
    <vt:vector size="41" baseType="lpstr">
      <vt:lpstr>01-PL-09 POA 2021 (Pág 1 de 2)</vt:lpstr>
      <vt:lpstr>01-PL-09 POA 2021 (Pág 2 de 2)</vt:lpstr>
      <vt:lpstr>Listas1</vt:lpstr>
      <vt:lpstr>4-Grado Cum Objetivos Est &amp; Cal</vt:lpstr>
      <vt:lpstr>3-Grado Cump Metas Estratégicas</vt:lpstr>
      <vt:lpstr>2- Resumen Ejec PEI 2021</vt:lpstr>
      <vt:lpstr>1-Infor Det Sgto PEI 2021-2024 </vt:lpstr>
      <vt:lpstr>Matriz PEI 2021-2024</vt:lpstr>
      <vt:lpstr>INSTRUCCIONES DILG (Pág 2 de 2)</vt:lpstr>
      <vt:lpstr>4.Segto Medición POA 2022 T4</vt:lpstr>
      <vt:lpstr>3.Resum Desemp Procesos POA T4 </vt:lpstr>
      <vt:lpstr>4.Segto Medición POA 2022 T3</vt:lpstr>
      <vt:lpstr>4.Segto Medición POA 2022 T2</vt:lpstr>
      <vt:lpstr>3.Resum Desemp Procesos POA T2</vt:lpstr>
      <vt:lpstr>3.Resum Desemp Procesos POA T3</vt:lpstr>
      <vt:lpstr>4.Segto Medición POA 2022 T1</vt:lpstr>
      <vt:lpstr>3.Resum Desemp Procesos POA T1</vt:lpstr>
      <vt:lpstr>2.Infor Detallado Desempeño POA</vt:lpstr>
      <vt:lpstr>1.Informe Seguimiento POA 2022</vt:lpstr>
      <vt:lpstr>LISTAS</vt:lpstr>
      <vt:lpstr>Rango indicadores</vt:lpstr>
      <vt:lpstr>01-FR-03 POA INSTITUCIONAL</vt:lpstr>
      <vt:lpstr>01-DIRECCIONAMIENTO ESTRATÉGICO</vt:lpstr>
      <vt:lpstr>02-G. CONOCIMIENTO INNOVACIÓN</vt:lpstr>
      <vt:lpstr>03-DIRECCIONAMIENTO TIC</vt:lpstr>
      <vt:lpstr>04-COMUNICACIÓN ESTRATÉGICA</vt:lpstr>
      <vt:lpstr>05-POA PROM DEFENSA DERECHOS</vt:lpstr>
      <vt:lpstr>06-PREV CTRL FUN PÚBLICA</vt:lpstr>
      <vt:lpstr>07-POTESTAD DISCIPLINARIA</vt:lpstr>
      <vt:lpstr>08-G. DEL TALENTO HUMANO</vt:lpstr>
      <vt:lpstr>09-G.  ADMINISTRATIVA</vt:lpstr>
      <vt:lpstr>10-GESTIÓN FINANCIERA</vt:lpstr>
      <vt:lpstr>11-GESTIÓN CONTRACTUAL</vt:lpstr>
      <vt:lpstr>12-GESTIÓN DOCUMENTAL</vt:lpstr>
      <vt:lpstr>13-GESTIÓN JURÍDICA</vt:lpstr>
      <vt:lpstr>14-SERVICIO AL USUARIO</vt:lpstr>
      <vt:lpstr>15-CTRL DISCIPLINARIO INTERNO</vt:lpstr>
      <vt:lpstr>16-EVALUACIÓN Y SEGUIMIENTO</vt:lpstr>
      <vt:lpstr>Instrucciones Dil (Pág 3 de 3)</vt:lpstr>
      <vt:lpstr>'01-PL-09 POA 2021 (Pág 1 de 2)'!Área_de_impresión</vt:lpstr>
      <vt:lpstr>'05-POA PROM DEFENSA DERECHOS'!Área_de_impresión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Gabriel Tibaduiza Sanabria</dc:creator>
  <cp:lastModifiedBy>Omaira Morales</cp:lastModifiedBy>
  <cp:lastPrinted>2021-03-16T15:18:31Z</cp:lastPrinted>
  <dcterms:created xsi:type="dcterms:W3CDTF">2014-12-22T19:20:09Z</dcterms:created>
  <dcterms:modified xsi:type="dcterms:W3CDTF">2022-04-25T13:53:31Z</dcterms:modified>
</cp:coreProperties>
</file>