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kN5OBLkogA/JgXhr3pjg94fCoNZZkCZZ/6zCDvqyAEZEEPKRyVnYJmtaOehKKkABCwD1iDaHLUF47X8aQEdU7g==" workbookSaltValue="3GFb5voRLncqeExCrnOkGg==" workbookSpinCount="100000" lockStructure="1"/>
  <bookViews>
    <workbookView xWindow="0" yWindow="0" windowWidth="20490" windowHeight="7095" activeTab="1"/>
  </bookViews>
  <sheets>
    <sheet name="CONTROL CAMBIOS PL (Pág 1 de 3)" sheetId="3" r:id="rId1"/>
    <sheet name="PL (Pág 2 de 3)" sheetId="2" r:id="rId2"/>
    <sheet name="INSTRUCTIVO PL (Pág 3 de 3)" sheetId="4" r:id="rId3"/>
    <sheet name="CONTROL CAMBIOS FR" sheetId="5" r:id="rId4"/>
  </sheets>
  <externalReferences>
    <externalReference r:id="rId5"/>
  </externalReferenc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46" i="2" l="1"/>
  <c r="BL46" i="2"/>
  <c r="BI46" i="2"/>
  <c r="BH46" i="2"/>
  <c r="BG46" i="2"/>
  <c r="BF46" i="2"/>
  <c r="BE46" i="2"/>
  <c r="BK46" i="2" s="1"/>
  <c r="BD46" i="2"/>
  <c r="BC46" i="2"/>
  <c r="BB46" i="2"/>
  <c r="BA46" i="2"/>
  <c r="AY46" i="2"/>
  <c r="AX46" i="2"/>
  <c r="AW46" i="2"/>
  <c r="AV46" i="2"/>
  <c r="AU46" i="2"/>
  <c r="AT46" i="2"/>
  <c r="AS46" i="2"/>
  <c r="AR46" i="2"/>
  <c r="AO46" i="2"/>
  <c r="AN46" i="2"/>
  <c r="AM46" i="2"/>
  <c r="AL46" i="2"/>
  <c r="AK46" i="2"/>
  <c r="AJ46" i="2"/>
  <c r="AI46" i="2"/>
  <c r="AQ46" i="2" s="1"/>
  <c r="AH46" i="2"/>
  <c r="AG46" i="2"/>
  <c r="AE46" i="2"/>
  <c r="AD46" i="2"/>
  <c r="AC46" i="2"/>
  <c r="AB46" i="2"/>
  <c r="AA46" i="2"/>
  <c r="Z46" i="2"/>
  <c r="Y46" i="2"/>
  <c r="X46" i="2"/>
  <c r="U46" i="2"/>
  <c r="T46" i="2"/>
  <c r="M46" i="2"/>
  <c r="L46" i="2"/>
  <c r="K46" i="2"/>
  <c r="I46" i="2"/>
  <c r="F46" i="2"/>
  <c r="E46" i="2"/>
  <c r="D46" i="2"/>
  <c r="BK45" i="2"/>
  <c r="BI45" i="2"/>
  <c r="BH45" i="2"/>
  <c r="BG45" i="2"/>
  <c r="BF45" i="2"/>
  <c r="BE45" i="2"/>
  <c r="BD45" i="2"/>
  <c r="BC45" i="2"/>
  <c r="BB45" i="2"/>
  <c r="AY45" i="2"/>
  <c r="AX45" i="2"/>
  <c r="AW45" i="2"/>
  <c r="AV45" i="2"/>
  <c r="AU45" i="2"/>
  <c r="BA45" i="2" s="1"/>
  <c r="AT45" i="2"/>
  <c r="AS45" i="2"/>
  <c r="AR45" i="2"/>
  <c r="AQ45" i="2"/>
  <c r="AO45" i="2"/>
  <c r="AN45" i="2"/>
  <c r="AM45" i="2"/>
  <c r="AL45" i="2"/>
  <c r="AK45" i="2"/>
  <c r="AJ45" i="2"/>
  <c r="AI45" i="2"/>
  <c r="AH45" i="2"/>
  <c r="AE45" i="2"/>
  <c r="AD45" i="2"/>
  <c r="AC45" i="2"/>
  <c r="AB45" i="2"/>
  <c r="AA45" i="2"/>
  <c r="Z45" i="2"/>
  <c r="Y45" i="2"/>
  <c r="AG45" i="2" s="1"/>
  <c r="X45" i="2"/>
  <c r="U45" i="2"/>
  <c r="T45" i="2"/>
  <c r="M45" i="2"/>
  <c r="BL45" i="2" s="1"/>
  <c r="L45" i="2"/>
  <c r="K45" i="2"/>
  <c r="I45" i="2"/>
  <c r="F45" i="2"/>
  <c r="E45" i="2"/>
  <c r="D45" i="2"/>
  <c r="BM44" i="2"/>
  <c r="BL44" i="2"/>
  <c r="BI44" i="2"/>
  <c r="BH44" i="2"/>
  <c r="BG44" i="2"/>
  <c r="BF44" i="2"/>
  <c r="BE44" i="2"/>
  <c r="BD44" i="2"/>
  <c r="BC44" i="2"/>
  <c r="BK44" i="2" s="1"/>
  <c r="BB44" i="2"/>
  <c r="BA44" i="2"/>
  <c r="AY44" i="2"/>
  <c r="AX44" i="2"/>
  <c r="AW44" i="2"/>
  <c r="AV44" i="2"/>
  <c r="AU44" i="2"/>
  <c r="AT44" i="2"/>
  <c r="AS44" i="2"/>
  <c r="AR44" i="2"/>
  <c r="AO44" i="2"/>
  <c r="AN44" i="2"/>
  <c r="AM44" i="2"/>
  <c r="AL44" i="2"/>
  <c r="AK44" i="2"/>
  <c r="AQ44" i="2" s="1"/>
  <c r="AJ44" i="2"/>
  <c r="AI44" i="2"/>
  <c r="AH44" i="2"/>
  <c r="AG44" i="2"/>
  <c r="AE44" i="2"/>
  <c r="AD44" i="2"/>
  <c r="AC44" i="2"/>
  <c r="AB44" i="2"/>
  <c r="AA44" i="2"/>
  <c r="Z44" i="2"/>
  <c r="Y44" i="2"/>
  <c r="X44" i="2"/>
  <c r="U44" i="2"/>
  <c r="T44" i="2"/>
  <c r="M44" i="2"/>
  <c r="L44" i="2"/>
  <c r="K44" i="2"/>
  <c r="I44" i="2"/>
  <c r="F44" i="2"/>
  <c r="E44" i="2"/>
  <c r="D44" i="2"/>
  <c r="BM43" i="2"/>
  <c r="BL43" i="2"/>
  <c r="BK43" i="2"/>
  <c r="BI43" i="2"/>
  <c r="BH43" i="2"/>
  <c r="BG43" i="2"/>
  <c r="BF43" i="2"/>
  <c r="BE43" i="2"/>
  <c r="BD43" i="2"/>
  <c r="BC43" i="2"/>
  <c r="BB43" i="2"/>
  <c r="AY43" i="2"/>
  <c r="AX43" i="2"/>
  <c r="AW43" i="2"/>
  <c r="AV43" i="2"/>
  <c r="AU43" i="2"/>
  <c r="AT43" i="2"/>
  <c r="AS43" i="2"/>
  <c r="BA43" i="2" s="1"/>
  <c r="AR43" i="2"/>
  <c r="AQ43" i="2"/>
  <c r="AO43" i="2"/>
  <c r="AN43" i="2"/>
  <c r="AM43" i="2"/>
  <c r="AL43" i="2"/>
  <c r="AK43" i="2"/>
  <c r="AJ43" i="2"/>
  <c r="AI43" i="2"/>
  <c r="AH43" i="2"/>
  <c r="AE43" i="2"/>
  <c r="AD43" i="2"/>
  <c r="AC43" i="2"/>
  <c r="AB43" i="2"/>
  <c r="AA43" i="2"/>
  <c r="AG43" i="2" s="1"/>
  <c r="Z43" i="2"/>
  <c r="Y43" i="2"/>
  <c r="X43" i="2"/>
  <c r="U43" i="2"/>
  <c r="T43" i="2"/>
  <c r="M43" i="2"/>
  <c r="L43" i="2"/>
  <c r="K43" i="2"/>
  <c r="I43" i="2"/>
  <c r="F43" i="2"/>
  <c r="E43" i="2"/>
  <c r="D43" i="2"/>
  <c r="BM42" i="2"/>
  <c r="BL42" i="2"/>
  <c r="BI42" i="2"/>
  <c r="BH42" i="2"/>
  <c r="BG42" i="2"/>
  <c r="BF42" i="2"/>
  <c r="BE42" i="2"/>
  <c r="BK42" i="2" s="1"/>
  <c r="BD42" i="2"/>
  <c r="BC42" i="2"/>
  <c r="BB42" i="2"/>
  <c r="BA42" i="2"/>
  <c r="AY42" i="2"/>
  <c r="AX42" i="2"/>
  <c r="AW42" i="2"/>
  <c r="AV42" i="2"/>
  <c r="AU42" i="2"/>
  <c r="AT42" i="2"/>
  <c r="AS42" i="2"/>
  <c r="AR42" i="2"/>
  <c r="AO42" i="2"/>
  <c r="AN42" i="2"/>
  <c r="AM42" i="2"/>
  <c r="AL42" i="2"/>
  <c r="AK42" i="2"/>
  <c r="AJ42" i="2"/>
  <c r="AI42" i="2"/>
  <c r="AQ42" i="2" s="1"/>
  <c r="AH42" i="2"/>
  <c r="AG42" i="2"/>
  <c r="AE42" i="2"/>
  <c r="AD42" i="2"/>
  <c r="AC42" i="2"/>
  <c r="AB42" i="2"/>
  <c r="AA42" i="2"/>
  <c r="Z42" i="2"/>
  <c r="Y42" i="2"/>
  <c r="X42" i="2"/>
  <c r="U42" i="2"/>
  <c r="T42" i="2"/>
  <c r="M42" i="2"/>
  <c r="L42" i="2"/>
  <c r="K42" i="2"/>
  <c r="I42" i="2"/>
  <c r="F42" i="2"/>
  <c r="E42" i="2"/>
  <c r="D42" i="2"/>
  <c r="BK41" i="2"/>
  <c r="BI41" i="2"/>
  <c r="BH41" i="2"/>
  <c r="BG41" i="2"/>
  <c r="BF41" i="2"/>
  <c r="BE41" i="2"/>
  <c r="BD41" i="2"/>
  <c r="BC41" i="2"/>
  <c r="BB41" i="2"/>
  <c r="AY41" i="2"/>
  <c r="AX41" i="2"/>
  <c r="AW41" i="2"/>
  <c r="AV41" i="2"/>
  <c r="AU41" i="2"/>
  <c r="BA41" i="2" s="1"/>
  <c r="AT41" i="2"/>
  <c r="AS41" i="2"/>
  <c r="AR41" i="2"/>
  <c r="AQ41" i="2"/>
  <c r="AO41" i="2"/>
  <c r="AN41" i="2"/>
  <c r="AM41" i="2"/>
  <c r="AL41" i="2"/>
  <c r="AK41" i="2"/>
  <c r="AJ41" i="2"/>
  <c r="AI41" i="2"/>
  <c r="AH41" i="2"/>
  <c r="AE41" i="2"/>
  <c r="AD41" i="2"/>
  <c r="AC41" i="2"/>
  <c r="AB41" i="2"/>
  <c r="AA41" i="2"/>
  <c r="Z41" i="2"/>
  <c r="Y41" i="2"/>
  <c r="AG41" i="2" s="1"/>
  <c r="X41" i="2"/>
  <c r="U41" i="2"/>
  <c r="T41" i="2"/>
  <c r="M41" i="2"/>
  <c r="BL41" i="2" s="1"/>
  <c r="L41" i="2"/>
  <c r="K41" i="2"/>
  <c r="I41" i="2"/>
  <c r="F41" i="2"/>
  <c r="E41" i="2"/>
  <c r="D41" i="2"/>
  <c r="BM40" i="2"/>
  <c r="BL40" i="2"/>
  <c r="BI40" i="2"/>
  <c r="BH40" i="2"/>
  <c r="BG40" i="2"/>
  <c r="BF40" i="2"/>
  <c r="BE40" i="2"/>
  <c r="BD40" i="2"/>
  <c r="BC40" i="2"/>
  <c r="BK40" i="2" s="1"/>
  <c r="BB40" i="2"/>
  <c r="BA40" i="2"/>
  <c r="AY40" i="2"/>
  <c r="AX40" i="2"/>
  <c r="AW40" i="2"/>
  <c r="AV40" i="2"/>
  <c r="AU40" i="2"/>
  <c r="AT40" i="2"/>
  <c r="AS40" i="2"/>
  <c r="AR40" i="2"/>
  <c r="AO40" i="2"/>
  <c r="AN40" i="2"/>
  <c r="AM40" i="2"/>
  <c r="AL40" i="2"/>
  <c r="AK40" i="2"/>
  <c r="AQ40" i="2" s="1"/>
  <c r="AJ40" i="2"/>
  <c r="AI40" i="2"/>
  <c r="AH40" i="2"/>
  <c r="AG40" i="2"/>
  <c r="AE40" i="2"/>
  <c r="AD40" i="2"/>
  <c r="AC40" i="2"/>
  <c r="AB40" i="2"/>
  <c r="AA40" i="2"/>
  <c r="Z40" i="2"/>
  <c r="Y40" i="2"/>
  <c r="X40" i="2"/>
  <c r="U40" i="2"/>
  <c r="T40" i="2"/>
  <c r="M40" i="2"/>
  <c r="L40" i="2"/>
  <c r="K40" i="2"/>
  <c r="I40" i="2"/>
  <c r="F40" i="2"/>
  <c r="E40" i="2"/>
  <c r="D40" i="2"/>
  <c r="BM39" i="2"/>
  <c r="BL39" i="2"/>
  <c r="BK39" i="2"/>
  <c r="BI39" i="2"/>
  <c r="BH39" i="2"/>
  <c r="BG39" i="2"/>
  <c r="BF39" i="2"/>
  <c r="BE39" i="2"/>
  <c r="BD39" i="2"/>
  <c r="BC39" i="2"/>
  <c r="BB39" i="2"/>
  <c r="AY39" i="2"/>
  <c r="AX39" i="2"/>
  <c r="AW39" i="2"/>
  <c r="AV39" i="2"/>
  <c r="AU39" i="2"/>
  <c r="AT39" i="2"/>
  <c r="AS39" i="2"/>
  <c r="BA39" i="2" s="1"/>
  <c r="AR39" i="2"/>
  <c r="AQ39" i="2"/>
  <c r="AO39" i="2"/>
  <c r="AN39" i="2"/>
  <c r="AM39" i="2"/>
  <c r="AL39" i="2"/>
  <c r="AK39" i="2"/>
  <c r="AJ39" i="2"/>
  <c r="AI39" i="2"/>
  <c r="AH39" i="2"/>
  <c r="AE39" i="2"/>
  <c r="AD39" i="2"/>
  <c r="AC39" i="2"/>
  <c r="AB39" i="2"/>
  <c r="AA39" i="2"/>
  <c r="AG39" i="2" s="1"/>
  <c r="Z39" i="2"/>
  <c r="Y39" i="2"/>
  <c r="X39" i="2"/>
  <c r="U39" i="2"/>
  <c r="T39" i="2"/>
  <c r="M39" i="2"/>
  <c r="L39" i="2"/>
  <c r="K39" i="2"/>
  <c r="I39" i="2"/>
  <c r="F39" i="2"/>
  <c r="E39" i="2"/>
  <c r="D39" i="2"/>
  <c r="BM38" i="2"/>
  <c r="BL38" i="2"/>
  <c r="BI38" i="2"/>
  <c r="BH38" i="2"/>
  <c r="BG38" i="2"/>
  <c r="BF38" i="2"/>
  <c r="BE38" i="2"/>
  <c r="BK38" i="2" s="1"/>
  <c r="BD38" i="2"/>
  <c r="BC38" i="2"/>
  <c r="BB38" i="2"/>
  <c r="BA38" i="2"/>
  <c r="AY38" i="2"/>
  <c r="AX38" i="2"/>
  <c r="AW38" i="2"/>
  <c r="AV38" i="2"/>
  <c r="AU38" i="2"/>
  <c r="AT38" i="2"/>
  <c r="AS38" i="2"/>
  <c r="AR38" i="2"/>
  <c r="AO38" i="2"/>
  <c r="AN38" i="2"/>
  <c r="AM38" i="2"/>
  <c r="AL38" i="2"/>
  <c r="AK38" i="2"/>
  <c r="AJ38" i="2"/>
  <c r="AI38" i="2"/>
  <c r="AQ38" i="2" s="1"/>
  <c r="AH38" i="2"/>
  <c r="AG38" i="2"/>
  <c r="AE38" i="2"/>
  <c r="AD38" i="2"/>
  <c r="AC38" i="2"/>
  <c r="AB38" i="2"/>
  <c r="AA38" i="2"/>
  <c r="Z38" i="2"/>
  <c r="Y38" i="2"/>
  <c r="X38" i="2"/>
  <c r="U38" i="2"/>
  <c r="T38" i="2"/>
  <c r="M38" i="2"/>
  <c r="L38" i="2"/>
  <c r="K38" i="2"/>
  <c r="I38" i="2"/>
  <c r="F38" i="2"/>
  <c r="E38" i="2"/>
  <c r="D38" i="2"/>
  <c r="BK37" i="2"/>
  <c r="BI37" i="2"/>
  <c r="BH37" i="2"/>
  <c r="BG37" i="2"/>
  <c r="BF37" i="2"/>
  <c r="BE37" i="2"/>
  <c r="BD37" i="2"/>
  <c r="BC37" i="2"/>
  <c r="BB37" i="2"/>
  <c r="AY37" i="2"/>
  <c r="AX37" i="2"/>
  <c r="AW37" i="2"/>
  <c r="AV37" i="2"/>
  <c r="AU37" i="2"/>
  <c r="BA37" i="2" s="1"/>
  <c r="AT37" i="2"/>
  <c r="AS37" i="2"/>
  <c r="AR37" i="2"/>
  <c r="AQ37" i="2"/>
  <c r="AO37" i="2"/>
  <c r="AN37" i="2"/>
  <c r="AM37" i="2"/>
  <c r="AL37" i="2"/>
  <c r="AK37" i="2"/>
  <c r="AJ37" i="2"/>
  <c r="AI37" i="2"/>
  <c r="AH37" i="2"/>
  <c r="AE37" i="2"/>
  <c r="AD37" i="2"/>
  <c r="AC37" i="2"/>
  <c r="AB37" i="2"/>
  <c r="AA37" i="2"/>
  <c r="Z37" i="2"/>
  <c r="Y37" i="2"/>
  <c r="AG37" i="2" s="1"/>
  <c r="X37" i="2"/>
  <c r="U37" i="2"/>
  <c r="T37" i="2"/>
  <c r="M37" i="2"/>
  <c r="BL37" i="2" s="1"/>
  <c r="L37" i="2"/>
  <c r="K37" i="2"/>
  <c r="I37" i="2"/>
  <c r="F37" i="2"/>
  <c r="E37" i="2"/>
  <c r="D37" i="2"/>
  <c r="BM36" i="2"/>
  <c r="BL36" i="2"/>
  <c r="BI36" i="2"/>
  <c r="BH36" i="2"/>
  <c r="BG36" i="2"/>
  <c r="BF36" i="2"/>
  <c r="BE36" i="2"/>
  <c r="BD36" i="2"/>
  <c r="BC36" i="2"/>
  <c r="BK36" i="2" s="1"/>
  <c r="BB36" i="2"/>
  <c r="BA36" i="2"/>
  <c r="AY36" i="2"/>
  <c r="AX36" i="2"/>
  <c r="AW36" i="2"/>
  <c r="AV36" i="2"/>
  <c r="AU36" i="2"/>
  <c r="AT36" i="2"/>
  <c r="AS36" i="2"/>
  <c r="AR36" i="2"/>
  <c r="AO36" i="2"/>
  <c r="AN36" i="2"/>
  <c r="AM36" i="2"/>
  <c r="AL36" i="2"/>
  <c r="AK36" i="2"/>
  <c r="AQ36" i="2" s="1"/>
  <c r="AJ36" i="2"/>
  <c r="AI36" i="2"/>
  <c r="AH36" i="2"/>
  <c r="AG36" i="2"/>
  <c r="AE36" i="2"/>
  <c r="AD36" i="2"/>
  <c r="AC36" i="2"/>
  <c r="AB36" i="2"/>
  <c r="AA36" i="2"/>
  <c r="Z36" i="2"/>
  <c r="Y36" i="2"/>
  <c r="X36" i="2"/>
  <c r="U36" i="2"/>
  <c r="T36" i="2"/>
  <c r="M36" i="2"/>
  <c r="L36" i="2"/>
  <c r="K36" i="2"/>
  <c r="I36" i="2"/>
  <c r="F36" i="2"/>
  <c r="E36" i="2"/>
  <c r="D36" i="2"/>
  <c r="BM35" i="2"/>
  <c r="BL35" i="2"/>
  <c r="BK35" i="2"/>
  <c r="BI35" i="2"/>
  <c r="BH35" i="2"/>
  <c r="BG35" i="2"/>
  <c r="BF35" i="2"/>
  <c r="BE35" i="2"/>
  <c r="BD35" i="2"/>
  <c r="BC35" i="2"/>
  <c r="BB35" i="2"/>
  <c r="AY35" i="2"/>
  <c r="AX35" i="2"/>
  <c r="AW35" i="2"/>
  <c r="AV35" i="2"/>
  <c r="AU35" i="2"/>
  <c r="AT35" i="2"/>
  <c r="AS35" i="2"/>
  <c r="BA35" i="2" s="1"/>
  <c r="AR35" i="2"/>
  <c r="AQ35" i="2"/>
  <c r="AO35" i="2"/>
  <c r="AN35" i="2"/>
  <c r="AM35" i="2"/>
  <c r="AL35" i="2"/>
  <c r="AK35" i="2"/>
  <c r="AJ35" i="2"/>
  <c r="AI35" i="2"/>
  <c r="AH35" i="2"/>
  <c r="AE35" i="2"/>
  <c r="AD35" i="2"/>
  <c r="AC35" i="2"/>
  <c r="AB35" i="2"/>
  <c r="AA35" i="2"/>
  <c r="AG35" i="2" s="1"/>
  <c r="Z35" i="2"/>
  <c r="Y35" i="2"/>
  <c r="X35" i="2"/>
  <c r="U35" i="2"/>
  <c r="T35" i="2"/>
  <c r="M35" i="2"/>
  <c r="L35" i="2"/>
  <c r="K35" i="2"/>
  <c r="I35" i="2"/>
  <c r="F35" i="2"/>
  <c r="E35" i="2"/>
  <c r="D35" i="2"/>
  <c r="BM34" i="2"/>
  <c r="BL34" i="2"/>
  <c r="BI34" i="2"/>
  <c r="BH34" i="2"/>
  <c r="BG34" i="2"/>
  <c r="BF34" i="2"/>
  <c r="BE34" i="2"/>
  <c r="BK34" i="2" s="1"/>
  <c r="BD34" i="2"/>
  <c r="BC34" i="2"/>
  <c r="BB34" i="2"/>
  <c r="BA34" i="2"/>
  <c r="AY34" i="2"/>
  <c r="AX34" i="2"/>
  <c r="AW34" i="2"/>
  <c r="AV34" i="2"/>
  <c r="AU34" i="2"/>
  <c r="AT34" i="2"/>
  <c r="AS34" i="2"/>
  <c r="AR34" i="2"/>
  <c r="AO34" i="2"/>
  <c r="AN34" i="2"/>
  <c r="AM34" i="2"/>
  <c r="AL34" i="2"/>
  <c r="AK34" i="2"/>
  <c r="AJ34" i="2"/>
  <c r="AI34" i="2"/>
  <c r="AQ34" i="2" s="1"/>
  <c r="AH34" i="2"/>
  <c r="AG34" i="2"/>
  <c r="AE34" i="2"/>
  <c r="AD34" i="2"/>
  <c r="AC34" i="2"/>
  <c r="AB34" i="2"/>
  <c r="AA34" i="2"/>
  <c r="Z34" i="2"/>
  <c r="Y34" i="2"/>
  <c r="X34" i="2"/>
  <c r="U34" i="2"/>
  <c r="T34" i="2"/>
  <c r="M34" i="2"/>
  <c r="L34" i="2"/>
  <c r="K34" i="2"/>
  <c r="I34" i="2"/>
  <c r="F34" i="2"/>
  <c r="E34" i="2"/>
  <c r="D34" i="2"/>
  <c r="BK33" i="2"/>
  <c r="BI33" i="2"/>
  <c r="BH33" i="2"/>
  <c r="BG33" i="2"/>
  <c r="BF33" i="2"/>
  <c r="BE33" i="2"/>
  <c r="BD33" i="2"/>
  <c r="BC33" i="2"/>
  <c r="BB33" i="2"/>
  <c r="AY33" i="2"/>
  <c r="AX33" i="2"/>
  <c r="AW33" i="2"/>
  <c r="AV33" i="2"/>
  <c r="AU33" i="2"/>
  <c r="BA33" i="2" s="1"/>
  <c r="AT33" i="2"/>
  <c r="AS33" i="2"/>
  <c r="AR33" i="2"/>
  <c r="AQ33" i="2"/>
  <c r="AO33" i="2"/>
  <c r="AN33" i="2"/>
  <c r="AM33" i="2"/>
  <c r="AL33" i="2"/>
  <c r="AK33" i="2"/>
  <c r="AJ33" i="2"/>
  <c r="AI33" i="2"/>
  <c r="AH33" i="2"/>
  <c r="AE33" i="2"/>
  <c r="AD33" i="2"/>
  <c r="AC33" i="2"/>
  <c r="AB33" i="2"/>
  <c r="AA33" i="2"/>
  <c r="Z33" i="2"/>
  <c r="Y33" i="2"/>
  <c r="AG33" i="2" s="1"/>
  <c r="X33" i="2"/>
  <c r="U33" i="2"/>
  <c r="T33" i="2"/>
  <c r="M33" i="2"/>
  <c r="BL33" i="2" s="1"/>
  <c r="L33" i="2"/>
  <c r="K33" i="2"/>
  <c r="I33" i="2"/>
  <c r="F33" i="2"/>
  <c r="E33" i="2"/>
  <c r="D33" i="2"/>
  <c r="BM32" i="2"/>
  <c r="BL32" i="2"/>
  <c r="BI32" i="2"/>
  <c r="BH32" i="2"/>
  <c r="BG32" i="2"/>
  <c r="BF32" i="2"/>
  <c r="BE32" i="2"/>
  <c r="BD32" i="2"/>
  <c r="BC32" i="2"/>
  <c r="BK32" i="2" s="1"/>
  <c r="BB32" i="2"/>
  <c r="BA32" i="2"/>
  <c r="AY32" i="2"/>
  <c r="AX32" i="2"/>
  <c r="AW32" i="2"/>
  <c r="AV32" i="2"/>
  <c r="AU32" i="2"/>
  <c r="AT32" i="2"/>
  <c r="AS32" i="2"/>
  <c r="AR32" i="2"/>
  <c r="AO32" i="2"/>
  <c r="AN32" i="2"/>
  <c r="AM32" i="2"/>
  <c r="AL32" i="2"/>
  <c r="AK32" i="2"/>
  <c r="AQ32" i="2" s="1"/>
  <c r="AJ32" i="2"/>
  <c r="AI32" i="2"/>
  <c r="AH32" i="2"/>
  <c r="AG32" i="2"/>
  <c r="AE32" i="2"/>
  <c r="AD32" i="2"/>
  <c r="AC32" i="2"/>
  <c r="AB32" i="2"/>
  <c r="AA32" i="2"/>
  <c r="Z32" i="2"/>
  <c r="Y32" i="2"/>
  <c r="X32" i="2"/>
  <c r="U32" i="2"/>
  <c r="T32" i="2"/>
  <c r="M32" i="2"/>
  <c r="L32" i="2"/>
  <c r="K32" i="2"/>
  <c r="I32" i="2"/>
  <c r="F32" i="2"/>
  <c r="E32" i="2"/>
  <c r="D32" i="2"/>
  <c r="BM31" i="2"/>
  <c r="BL31" i="2"/>
  <c r="BK31" i="2"/>
  <c r="BI31" i="2"/>
  <c r="BH31" i="2"/>
  <c r="BG31" i="2"/>
  <c r="BF31" i="2"/>
  <c r="BE31" i="2"/>
  <c r="BD31" i="2"/>
  <c r="BC31" i="2"/>
  <c r="BB31" i="2"/>
  <c r="AY31" i="2"/>
  <c r="AX31" i="2"/>
  <c r="AW31" i="2"/>
  <c r="AV31" i="2"/>
  <c r="AU31" i="2"/>
  <c r="AT31" i="2"/>
  <c r="AS31" i="2"/>
  <c r="BA31" i="2" s="1"/>
  <c r="AR31" i="2"/>
  <c r="AQ31" i="2"/>
  <c r="AO31" i="2"/>
  <c r="AN31" i="2"/>
  <c r="AM31" i="2"/>
  <c r="AL31" i="2"/>
  <c r="AK31" i="2"/>
  <c r="AJ31" i="2"/>
  <c r="AI31" i="2"/>
  <c r="AH31" i="2"/>
  <c r="AE31" i="2"/>
  <c r="AD31" i="2"/>
  <c r="AC31" i="2"/>
  <c r="AB31" i="2"/>
  <c r="AA31" i="2"/>
  <c r="AG31" i="2" s="1"/>
  <c r="Z31" i="2"/>
  <c r="Y31" i="2"/>
  <c r="X31" i="2"/>
  <c r="U31" i="2"/>
  <c r="T31" i="2"/>
  <c r="M31" i="2"/>
  <c r="L31" i="2"/>
  <c r="K31" i="2"/>
  <c r="I31" i="2"/>
  <c r="F31" i="2"/>
  <c r="E31" i="2"/>
  <c r="D31" i="2"/>
  <c r="BM30" i="2"/>
  <c r="BL30" i="2"/>
  <c r="BI30" i="2"/>
  <c r="BH30" i="2"/>
  <c r="BG30" i="2"/>
  <c r="BF30" i="2"/>
  <c r="BE30" i="2"/>
  <c r="BK30" i="2" s="1"/>
  <c r="BD30" i="2"/>
  <c r="BC30" i="2"/>
  <c r="BB30" i="2"/>
  <c r="BA30" i="2"/>
  <c r="AY30" i="2"/>
  <c r="AX30" i="2"/>
  <c r="AW30" i="2"/>
  <c r="AV30" i="2"/>
  <c r="AU30" i="2"/>
  <c r="AT30" i="2"/>
  <c r="AS30" i="2"/>
  <c r="AR30" i="2"/>
  <c r="AO30" i="2"/>
  <c r="AN30" i="2"/>
  <c r="AM30" i="2"/>
  <c r="AL30" i="2"/>
  <c r="AK30" i="2"/>
  <c r="AJ30" i="2"/>
  <c r="AI30" i="2"/>
  <c r="AQ30" i="2" s="1"/>
  <c r="AH30" i="2"/>
  <c r="AG30" i="2"/>
  <c r="AE30" i="2"/>
  <c r="AD30" i="2"/>
  <c r="AC30" i="2"/>
  <c r="AB30" i="2"/>
  <c r="AA30" i="2"/>
  <c r="Z30" i="2"/>
  <c r="Y30" i="2"/>
  <c r="X30" i="2"/>
  <c r="U30" i="2"/>
  <c r="T30" i="2"/>
  <c r="M30" i="2"/>
  <c r="L30" i="2"/>
  <c r="K30" i="2"/>
  <c r="I30" i="2"/>
  <c r="F30" i="2"/>
  <c r="E30" i="2"/>
  <c r="D30" i="2"/>
  <c r="BK29" i="2"/>
  <c r="BI29" i="2"/>
  <c r="BH29" i="2"/>
  <c r="BG29" i="2"/>
  <c r="BF29" i="2"/>
  <c r="BE29" i="2"/>
  <c r="BD29" i="2"/>
  <c r="BC29" i="2"/>
  <c r="BB29" i="2"/>
  <c r="AY29" i="2"/>
  <c r="AX29" i="2"/>
  <c r="AW29" i="2"/>
  <c r="AV29" i="2"/>
  <c r="AU29" i="2"/>
  <c r="BA29" i="2" s="1"/>
  <c r="AT29" i="2"/>
  <c r="AS29" i="2"/>
  <c r="AR29" i="2"/>
  <c r="AQ29" i="2"/>
  <c r="AO29" i="2"/>
  <c r="AN29" i="2"/>
  <c r="AM29" i="2"/>
  <c r="AL29" i="2"/>
  <c r="AK29" i="2"/>
  <c r="AJ29" i="2"/>
  <c r="AI29" i="2"/>
  <c r="AH29" i="2"/>
  <c r="AE29" i="2"/>
  <c r="AD29" i="2"/>
  <c r="AC29" i="2"/>
  <c r="AB29" i="2"/>
  <c r="AA29" i="2"/>
  <c r="Z29" i="2"/>
  <c r="Y29" i="2"/>
  <c r="AG29" i="2" s="1"/>
  <c r="X29" i="2"/>
  <c r="U29" i="2"/>
  <c r="T29" i="2"/>
  <c r="M29" i="2"/>
  <c r="BL29" i="2" s="1"/>
  <c r="L29" i="2"/>
  <c r="K29" i="2"/>
  <c r="I29" i="2"/>
  <c r="F29" i="2"/>
  <c r="E29" i="2"/>
  <c r="D29" i="2"/>
  <c r="BM28" i="2"/>
  <c r="BL28" i="2"/>
  <c r="BI28" i="2"/>
  <c r="BH28" i="2"/>
  <c r="BG28" i="2"/>
  <c r="BF28" i="2"/>
  <c r="BE28" i="2"/>
  <c r="BD28" i="2"/>
  <c r="BC28" i="2"/>
  <c r="BK28" i="2" s="1"/>
  <c r="BB28" i="2"/>
  <c r="BA28" i="2"/>
  <c r="AY28" i="2"/>
  <c r="AX28" i="2"/>
  <c r="AW28" i="2"/>
  <c r="AV28" i="2"/>
  <c r="AU28" i="2"/>
  <c r="AT28" i="2"/>
  <c r="AS28" i="2"/>
  <c r="AR28" i="2"/>
  <c r="AO28" i="2"/>
  <c r="AN28" i="2"/>
  <c r="AM28" i="2"/>
  <c r="AL28" i="2"/>
  <c r="AK28" i="2"/>
  <c r="AQ28" i="2" s="1"/>
  <c r="AJ28" i="2"/>
  <c r="AI28" i="2"/>
  <c r="AH28" i="2"/>
  <c r="AG28" i="2"/>
  <c r="AE28" i="2"/>
  <c r="AD28" i="2"/>
  <c r="AC28" i="2"/>
  <c r="AB28" i="2"/>
  <c r="AA28" i="2"/>
  <c r="Z28" i="2"/>
  <c r="Y28" i="2"/>
  <c r="X28" i="2"/>
  <c r="U28" i="2"/>
  <c r="T28" i="2"/>
  <c r="M28" i="2"/>
  <c r="L28" i="2"/>
  <c r="K28" i="2"/>
  <c r="I28" i="2"/>
  <c r="F28" i="2"/>
  <c r="E28" i="2"/>
  <c r="D28" i="2"/>
  <c r="BM27" i="2"/>
  <c r="BL27" i="2"/>
  <c r="BK27" i="2"/>
  <c r="BI27" i="2"/>
  <c r="BH27" i="2"/>
  <c r="BG27" i="2"/>
  <c r="BF27" i="2"/>
  <c r="BE27" i="2"/>
  <c r="BD27" i="2"/>
  <c r="BC27" i="2"/>
  <c r="BB27" i="2"/>
  <c r="AY27" i="2"/>
  <c r="AX27" i="2"/>
  <c r="AW27" i="2"/>
  <c r="AV27" i="2"/>
  <c r="AU27" i="2"/>
  <c r="AT27" i="2"/>
  <c r="AS27" i="2"/>
  <c r="BA27" i="2" s="1"/>
  <c r="AR27" i="2"/>
  <c r="AQ27" i="2"/>
  <c r="AO27" i="2"/>
  <c r="AN27" i="2"/>
  <c r="AM27" i="2"/>
  <c r="AL27" i="2"/>
  <c r="AK27" i="2"/>
  <c r="AJ27" i="2"/>
  <c r="AI27" i="2"/>
  <c r="AH27" i="2"/>
  <c r="AE27" i="2"/>
  <c r="AD27" i="2"/>
  <c r="AC27" i="2"/>
  <c r="AB27" i="2"/>
  <c r="AA27" i="2"/>
  <c r="AG27" i="2" s="1"/>
  <c r="Z27" i="2"/>
  <c r="Y27" i="2"/>
  <c r="X27" i="2"/>
  <c r="U27" i="2"/>
  <c r="T27" i="2"/>
  <c r="M27" i="2"/>
  <c r="L27" i="2"/>
  <c r="K27" i="2"/>
  <c r="I27" i="2"/>
  <c r="F27" i="2"/>
  <c r="E27" i="2"/>
  <c r="D27" i="2"/>
  <c r="BM26" i="2"/>
  <c r="BL26" i="2"/>
  <c r="BI26" i="2"/>
  <c r="BH26" i="2"/>
  <c r="BG26" i="2"/>
  <c r="BF26" i="2"/>
  <c r="BE26" i="2"/>
  <c r="BK26" i="2" s="1"/>
  <c r="BD26" i="2"/>
  <c r="BC26" i="2"/>
  <c r="BB26" i="2"/>
  <c r="BA26" i="2"/>
  <c r="AY26" i="2"/>
  <c r="AX26" i="2"/>
  <c r="AW26" i="2"/>
  <c r="AV26" i="2"/>
  <c r="AU26" i="2"/>
  <c r="AT26" i="2"/>
  <c r="AS26" i="2"/>
  <c r="AR26" i="2"/>
  <c r="AO26" i="2"/>
  <c r="AN26" i="2"/>
  <c r="AM26" i="2"/>
  <c r="AL26" i="2"/>
  <c r="AK26" i="2"/>
  <c r="AJ26" i="2"/>
  <c r="AI26" i="2"/>
  <c r="AQ26" i="2" s="1"/>
  <c r="AH26" i="2"/>
  <c r="AG26" i="2"/>
  <c r="AE26" i="2"/>
  <c r="AD26" i="2"/>
  <c r="AC26" i="2"/>
  <c r="AB26" i="2"/>
  <c r="AA26" i="2"/>
  <c r="Z26" i="2"/>
  <c r="Y26" i="2"/>
  <c r="X26" i="2"/>
  <c r="U26" i="2"/>
  <c r="T26" i="2"/>
  <c r="M26" i="2"/>
  <c r="L26" i="2"/>
  <c r="K26" i="2"/>
  <c r="I26" i="2"/>
  <c r="F26" i="2"/>
  <c r="E26" i="2"/>
  <c r="D26" i="2"/>
  <c r="BK25" i="2"/>
  <c r="BI25" i="2"/>
  <c r="BH25" i="2"/>
  <c r="BG25" i="2"/>
  <c r="BF25" i="2"/>
  <c r="BE25" i="2"/>
  <c r="BD25" i="2"/>
  <c r="BC25" i="2"/>
  <c r="BB25" i="2"/>
  <c r="AY25" i="2"/>
  <c r="AX25" i="2"/>
  <c r="AW25" i="2"/>
  <c r="AV25" i="2"/>
  <c r="AU25" i="2"/>
  <c r="BA25" i="2" s="1"/>
  <c r="AT25" i="2"/>
  <c r="AS25" i="2"/>
  <c r="AR25" i="2"/>
  <c r="AQ25" i="2"/>
  <c r="AO25" i="2"/>
  <c r="AN25" i="2"/>
  <c r="AM25" i="2"/>
  <c r="AL25" i="2"/>
  <c r="AK25" i="2"/>
  <c r="AJ25" i="2"/>
  <c r="AI25" i="2"/>
  <c r="AH25" i="2"/>
  <c r="AE25" i="2"/>
  <c r="AD25" i="2"/>
  <c r="AC25" i="2"/>
  <c r="AB25" i="2"/>
  <c r="AA25" i="2"/>
  <c r="Z25" i="2"/>
  <c r="Y25" i="2"/>
  <c r="AG25" i="2" s="1"/>
  <c r="X25" i="2"/>
  <c r="U25" i="2"/>
  <c r="T25" i="2"/>
  <c r="M25" i="2"/>
  <c r="BL25" i="2" s="1"/>
  <c r="L25" i="2"/>
  <c r="K25" i="2"/>
  <c r="I25" i="2"/>
  <c r="F25" i="2"/>
  <c r="E25" i="2"/>
  <c r="D25" i="2"/>
  <c r="BM24" i="2"/>
  <c r="BL24" i="2"/>
  <c r="BI24" i="2"/>
  <c r="BH24" i="2"/>
  <c r="BG24" i="2"/>
  <c r="BF24" i="2"/>
  <c r="BE24" i="2"/>
  <c r="BD24" i="2"/>
  <c r="BC24" i="2"/>
  <c r="BK24" i="2" s="1"/>
  <c r="BB24" i="2"/>
  <c r="BA24" i="2"/>
  <c r="AY24" i="2"/>
  <c r="AX24" i="2"/>
  <c r="AW24" i="2"/>
  <c r="AV24" i="2"/>
  <c r="AU24" i="2"/>
  <c r="AT24" i="2"/>
  <c r="AS24" i="2"/>
  <c r="AR24" i="2"/>
  <c r="AO24" i="2"/>
  <c r="AN24" i="2"/>
  <c r="AM24" i="2"/>
  <c r="AL24" i="2"/>
  <c r="AK24" i="2"/>
  <c r="AQ24" i="2" s="1"/>
  <c r="AJ24" i="2"/>
  <c r="AI24" i="2"/>
  <c r="AH24" i="2"/>
  <c r="AG24" i="2"/>
  <c r="AE24" i="2"/>
  <c r="AD24" i="2"/>
  <c r="AC24" i="2"/>
  <c r="AB24" i="2"/>
  <c r="AA24" i="2"/>
  <c r="Z24" i="2"/>
  <c r="Y24" i="2"/>
  <c r="X24" i="2"/>
  <c r="U24" i="2"/>
  <c r="T24" i="2"/>
  <c r="M24" i="2"/>
  <c r="L24" i="2"/>
  <c r="K24" i="2"/>
  <c r="I24" i="2"/>
  <c r="F24" i="2"/>
  <c r="E24" i="2"/>
  <c r="D24" i="2"/>
  <c r="BM23" i="2"/>
  <c r="BL23" i="2"/>
  <c r="BK23" i="2"/>
  <c r="BI23" i="2"/>
  <c r="BH23" i="2"/>
  <c r="BG23" i="2"/>
  <c r="BF23" i="2"/>
  <c r="BE23" i="2"/>
  <c r="BD23" i="2"/>
  <c r="BC23" i="2"/>
  <c r="BB23" i="2"/>
  <c r="AY23" i="2"/>
  <c r="AX23" i="2"/>
  <c r="AW23" i="2"/>
  <c r="AV23" i="2"/>
  <c r="AU23" i="2"/>
  <c r="AT23" i="2"/>
  <c r="AS23" i="2"/>
  <c r="BA23" i="2" s="1"/>
  <c r="AR23" i="2"/>
  <c r="AQ23" i="2"/>
  <c r="AO23" i="2"/>
  <c r="AN23" i="2"/>
  <c r="AM23" i="2"/>
  <c r="AL23" i="2"/>
  <c r="AK23" i="2"/>
  <c r="AJ23" i="2"/>
  <c r="AI23" i="2"/>
  <c r="AH23" i="2"/>
  <c r="AE23" i="2"/>
  <c r="AD23" i="2"/>
  <c r="AC23" i="2"/>
  <c r="AB23" i="2"/>
  <c r="AA23" i="2"/>
  <c r="AG23" i="2" s="1"/>
  <c r="Z23" i="2"/>
  <c r="Y23" i="2"/>
  <c r="X23" i="2"/>
  <c r="U23" i="2"/>
  <c r="T23" i="2"/>
  <c r="M23" i="2"/>
  <c r="L23" i="2"/>
  <c r="K23" i="2"/>
  <c r="I23" i="2"/>
  <c r="F23" i="2"/>
  <c r="E23" i="2"/>
  <c r="D23" i="2"/>
  <c r="BM22" i="2"/>
  <c r="BL22" i="2"/>
  <c r="BI22" i="2"/>
  <c r="BH22" i="2"/>
  <c r="BG22" i="2"/>
  <c r="BF22" i="2"/>
  <c r="BE22" i="2"/>
  <c r="BK22" i="2" s="1"/>
  <c r="BD22" i="2"/>
  <c r="BC22" i="2"/>
  <c r="BB22" i="2"/>
  <c r="BA22" i="2"/>
  <c r="AY22" i="2"/>
  <c r="AX22" i="2"/>
  <c r="AW22" i="2"/>
  <c r="AV22" i="2"/>
  <c r="AU22" i="2"/>
  <c r="AT22" i="2"/>
  <c r="AS22" i="2"/>
  <c r="AR22" i="2"/>
  <c r="AO22" i="2"/>
  <c r="AN22" i="2"/>
  <c r="AM22" i="2"/>
  <c r="AL22" i="2"/>
  <c r="AK22" i="2"/>
  <c r="AJ22" i="2"/>
  <c r="AI22" i="2"/>
  <c r="AQ22" i="2" s="1"/>
  <c r="AH22" i="2"/>
  <c r="AG22" i="2"/>
  <c r="AE22" i="2"/>
  <c r="AD22" i="2"/>
  <c r="AC22" i="2"/>
  <c r="AB22" i="2"/>
  <c r="AA22" i="2"/>
  <c r="Z22" i="2"/>
  <c r="Y22" i="2"/>
  <c r="X22" i="2"/>
  <c r="U22" i="2"/>
  <c r="T22" i="2"/>
  <c r="M22" i="2"/>
  <c r="L22" i="2"/>
  <c r="K22" i="2"/>
  <c r="I22" i="2"/>
  <c r="F22" i="2"/>
  <c r="E22" i="2"/>
  <c r="D22" i="2"/>
  <c r="BK21" i="2"/>
  <c r="BI21" i="2"/>
  <c r="BH21" i="2"/>
  <c r="BG21" i="2"/>
  <c r="BF21" i="2"/>
  <c r="BE21" i="2"/>
  <c r="BD21" i="2"/>
  <c r="BC21" i="2"/>
  <c r="BB21" i="2"/>
  <c r="AY21" i="2"/>
  <c r="AX21" i="2"/>
  <c r="AW21" i="2"/>
  <c r="AV21" i="2"/>
  <c r="AU21" i="2"/>
  <c r="BA21" i="2" s="1"/>
  <c r="AT21" i="2"/>
  <c r="AS21" i="2"/>
  <c r="AR21" i="2"/>
  <c r="AQ21" i="2"/>
  <c r="AO21" i="2"/>
  <c r="AN21" i="2"/>
  <c r="AM21" i="2"/>
  <c r="AL21" i="2"/>
  <c r="AK21" i="2"/>
  <c r="AJ21" i="2"/>
  <c r="AI21" i="2"/>
  <c r="AH21" i="2"/>
  <c r="AE21" i="2"/>
  <c r="AD21" i="2"/>
  <c r="AC21" i="2"/>
  <c r="AB21" i="2"/>
  <c r="AA21" i="2"/>
  <c r="Z21" i="2"/>
  <c r="Y21" i="2"/>
  <c r="AG21" i="2" s="1"/>
  <c r="X21" i="2"/>
  <c r="U21" i="2"/>
  <c r="T21" i="2"/>
  <c r="M21" i="2"/>
  <c r="BL21" i="2" s="1"/>
  <c r="L21" i="2"/>
  <c r="K21" i="2"/>
  <c r="I21" i="2"/>
  <c r="F21" i="2"/>
  <c r="E21" i="2"/>
  <c r="D21" i="2"/>
  <c r="BM20" i="2"/>
  <c r="BL20" i="2"/>
  <c r="BI20" i="2"/>
  <c r="BH20" i="2"/>
  <c r="BG20" i="2"/>
  <c r="BF20" i="2"/>
  <c r="BE20" i="2"/>
  <c r="BD20" i="2"/>
  <c r="BC20" i="2"/>
  <c r="BK20" i="2" s="1"/>
  <c r="BB20" i="2"/>
  <c r="BA20" i="2"/>
  <c r="AY20" i="2"/>
  <c r="AX20" i="2"/>
  <c r="AW20" i="2"/>
  <c r="AV20" i="2"/>
  <c r="AU20" i="2"/>
  <c r="AT20" i="2"/>
  <c r="AS20" i="2"/>
  <c r="AR20" i="2"/>
  <c r="AO20" i="2"/>
  <c r="AN20" i="2"/>
  <c r="AM20" i="2"/>
  <c r="AL20" i="2"/>
  <c r="AK20" i="2"/>
  <c r="AQ20" i="2" s="1"/>
  <c r="AJ20" i="2"/>
  <c r="AI20" i="2"/>
  <c r="AH20" i="2"/>
  <c r="AG20" i="2"/>
  <c r="AE20" i="2"/>
  <c r="AD20" i="2"/>
  <c r="AC20" i="2"/>
  <c r="AB20" i="2"/>
  <c r="AA20" i="2"/>
  <c r="Z20" i="2"/>
  <c r="Y20" i="2"/>
  <c r="X20" i="2"/>
  <c r="U20" i="2"/>
  <c r="T20" i="2"/>
  <c r="M20" i="2"/>
  <c r="L20" i="2"/>
  <c r="K20" i="2"/>
  <c r="I20" i="2"/>
  <c r="F20" i="2"/>
  <c r="E20" i="2"/>
  <c r="D20" i="2"/>
  <c r="BM19" i="2"/>
  <c r="BL19" i="2"/>
  <c r="BK19" i="2"/>
  <c r="BI19" i="2"/>
  <c r="BH19" i="2"/>
  <c r="BG19" i="2"/>
  <c r="BF19" i="2"/>
  <c r="BE19" i="2"/>
  <c r="BD19" i="2"/>
  <c r="BC19" i="2"/>
  <c r="BB19" i="2"/>
  <c r="AY19" i="2"/>
  <c r="AX19" i="2"/>
  <c r="AW19" i="2"/>
  <c r="AV19" i="2"/>
  <c r="AU19" i="2"/>
  <c r="AT19" i="2"/>
  <c r="AS19" i="2"/>
  <c r="BA19" i="2" s="1"/>
  <c r="AR19" i="2"/>
  <c r="AQ19" i="2"/>
  <c r="AO19" i="2"/>
  <c r="AN19" i="2"/>
  <c r="AM19" i="2"/>
  <c r="AL19" i="2"/>
  <c r="AK19" i="2"/>
  <c r="AJ19" i="2"/>
  <c r="AI19" i="2"/>
  <c r="AH19" i="2"/>
  <c r="AE19" i="2"/>
  <c r="AD19" i="2"/>
  <c r="AC19" i="2"/>
  <c r="AB19" i="2"/>
  <c r="AA19" i="2"/>
  <c r="AG19" i="2" s="1"/>
  <c r="Z19" i="2"/>
  <c r="Y19" i="2"/>
  <c r="X19" i="2"/>
  <c r="U19" i="2"/>
  <c r="T19" i="2"/>
  <c r="M19" i="2"/>
  <c r="L19" i="2"/>
  <c r="K19" i="2"/>
  <c r="I19" i="2"/>
  <c r="F19" i="2"/>
  <c r="E19" i="2"/>
  <c r="D19" i="2"/>
  <c r="BM18" i="2"/>
  <c r="BL18" i="2"/>
  <c r="BI18" i="2"/>
  <c r="BH18" i="2"/>
  <c r="BG18" i="2"/>
  <c r="BF18" i="2"/>
  <c r="BE18" i="2"/>
  <c r="BK18" i="2" s="1"/>
  <c r="BD18" i="2"/>
  <c r="BC18" i="2"/>
  <c r="BB18" i="2"/>
  <c r="BA18" i="2"/>
  <c r="AY18" i="2"/>
  <c r="AX18" i="2"/>
  <c r="AW18" i="2"/>
  <c r="AV18" i="2"/>
  <c r="AU18" i="2"/>
  <c r="AT18" i="2"/>
  <c r="AS18" i="2"/>
  <c r="AR18" i="2"/>
  <c r="AO18" i="2"/>
  <c r="AN18" i="2"/>
  <c r="AM18" i="2"/>
  <c r="AL18" i="2"/>
  <c r="AK18" i="2"/>
  <c r="AJ18" i="2"/>
  <c r="AI18" i="2"/>
  <c r="AQ18" i="2" s="1"/>
  <c r="AH18" i="2"/>
  <c r="AE18" i="2"/>
  <c r="AD18" i="2"/>
  <c r="AC18" i="2"/>
  <c r="AB18" i="2"/>
  <c r="AA18" i="2"/>
  <c r="AG18" i="2" s="1"/>
  <c r="Z18" i="2"/>
  <c r="Y18" i="2"/>
  <c r="X18" i="2"/>
  <c r="U18" i="2"/>
  <c r="T18" i="2"/>
  <c r="M18" i="2"/>
  <c r="L18" i="2"/>
  <c r="K18" i="2"/>
  <c r="I18" i="2"/>
  <c r="F18" i="2"/>
  <c r="E18" i="2"/>
  <c r="D18" i="2"/>
  <c r="BI17" i="2"/>
  <c r="BH17" i="2"/>
  <c r="BG17" i="2"/>
  <c r="BF17" i="2"/>
  <c r="BE17" i="2"/>
  <c r="BK17" i="2" s="1"/>
  <c r="BD17" i="2"/>
  <c r="BC17" i="2"/>
  <c r="BB17" i="2"/>
  <c r="AY17" i="2"/>
  <c r="AX17" i="2"/>
  <c r="AW17" i="2"/>
  <c r="AV17" i="2"/>
  <c r="AU17" i="2"/>
  <c r="BA17" i="2" s="1"/>
  <c r="AT17" i="2"/>
  <c r="AS17" i="2"/>
  <c r="AR17" i="2"/>
  <c r="AQ17" i="2"/>
  <c r="AO17" i="2"/>
  <c r="AN17" i="2"/>
  <c r="AM17" i="2"/>
  <c r="AL17" i="2"/>
  <c r="AK17" i="2"/>
  <c r="AJ17" i="2"/>
  <c r="AI17" i="2"/>
  <c r="AH17" i="2"/>
  <c r="AE17" i="2"/>
  <c r="AD17" i="2"/>
  <c r="AC17" i="2"/>
  <c r="AB17" i="2"/>
  <c r="AA17" i="2"/>
  <c r="Z17" i="2"/>
  <c r="Y17" i="2"/>
  <c r="AG17" i="2" s="1"/>
  <c r="X17" i="2"/>
  <c r="U17" i="2"/>
  <c r="T17" i="2"/>
  <c r="M17" i="2"/>
  <c r="BL17" i="2" s="1"/>
  <c r="L17" i="2"/>
  <c r="K17" i="2"/>
  <c r="I17" i="2"/>
  <c r="F17" i="2"/>
  <c r="E17" i="2"/>
  <c r="D17" i="2"/>
  <c r="BL16" i="2"/>
  <c r="BI16" i="2"/>
  <c r="BH16" i="2"/>
  <c r="BG16" i="2"/>
  <c r="BF16" i="2"/>
  <c r="BE16" i="2"/>
  <c r="BD16" i="2"/>
  <c r="BC16" i="2"/>
  <c r="BK16" i="2" s="1"/>
  <c r="BB16" i="2"/>
  <c r="AY16" i="2"/>
  <c r="AX16" i="2"/>
  <c r="AW16" i="2"/>
  <c r="AV16" i="2"/>
  <c r="AU16" i="2"/>
  <c r="BA16" i="2" s="1"/>
  <c r="AT16" i="2"/>
  <c r="AS16" i="2"/>
  <c r="AR16" i="2"/>
  <c r="AO16" i="2"/>
  <c r="AN16" i="2"/>
  <c r="AM16" i="2"/>
  <c r="AL16" i="2"/>
  <c r="AK16" i="2"/>
  <c r="AQ16" i="2" s="1"/>
  <c r="AJ16" i="2"/>
  <c r="AI16" i="2"/>
  <c r="AH16" i="2"/>
  <c r="AG16" i="2"/>
  <c r="AE16" i="2"/>
  <c r="AD16" i="2"/>
  <c r="AC16" i="2"/>
  <c r="AB16" i="2"/>
  <c r="AA16" i="2"/>
  <c r="Z16" i="2"/>
  <c r="Y16" i="2"/>
  <c r="X16" i="2"/>
  <c r="U16" i="2"/>
  <c r="T16" i="2"/>
  <c r="M16" i="2"/>
  <c r="BM16" i="2" s="1"/>
  <c r="L16" i="2"/>
  <c r="K16" i="2"/>
  <c r="I16" i="2"/>
  <c r="F16" i="2"/>
  <c r="E16" i="2"/>
  <c r="D16" i="2"/>
  <c r="BM15" i="2"/>
  <c r="BL15" i="2"/>
  <c r="BK15" i="2"/>
  <c r="BI15" i="2"/>
  <c r="BH15" i="2"/>
  <c r="BG15" i="2"/>
  <c r="BF15" i="2"/>
  <c r="BE15" i="2"/>
  <c r="BD15" i="2"/>
  <c r="BC15" i="2"/>
  <c r="BB15" i="2"/>
  <c r="AY15" i="2"/>
  <c r="AX15" i="2"/>
  <c r="AW15" i="2"/>
  <c r="AV15" i="2"/>
  <c r="AU15" i="2"/>
  <c r="AT15" i="2"/>
  <c r="AS15" i="2"/>
  <c r="BA15" i="2" s="1"/>
  <c r="AR15" i="2"/>
  <c r="AO15" i="2"/>
  <c r="AN15" i="2"/>
  <c r="AM15" i="2"/>
  <c r="AL15" i="2"/>
  <c r="AK15" i="2"/>
  <c r="AQ15" i="2" s="1"/>
  <c r="AJ15" i="2"/>
  <c r="AI15" i="2"/>
  <c r="AH15" i="2"/>
  <c r="AE15" i="2"/>
  <c r="AD15" i="2"/>
  <c r="AC15" i="2"/>
  <c r="AB15" i="2"/>
  <c r="AA15" i="2"/>
  <c r="AG15" i="2" s="1"/>
  <c r="Z15" i="2"/>
  <c r="Y15" i="2"/>
  <c r="X15" i="2"/>
  <c r="U15" i="2"/>
  <c r="T15" i="2"/>
  <c r="M15" i="2"/>
  <c r="L15" i="2"/>
  <c r="K15" i="2"/>
  <c r="I15" i="2"/>
  <c r="F15" i="2"/>
  <c r="E15" i="2"/>
  <c r="D15" i="2"/>
  <c r="BM14" i="2"/>
  <c r="BL14" i="2"/>
  <c r="BI14" i="2"/>
  <c r="BH14" i="2"/>
  <c r="BG14" i="2"/>
  <c r="BF14" i="2"/>
  <c r="BE14" i="2"/>
  <c r="BK14" i="2" s="1"/>
  <c r="BD14" i="2"/>
  <c r="BC14" i="2"/>
  <c r="BB14" i="2"/>
  <c r="BA14" i="2"/>
  <c r="AY14" i="2"/>
  <c r="AX14" i="2"/>
  <c r="AW14" i="2"/>
  <c r="AV14" i="2"/>
  <c r="AU14" i="2"/>
  <c r="AT14" i="2"/>
  <c r="AS14" i="2"/>
  <c r="AR14" i="2"/>
  <c r="AO14" i="2"/>
  <c r="AN14" i="2"/>
  <c r="AM14" i="2"/>
  <c r="AL14" i="2"/>
  <c r="AK14" i="2"/>
  <c r="AJ14" i="2"/>
  <c r="AI14" i="2"/>
  <c r="AQ14" i="2" s="1"/>
  <c r="AH14" i="2"/>
  <c r="AE14" i="2"/>
  <c r="AD14" i="2"/>
  <c r="AC14" i="2"/>
  <c r="AB14" i="2"/>
  <c r="AA14" i="2"/>
  <c r="AG14" i="2" s="1"/>
  <c r="Z14" i="2"/>
  <c r="Y14" i="2"/>
  <c r="X14" i="2"/>
  <c r="U14" i="2"/>
  <c r="T14" i="2"/>
  <c r="M14" i="2"/>
  <c r="L14" i="2"/>
  <c r="K14" i="2"/>
  <c r="I14" i="2"/>
  <c r="F14" i="2"/>
  <c r="E14" i="2"/>
  <c r="D14" i="2"/>
  <c r="BI13" i="2"/>
  <c r="BH13" i="2"/>
  <c r="BG13" i="2"/>
  <c r="BF13" i="2"/>
  <c r="BE13" i="2"/>
  <c r="BK13" i="2" s="1"/>
  <c r="BD13" i="2"/>
  <c r="BC13" i="2"/>
  <c r="BB13" i="2"/>
  <c r="AY13" i="2"/>
  <c r="AX13" i="2"/>
  <c r="AW13" i="2"/>
  <c r="AV13" i="2"/>
  <c r="AU13" i="2"/>
  <c r="BA13" i="2" s="1"/>
  <c r="AT13" i="2"/>
  <c r="AS13" i="2"/>
  <c r="AR13" i="2"/>
  <c r="AQ13" i="2"/>
  <c r="AO13" i="2"/>
  <c r="AN13" i="2"/>
  <c r="AM13" i="2"/>
  <c r="AL13" i="2"/>
  <c r="AK13" i="2"/>
  <c r="AJ13" i="2"/>
  <c r="AI13" i="2"/>
  <c r="AH13" i="2"/>
  <c r="AE13" i="2"/>
  <c r="AD13" i="2"/>
  <c r="AC13" i="2"/>
  <c r="AB13" i="2"/>
  <c r="AA13" i="2"/>
  <c r="Z13" i="2"/>
  <c r="Y13" i="2"/>
  <c r="AG13" i="2" s="1"/>
  <c r="X13" i="2"/>
  <c r="U13" i="2"/>
  <c r="T13" i="2"/>
  <c r="M13" i="2"/>
  <c r="BL13" i="2" s="1"/>
  <c r="L13" i="2"/>
  <c r="K13" i="2"/>
  <c r="I13" i="2"/>
  <c r="F13" i="2"/>
  <c r="E13" i="2"/>
  <c r="D13" i="2"/>
  <c r="BM13" i="2" l="1"/>
  <c r="BM17" i="2"/>
  <c r="BM45" i="2"/>
  <c r="BM37" i="2"/>
  <c r="BM21" i="2"/>
  <c r="BM25" i="2"/>
  <c r="BM29" i="2"/>
  <c r="BM33" i="2"/>
  <c r="BM41" i="2"/>
  <c r="V45" i="2"/>
  <c r="W45" i="2"/>
  <c r="AF45" i="2"/>
  <c r="AP45" i="2"/>
  <c r="AZ45" i="2"/>
  <c r="BJ45" i="2"/>
  <c r="BO45" i="2" l="1"/>
  <c r="AP44" i="2"/>
  <c r="BP45" i="2" l="1"/>
  <c r="BN45" i="2"/>
  <c r="BO36" i="2" l="1"/>
  <c r="BJ36" i="2"/>
  <c r="V31" i="2"/>
  <c r="W31" i="2"/>
  <c r="V32" i="2"/>
  <c r="W32" i="2"/>
  <c r="V33" i="2"/>
  <c r="W33" i="2"/>
  <c r="AP34" i="2"/>
  <c r="V34" i="2"/>
  <c r="W34" i="2"/>
  <c r="AP35" i="2"/>
  <c r="V35" i="2"/>
  <c r="W35" i="2"/>
  <c r="AP36" i="2"/>
  <c r="V36" i="2"/>
  <c r="W36" i="2"/>
  <c r="AZ36" i="2"/>
  <c r="V37" i="2"/>
  <c r="W37" i="2"/>
  <c r="V38" i="2"/>
  <c r="W38" i="2"/>
  <c r="AZ38" i="2"/>
  <c r="V39" i="2"/>
  <c r="W39" i="2"/>
  <c r="V40" i="2"/>
  <c r="W40" i="2"/>
  <c r="V41" i="2"/>
  <c r="W41" i="2"/>
  <c r="V42" i="2"/>
  <c r="W42" i="2"/>
  <c r="V43" i="2"/>
  <c r="W43" i="2"/>
  <c r="V44" i="2"/>
  <c r="W44" i="2"/>
  <c r="V46" i="2"/>
  <c r="W46" i="2"/>
  <c r="V14" i="2"/>
  <c r="W14" i="2"/>
  <c r="V15" i="2"/>
  <c r="W15" i="2"/>
  <c r="AF16" i="2"/>
  <c r="V16" i="2"/>
  <c r="W16" i="2"/>
  <c r="AF17" i="2"/>
  <c r="V17" i="2"/>
  <c r="W17" i="2"/>
  <c r="V18" i="2"/>
  <c r="W18" i="2"/>
  <c r="AP19" i="2"/>
  <c r="V19" i="2"/>
  <c r="W19" i="2"/>
  <c r="AZ19" i="2"/>
  <c r="AF20" i="2"/>
  <c r="V20" i="2"/>
  <c r="W20" i="2"/>
  <c r="AP21" i="2"/>
  <c r="V21" i="2"/>
  <c r="W21" i="2"/>
  <c r="AZ21" i="2"/>
  <c r="AP22" i="2"/>
  <c r="V22" i="2"/>
  <c r="W22" i="2"/>
  <c r="AP23" i="2"/>
  <c r="V23" i="2"/>
  <c r="W23" i="2"/>
  <c r="AP24" i="2"/>
  <c r="V24" i="2"/>
  <c r="W24" i="2"/>
  <c r="AP25" i="2"/>
  <c r="V25" i="2"/>
  <c r="W25" i="2"/>
  <c r="AP26" i="2"/>
  <c r="V26" i="2"/>
  <c r="W26" i="2"/>
  <c r="AP27" i="2"/>
  <c r="V27" i="2"/>
  <c r="W27" i="2"/>
  <c r="AZ27" i="2"/>
  <c r="AF28" i="2"/>
  <c r="V28" i="2"/>
  <c r="W28" i="2"/>
  <c r="V29" i="2"/>
  <c r="W29" i="2"/>
  <c r="V30" i="2"/>
  <c r="W30" i="2"/>
  <c r="W13" i="2"/>
  <c r="BL52" i="2"/>
  <c r="BL53" i="2"/>
  <c r="BL54" i="2"/>
  <c r="BL55" i="2"/>
  <c r="BL56" i="2"/>
  <c r="BL57" i="2"/>
  <c r="BL58" i="2"/>
  <c r="BL59" i="2"/>
  <c r="BL60" i="2"/>
  <c r="BL61" i="2"/>
  <c r="BL62" i="2"/>
  <c r="BL63" i="2"/>
  <c r="BL64" i="2"/>
  <c r="BL65" i="2"/>
  <c r="BL66" i="2"/>
  <c r="BL67" i="2"/>
  <c r="BL68" i="2"/>
  <c r="BL69" i="2"/>
  <c r="BL70" i="2"/>
  <c r="BL51" i="2"/>
  <c r="V13" i="2"/>
  <c r="AF27" i="2" l="1"/>
  <c r="AF19" i="2"/>
  <c r="BN26" i="2"/>
  <c r="BN35" i="2"/>
  <c r="BN23" i="2"/>
  <c r="AZ35" i="2"/>
  <c r="AF36" i="2"/>
  <c r="BN33" i="2"/>
  <c r="AZ28" i="2"/>
  <c r="AF44" i="2"/>
  <c r="BJ16" i="2"/>
  <c r="AZ16" i="2"/>
  <c r="BJ14" i="2"/>
  <c r="AP14" i="2"/>
  <c r="AZ23" i="2"/>
  <c r="BN22" i="2"/>
  <c r="BN21" i="2"/>
  <c r="AZ14" i="2"/>
  <c r="AF14" i="2"/>
  <c r="AF18" i="2"/>
  <c r="BJ17" i="2"/>
  <c r="AZ17" i="2"/>
  <c r="AF39" i="2"/>
  <c r="AF37" i="2"/>
  <c r="BN41" i="2"/>
  <c r="BN29" i="2"/>
  <c r="BN25" i="2"/>
  <c r="BN32" i="2"/>
  <c r="BN28" i="2"/>
  <c r="BN24" i="2"/>
  <c r="BN20" i="2"/>
  <c r="BN16" i="2"/>
  <c r="AZ26" i="2"/>
  <c r="AZ25" i="2"/>
  <c r="BN40" i="2"/>
  <c r="BN34" i="2"/>
  <c r="BN43" i="2"/>
  <c r="BN31" i="2"/>
  <c r="BN19" i="2"/>
  <c r="BN15" i="2"/>
  <c r="AF23" i="2"/>
  <c r="AP17" i="2"/>
  <c r="BN38" i="2"/>
  <c r="BN14" i="2"/>
  <c r="AZ24" i="2"/>
  <c r="AZ15" i="2"/>
  <c r="AZ39" i="2"/>
  <c r="AF15" i="2"/>
  <c r="AZ44" i="2"/>
  <c r="BN39" i="2"/>
  <c r="AZ37" i="2"/>
  <c r="AF26" i="2"/>
  <c r="AP16" i="2"/>
  <c r="BN37" i="2"/>
  <c r="BN36" i="2"/>
  <c r="AF34" i="2"/>
  <c r="AZ18" i="2"/>
  <c r="AF43" i="2"/>
  <c r="AF25" i="2"/>
  <c r="AF21" i="2"/>
  <c r="AZ20" i="2"/>
  <c r="BN46" i="2"/>
  <c r="AZ43" i="2"/>
  <c r="AF35" i="2"/>
  <c r="AZ34" i="2"/>
  <c r="AP43" i="2"/>
  <c r="AZ42" i="2"/>
  <c r="AZ41" i="2"/>
  <c r="AF41" i="2"/>
  <c r="AP42" i="2"/>
  <c r="AF42" i="2"/>
  <c r="AP41" i="2"/>
  <c r="AP40" i="2"/>
  <c r="AF40" i="2"/>
  <c r="AZ40" i="2"/>
  <c r="AP39" i="2"/>
  <c r="AP38" i="2"/>
  <c r="AF38" i="2"/>
  <c r="AP37" i="2"/>
  <c r="AP31" i="2"/>
  <c r="AF31" i="2"/>
  <c r="AZ31" i="2"/>
  <c r="BJ31" i="2"/>
  <c r="AZ33" i="2"/>
  <c r="AF33" i="2"/>
  <c r="AP33" i="2"/>
  <c r="AP32" i="2"/>
  <c r="BJ32" i="2"/>
  <c r="AF32" i="2"/>
  <c r="AZ32" i="2"/>
  <c r="AP30" i="2"/>
  <c r="AP29" i="2"/>
  <c r="AP46" i="2"/>
  <c r="BJ46" i="2"/>
  <c r="AF46" i="2"/>
  <c r="AZ46" i="2"/>
  <c r="BJ44" i="2"/>
  <c r="BJ43" i="2"/>
  <c r="BJ42" i="2"/>
  <c r="BJ41" i="2"/>
  <c r="BJ40" i="2"/>
  <c r="BJ39" i="2"/>
  <c r="BJ38" i="2"/>
  <c r="BJ37" i="2"/>
  <c r="BJ35" i="2"/>
  <c r="BJ34" i="2"/>
  <c r="BJ33" i="2"/>
  <c r="AP28" i="2"/>
  <c r="AP20" i="2"/>
  <c r="AP18" i="2"/>
  <c r="BJ15" i="2"/>
  <c r="AP15" i="2"/>
  <c r="AF24" i="2"/>
  <c r="AF22" i="2"/>
  <c r="AZ22" i="2"/>
  <c r="BN17" i="2"/>
  <c r="AF30" i="2"/>
  <c r="AZ30" i="2"/>
  <c r="AZ29" i="2"/>
  <c r="AF29" i="2"/>
  <c r="BJ30" i="2"/>
  <c r="BJ29" i="2"/>
  <c r="BJ28" i="2"/>
  <c r="BJ27" i="2"/>
  <c r="BJ26" i="2"/>
  <c r="BJ25" i="2"/>
  <c r="BJ24" i="2"/>
  <c r="BJ23" i="2"/>
  <c r="BJ22" i="2"/>
  <c r="BJ21" i="2"/>
  <c r="BJ20" i="2"/>
  <c r="BJ19" i="2"/>
  <c r="BJ18" i="2"/>
  <c r="BO25" i="2" l="1"/>
  <c r="BO16" i="2"/>
  <c r="BO15" i="2"/>
  <c r="BP15" i="2" s="1"/>
  <c r="BO19" i="2"/>
  <c r="BO40" i="2"/>
  <c r="BO46" i="2"/>
  <c r="BP46" i="2" s="1"/>
  <c r="BO41" i="2"/>
  <c r="BP41" i="2" s="1"/>
  <c r="BO22" i="2"/>
  <c r="BP22" i="2" s="1"/>
  <c r="BO43" i="2"/>
  <c r="BO24" i="2"/>
  <c r="BP24" i="2" s="1"/>
  <c r="BO20" i="2"/>
  <c r="BP20" i="2" s="1"/>
  <c r="BO32" i="2"/>
  <c r="BP32" i="2" s="1"/>
  <c r="BO33" i="2"/>
  <c r="BO44" i="2"/>
  <c r="BO23" i="2"/>
  <c r="BP23" i="2" s="1"/>
  <c r="BO17" i="2"/>
  <c r="BP17" i="2" s="1"/>
  <c r="BO27" i="2"/>
  <c r="BO38" i="2"/>
  <c r="BP38" i="2" s="1"/>
  <c r="BO29" i="2"/>
  <c r="BP29" i="2" s="1"/>
  <c r="BO28" i="2"/>
  <c r="BP28" i="2" s="1"/>
  <c r="BO35" i="2"/>
  <c r="BO21" i="2"/>
  <c r="BP21" i="2" s="1"/>
  <c r="BO34" i="2"/>
  <c r="BP34" i="2" s="1"/>
  <c r="BO26" i="2"/>
  <c r="BP26" i="2" s="1"/>
  <c r="BO37" i="2"/>
  <c r="BO18" i="2"/>
  <c r="BP18" i="2" s="1"/>
  <c r="BO30" i="2"/>
  <c r="BP30" i="2" s="1"/>
  <c r="BO31" i="2"/>
  <c r="BP31" i="2" s="1"/>
  <c r="BO42" i="2"/>
  <c r="BO39" i="2"/>
  <c r="BP39" i="2" s="1"/>
  <c r="BO14" i="2"/>
  <c r="BP14" i="2" s="1"/>
  <c r="BP19" i="2"/>
  <c r="BP16" i="2"/>
  <c r="BP36" i="2"/>
  <c r="BP35" i="2"/>
  <c r="BP25" i="2"/>
  <c r="BP43" i="2"/>
  <c r="BN30" i="2"/>
  <c r="BN42" i="2"/>
  <c r="BN44" i="2"/>
  <c r="BN18" i="2"/>
  <c r="BP27" i="2"/>
  <c r="BN27" i="2"/>
  <c r="BP44" i="2"/>
  <c r="BP42" i="2"/>
  <c r="BP40" i="2"/>
  <c r="BP37" i="2"/>
  <c r="BP33" i="2"/>
  <c r="BJ13" i="2"/>
  <c r="AZ13" i="2"/>
  <c r="AF13" i="2"/>
  <c r="AP13" i="2"/>
  <c r="F7" i="4"/>
  <c r="BL48" i="2" l="1"/>
  <c r="BO13" i="2"/>
  <c r="BP13" i="2" s="1"/>
  <c r="BP47" i="2" s="1"/>
  <c r="BN13" i="2"/>
  <c r="BN47" i="2" s="1"/>
</calcChain>
</file>

<file path=xl/sharedStrings.xml><?xml version="1.0" encoding="utf-8"?>
<sst xmlns="http://schemas.openxmlformats.org/spreadsheetml/2006/main" count="377" uniqueCount="258">
  <si>
    <t>Código:</t>
  </si>
  <si>
    <t>Versión:</t>
  </si>
  <si>
    <t>Página:</t>
  </si>
  <si>
    <t>2 de 3</t>
  </si>
  <si>
    <t>Vigente desde:</t>
  </si>
  <si>
    <t>NOMBRE DEL INDICADOR</t>
  </si>
  <si>
    <t>FÓRMULA DE CÁLCULO</t>
  </si>
  <si>
    <t>VALOR PROGRAMADO</t>
  </si>
  <si>
    <t>ACCIONES OPERATIVAS</t>
  </si>
  <si>
    <t>DEPENDENCIA RESPONSABLE</t>
  </si>
  <si>
    <t>CÓDIGO DE INDICADOR</t>
  </si>
  <si>
    <t>CÁLCULO VALOR PROGRAMADO ACUMULADO</t>
  </si>
  <si>
    <t>TENDENCIA DECRECIENTE</t>
  </si>
  <si>
    <t>FECHA DE CORTE</t>
  </si>
  <si>
    <t>PRIMER TRIMESTRE</t>
  </si>
  <si>
    <t>SEGUNDO TRIMESTRE</t>
  </si>
  <si>
    <t>TERCER TRIMESTRE</t>
  </si>
  <si>
    <t>CUARTO TRIMESTRE</t>
  </si>
  <si>
    <t>ACUMULADO HASTA FECHA DE CORTE</t>
  </si>
  <si>
    <t>Programado</t>
  </si>
  <si>
    <t>Ejecutado</t>
  </si>
  <si>
    <t>Porcentaje de cumplimiento</t>
  </si>
  <si>
    <t>PROMEDIO</t>
  </si>
  <si>
    <t>CONTROL DE CAMBIOS</t>
  </si>
  <si>
    <r>
      <t>CÓDIGO DEL DOCUMENTO</t>
    </r>
    <r>
      <rPr>
        <sz val="11"/>
        <rFont val="Arial"/>
        <family val="2"/>
      </rPr>
      <t>:</t>
    </r>
  </si>
  <si>
    <t>P</t>
  </si>
  <si>
    <t>L</t>
  </si>
  <si>
    <t>FECHA DE VERSIÓN 1:</t>
  </si>
  <si>
    <t>dd / mm / aaaa</t>
  </si>
  <si>
    <t>DESCRIPCIÓN DE LA MODIFICACIÓN</t>
  </si>
  <si>
    <t>Versión¹</t>
  </si>
  <si>
    <t>Descripción</t>
  </si>
  <si>
    <t>CONTROL DE ACTUALIZACIONES</t>
  </si>
  <si>
    <t>Motivo de la Modificación</t>
  </si>
  <si>
    <t>Fecha  Modificación</t>
  </si>
  <si>
    <t>No. Páginas Modificadas</t>
  </si>
  <si>
    <t>Responsable 
Solicitud Cambio</t>
  </si>
  <si>
    <t>DD</t>
  </si>
  <si>
    <t>MM</t>
  </si>
  <si>
    <t>AAAA</t>
  </si>
  <si>
    <t>Elaboró:</t>
  </si>
  <si>
    <t>Revisó:</t>
  </si>
  <si>
    <t>Aprobó:</t>
  </si>
  <si>
    <t>Nombre / Empleo / Proceso</t>
  </si>
  <si>
    <t>Nombre / Empleo / Proceso
Nombre / Empleo / Dirección de Planeación</t>
  </si>
  <si>
    <t>Nombre / Empleo / Proceso
Nombre / Director(a) de Planeación</t>
  </si>
  <si>
    <t>FORMATO DE PLAN OPERATIVO ANUAL</t>
  </si>
  <si>
    <t>3 de 3</t>
  </si>
  <si>
    <t>05-07-2017</t>
  </si>
  <si>
    <t>INSTRUCCIONES PARA EL DILIGENCIAMIENTO DEL FORMATO DE PLAN OPERATIVO ANUAL</t>
  </si>
  <si>
    <t>CAMPO</t>
  </si>
  <si>
    <t>DESCRIPCIÓN</t>
  </si>
  <si>
    <t>FÓRMULA DE CÁCULO</t>
  </si>
  <si>
    <r>
      <t>La fórmula del indicador expresa la relación matemática entre las distintas variables utilizadas para construir el indicador.</t>
    </r>
    <r>
      <rPr>
        <b/>
        <sz val="12"/>
        <color rgb="FF00519B"/>
        <rFont val="Arial"/>
        <family val="2"/>
      </rPr>
      <t xml:space="preserve">
La fórmula de cálculo del indicador se obtiene automáticamente de la hoja de vida del indicador, una vez se escriba el código del indicador en la casilla correspondiente.</t>
    </r>
  </si>
  <si>
    <r>
      <t>Es el valor que debe alcanzar el indicador a finalizar el año para garantizar el cumplimiento de la meta.</t>
    </r>
    <r>
      <rPr>
        <b/>
        <sz val="12"/>
        <color rgb="FF00519B"/>
        <rFont val="Arial"/>
        <family val="2"/>
      </rPr>
      <t xml:space="preserve">
El valor programado se obtiene automáticamente de la hoja de vida del indicador, una vez se escriba el código del indicador en la casilla correspondiente.</t>
    </r>
  </si>
  <si>
    <t>PRODUCTO(S):</t>
  </si>
  <si>
    <t>ACCIONES OPERATIVAS:</t>
  </si>
  <si>
    <r>
      <t xml:space="preserve">Indica la dependencia responsable del cumplimiento de la meta.
</t>
    </r>
    <r>
      <rPr>
        <b/>
        <sz val="12"/>
        <color rgb="FF00519B"/>
        <rFont val="Arial"/>
        <family val="2"/>
      </rPr>
      <t>La dependencia responsable se obtiene automáticamente de la hoja de vida del indicador, una vez se escriba el código del indicador en la casilla correspondiente.</t>
    </r>
  </si>
  <si>
    <t>CÓDIGO DEL INDICADOR</t>
  </si>
  <si>
    <r>
      <t xml:space="preserve">Escriba el </t>
    </r>
    <r>
      <rPr>
        <b/>
        <sz val="12"/>
        <rFont val="Arial"/>
        <family val="2"/>
      </rPr>
      <t>código del indicador</t>
    </r>
    <r>
      <rPr>
        <sz val="12"/>
        <rFont val="Arial"/>
        <family val="2"/>
      </rPr>
      <t xml:space="preserve"> asignado por la Dirección de Planeación tal como aparece en la hoja de vida del indicador; este código es el mismo nombre del archivo de la hoja de vida del indicador, y es de la forma XX-RI-YY, donde XX es el código del proceso, y YY el consecutivo asignado a cada indicador. </t>
    </r>
    <r>
      <rPr>
        <b/>
        <i/>
        <sz val="12"/>
        <color rgb="FF00519B"/>
        <rFont val="Arial"/>
        <family val="2"/>
      </rPr>
      <t>Debe diligenciar este campo para que los demás campos del POA se actualicen.</t>
    </r>
  </si>
  <si>
    <r>
      <t xml:space="preserve">Indica si el valor del indicador debe disminuir o no en el tiempo.
</t>
    </r>
    <r>
      <rPr>
        <b/>
        <sz val="12"/>
        <color rgb="FF00519B"/>
        <rFont val="Arial"/>
        <family val="2"/>
      </rPr>
      <t>La información sobre tendencia decreciente se obtiene automáticamente de la hoja de vida del indicador, una vez se escriba el código del indicador en la casilla correspondiente.</t>
    </r>
  </si>
  <si>
    <t>EJECUCIÓN PLANEADA Y REALIZADA, ACUMULADA HASTA LA FECHA DE CORTE:</t>
  </si>
  <si>
    <t>PORCENTAJE DE CUMPLIMIENTO</t>
  </si>
  <si>
    <t>CONTROL DE CAMBIOS PL</t>
  </si>
  <si>
    <t>1 de 1</t>
  </si>
  <si>
    <t>F</t>
  </si>
  <si>
    <t>R</t>
  </si>
  <si>
    <t>DESCRIPCIÓN DE LA  MODIFICACIÓN</t>
  </si>
  <si>
    <t>Versión</t>
  </si>
  <si>
    <t>01</t>
  </si>
  <si>
    <t>Director de Planeación</t>
  </si>
  <si>
    <t>Cambios en la Guía para Elaboración de Documentos del MIPER. Mejora continua.</t>
  </si>
  <si>
    <t>05</t>
  </si>
  <si>
    <t>07</t>
  </si>
  <si>
    <t>Mejora continua en el marco de la implementación del sistema de información de indicadores.</t>
  </si>
  <si>
    <t>David Cano Ortiz / Contratista / Proceso Direccionamiento Estratégico</t>
  </si>
  <si>
    <t>Suad Yusseth Fonseca Molina / Profesional Especializado 222-02 / Proceso Direccionamiento Estratégico</t>
  </si>
  <si>
    <t>Germán Uriel Rojas / Director de Planeación / Proceso Direccionamiento Estratégico</t>
  </si>
  <si>
    <t>1 de 3</t>
  </si>
  <si>
    <t>-</t>
  </si>
  <si>
    <t>PLAN ESTRATÉGICO INSTITUCIONAL</t>
  </si>
  <si>
    <t>01-FR-04</t>
  </si>
  <si>
    <t>OBJETIVO ESTRATÉGICO</t>
  </si>
  <si>
    <t>META ESTRATÉGICA</t>
  </si>
  <si>
    <t>PRODUCTO</t>
  </si>
  <si>
    <t>AÑO 2016</t>
  </si>
  <si>
    <t>TOTAL AÑO</t>
  </si>
  <si>
    <t>AÑO 2017</t>
  </si>
  <si>
    <t>AÑO 2018</t>
  </si>
  <si>
    <t>AÑO 2019</t>
  </si>
  <si>
    <t>AÑO 2020</t>
  </si>
  <si>
    <t>TOTAL CUATRIENAL</t>
  </si>
  <si>
    <t>1. Promover los Derechos de las personas, mediante acciones dirigidas a prevenir su vulneración, y apoyar el fortalecimiento de una Cultura de Paz en el Distrito Capital.</t>
  </si>
  <si>
    <t>1.1.Sensibilizar personas en prevención de la vulneración de Derechos y en el fortalecimiento de una Cultura de Paz.</t>
  </si>
  <si>
    <t>80.000 personas sensibilizadas en prevención de la vulneración de derechos
147.000 personas sensibilizadas en el fortalecimiento de una Cultura para la Paz (Población víctima del conflicto armado y personas en general).</t>
  </si>
  <si>
    <t>Generar espacios para sensibilizar   80.000 personas en prevención de vulneración de derechos.
Generar espacios para sensibilizar   147.000 personas del Distrito Capital, en el fortalecimiento de una Cultura para la Paz (Población víctima del conflicto armado y ciudadanía en general).</t>
  </si>
  <si>
    <t>05-RI-01</t>
  </si>
  <si>
    <t>2. Promover el respeto y vigilar el cumplimiento de los Derechos de las Mujeres, desde una perspectiva de Equidad de Género.</t>
  </si>
  <si>
    <t>2.1. Realizar seguimiento a la implementación de la Política Pública de Mujeres y Equidad de Género en el Distrito Capital</t>
  </si>
  <si>
    <t>Informes de seguimientos sobre el cumplimiento la Política Pública de Mujeres y Equidad de Género en el Distrito Capital.</t>
  </si>
  <si>
    <t>Plantear objetivo del seguimiento
Realizar visitas administrativas
Hacer solicitudes de información a entidades vigiladas
Consolidar informe
Socializar informe final a la señora Personera Distrital</t>
  </si>
  <si>
    <t>05-RI-02</t>
  </si>
  <si>
    <t>2.2. Sensibilizar personas en prevención de la violencia contra la mujer</t>
  </si>
  <si>
    <t>124.000 personas sensibilizadas en prevención de la violencia contra la mujer</t>
  </si>
  <si>
    <t>15.000 personas sensibilizadas en prevención de la violencia contra la mujer</t>
  </si>
  <si>
    <t>Generar espacios para sensibilizar  124.000 personas en prevención de violencia contra la mujer.</t>
  </si>
  <si>
    <t>Generar espacios para sensibilizar  15.000 personas en prevención de violencia contra la mujer.</t>
  </si>
  <si>
    <t>05-RI-03</t>
  </si>
  <si>
    <t>3. Adelantar el control a la Función Pública y a los servicios a cargo del Distrito Capital, en temas de impacto e interés para la Ciudad.</t>
  </si>
  <si>
    <t>3.1. Realizar 54 revisiones de impacto a la Administración Distrital de conformidad con el plan de acción diseñado.</t>
  </si>
  <si>
    <t>Informes de revisión a la gestión pública distrital, sobre temas de impacto, con conclusiones y recomendaciones</t>
  </si>
  <si>
    <t>1. Identificar proyectos de impacto en el plan de desarrollo Bogota mejor para todos.                                                                      2. Realizar informe de veeduria a la gestion publica.     
3. Publicar informe de veeduria a la opinión pública</t>
  </si>
  <si>
    <t>06-RI-01</t>
  </si>
  <si>
    <t xml:space="preserve">4.4. Sensibilizar y promover el conocimiento, el respeto, la preservación de los derechos, el cumplimiento de los deberes y el correcto actuar de los (las) servidores(as) públicos(as) a través de acciones preventivas y disuasivas, así como del ejercicio de un control disciplinario eficiente y eficaz. </t>
  </si>
  <si>
    <t>4.1. Generar espacios académicos y escenarios de difusión que promuevan el liderazgo de la Entidad en temas de derecho disciplinario a nivel distrital.</t>
  </si>
  <si>
    <t xml:space="preserve">Servidores públicos distritales que conocen, respetan y cumplen sus derechos y deberes. </t>
  </si>
  <si>
    <t>1. Desarrollar encuentros a nivel distrital  de Proceso Disciplinario en el Distrito (2  en 2017  y 2018)
2. Realizar jornadas de sensibilización en temas del proceso disciplinario (4 una por año).
3. Implementar la Gaceta Distrital (2019).
4. Publicar audiencias en la web (2018). 
5. Identificar procesos disciplinarios que se adelanten en las OCID que cumplan con criterios para ser asumidos por competencia preferente (2017, 2018).
6. Publicar Código Disciplinario comentado con doctrina (2019).
7. Definir los temas de interés disciplinario para recopilar y elaborar publicación (2018).
8. Publicar lista de preguntas y respuestas sobre el Código Disciplinario (2019).
9. Implementar las teleconferencias (2019).
10. Implementar la Relatoría (2019-2020).
11. Visibilizar el proceso disciplinario de la Entidad en la televisión nacional (2018).</t>
  </si>
  <si>
    <t>5. Fortalecer la gestión de las personerías locales para prestar un servicio efectivo, de acuerdo con las necesidades y peticiones de las personas.</t>
  </si>
  <si>
    <t>5.1.Lograr 1.500 actuaciones efectivas para la restitución de los derechos de las personas en las intervenciones adelantadas como Ministerio Público.</t>
  </si>
  <si>
    <t xml:space="preserve">5.2. Realizar seguimiento a la ejecución del 35% de los proyectos o iniciativas, originadas en los encuentros y/o cabildos ciudadanos, incluidos en los planes de desarrollo local. </t>
  </si>
  <si>
    <t>5.3. Ampliar la cobertura en la prestación de los servicios de asistencia y orientación en acciones de tutela en las Personerías Locales.</t>
  </si>
  <si>
    <t>5.4. Verificar el cumplimiento de los términos de ley en el  10% de las querellas a cargo de las alcaldías Locales e inspecciones de policía.</t>
  </si>
  <si>
    <t>5.5. Realizar seguimiento a la inclusión y/o implementación de la política de Derechos Humanos en las 20 localidades.</t>
  </si>
  <si>
    <t>5.6. Realizar una (1) jornada de impulso procesal durante el semestre ante las alcaldías locales e inspecciones de policía a nivel local.</t>
  </si>
  <si>
    <t>1.500 intervenciones efectivas en la restitución de los derechos</t>
  </si>
  <si>
    <t>1. Recibir  las quejas relacionadas con la protección y conservación del espacio y bienes públicos.
2. Realizar las intervenciones necesarias para garantizar la efectividad de las acciones.
3. Seguimiento permanente hasta tanto se materialice la decisión.</t>
  </si>
  <si>
    <t>Informes de seguimiento, con conclusiones y recomendaciones</t>
  </si>
  <si>
    <t>1. Levantar un inventario de los proyectos presentados y aprobados por los fondos de desarrollo local. 
2. Verificar su inclusión en el plan de desarrollo local.
3. Seguimiento a la ejecución del mismo.</t>
  </si>
  <si>
    <t>Desconcentración de la prestación de los servicios tutela.
Respuesta oportuna a las personas en la localidad generando ahorro a la comunidad en tiempo, distancia y recursos.</t>
  </si>
  <si>
    <t>1. Determinar por su demanda  y/o ubicación las locales en que se implementarian los servicios. 
2. Solicitar las adecuaciones físicas y tecnológicas que se requieran.
3. Capacitar a los funcionarios que prestarían los nuevos servicios.</t>
  </si>
  <si>
    <t>Impulso procesal en el trámite de las querellas a nivel local.
Garantía del debido proceso.</t>
  </si>
  <si>
    <t>1. Levantar un inventario de las querellas  en obras y establecimientos de comercio.
2. Revisar que los tiempos de las actuaciones correspondan a lo establecido en la ley. 
3. Realizar los impulsos procesales cuando lo anterior no se esté cumpliendo. 
4. Realizar seguimiento a los impulsos procesales.
5. Dar traslado de los presuntos hallazgos disciplinarios cuando así lo amerite.</t>
  </si>
  <si>
    <t xml:space="preserve">1.Identificar las políticas públicas en Derechos Humanos a nivel distrital.
2. Validar su implementación a nivel local y/o su inclusión en el plan de desarrollo local. 
3. Realizar seguimiento a la ejecución de las políticas. 
4. Generar las Alertas cuando a ello hubiere lugar. 
</t>
  </si>
  <si>
    <t>Impulso procesal</t>
  </si>
  <si>
    <t>1. Cronograma de Jornadas de impulso procesal. 
2. Revisión de expedientes.
3. Realizar el impulso procesal correspondiente. 
4. Hacer seguimiento al impulso procesal, hasta que la administración tome una decisión de fondo sobre el mismo.
5. Dar traslado de los presuntos hallazgos disciplinarios cuando a ello hubiere lugar.</t>
  </si>
  <si>
    <t>6. Promover la cooperación nacional e internacional con el fin de fortalecer y consolidar el liderazgo de la Personería de Bogotá D.C., en el ejercicio de las funciones públicas a su cargo.</t>
  </si>
  <si>
    <t>6.1. Implementar acciones que promuevan la cooperación nacional e internacional, en el marco de las competencias de la Personería de Bogotá, D.C.</t>
  </si>
  <si>
    <t xml:space="preserve">Tres (3) alianzas o acuerdos de cooperación con organismos internacionales para el fortalecimiento de la Personería de Bogotá, D.C.
Dos (2) espacios para intercambio de experiencias en derechos, género y cultura para la paz, con entidades nacionales y organismos internacionales
Directorio de contactos efectivos de los organismos nacionales e internacionales.
</t>
  </si>
  <si>
    <t xml:space="preserve">
Gestionar Tres  (3) alianzas o acuerdos de cooperación con organismos internacionales para el fortalecimiento de la Personería de Bogotá D.C.
Establecer dos (2) espacios para intercambio de experiencias en derechos humanos y enfoque de género con entidades nacionales y organismos internacionales.
Establecer un directorio de contactos efectivos con los organismos nacionales e internacionales.
</t>
  </si>
  <si>
    <t>05-RI-04</t>
  </si>
  <si>
    <t>7. Diseñar, implementar y consolidar las tecnologías de la información y las comunicaciones (TIC) para una gestión institucional eficiente y eficaz.</t>
  </si>
  <si>
    <t>7.1. Implementar la arquitectura empresarial AE, que permita integrar y alinear los procesos, objetivos y metas del Plan Estratégico Institucional (PEI).</t>
  </si>
  <si>
    <t>7.2.Implementar las mejores prácticas para la provisión de servicios de tecnologías de la información de la Personería de Bogotá, D.C., para el 2020.</t>
  </si>
  <si>
    <t>7.3. Implementar el Sistema de Gestión de Seguridad y Privacidad de la Información SGSI en la Personería de Bogotá D.C., para el 2020.</t>
  </si>
  <si>
    <t>7.4. Planear, diseñar la arquitectura, el ciclo de vida y la gestión de los sistemas de información en la Personería de Bogotá D.C., para el 2020.</t>
  </si>
  <si>
    <t>7.5. Fortalecer los canales tecnológicos de comunicación de la Personería de Bogotá D.C., para el 2020.</t>
  </si>
  <si>
    <t xml:space="preserve">Arquitectura Misional. 
Arquitectura de Información. 
Diseño, desarrollo e implementación de Sistemas de Información y de servicios tecnológicos 
</t>
  </si>
  <si>
    <t>1. Diseño, desarrollo e implementación de Arquitectura Empresarial.
2. Diseño, desarrollo e implementación de Arquitectura de Datos. 
3. Diseño, desarrollo e implementación Arquitectura de Aplicaciones. 
4. Diseño, desarrollo e implementación de  Arquitectura de Infraestructura.</t>
  </si>
  <si>
    <t>Portafolio de servicios de TI</t>
  </si>
  <si>
    <t>1. Definición y organización del Portafolio
2. Despliegue del Portafolio de Servicios. 
3. Evaluación del Uso y Apropiación de los Servicios.
4. Definición de Niveles de Servicio.
5. Evaluación Cumplimiento de Niveles de Servicio.
6. Modelo de Innovación y Mejora de los Servicios de TI.</t>
  </si>
  <si>
    <t>Sistema de Gestión de Seguridad y Privacidad de la Información SGSI implementado
Plan de seguridad y privacidad de la información monitoreado.</t>
  </si>
  <si>
    <t>1. Diagnosticar y definir el plan de seguridad y privacidad de la información.
2. Implementación del plan de seguridad y privacidad de la información.
3.  Monitoreo y mejoramiento continuo del plan de seguridad y privacidad de la información.</t>
  </si>
  <si>
    <t xml:space="preserve">Realizar un diagnóstico del sistema de información.
Diseño y desarrollo de nuevas aplicaciones o sistemas de información de acuerdo a las necesidades de la Personería de Bogotá, D.C.
Capacitación a los funcionarios de la Personería de Bogotá, D.C., en los nuevos desarrollos. 
</t>
  </si>
  <si>
    <t xml:space="preserve">1. Realizar un diagnostico del sistema de información.
2. Diseño y desarrollo de nuevas aplicaciones o sistemas de información de acuerdo a las necesidades de la Personería de Bogotá.
3. Diseñar los planes de uso y apropiación, en los nuevos desarrollos y aplicaciones. </t>
  </si>
  <si>
    <t>Implementación de IPV6
Modelo de hibrido (nube-datacenter)
Sistema de backups
Centro de datos alterno
Implementación de firewall</t>
  </si>
  <si>
    <t>1. Optimizar Datacenter y madurar adopción modelo Nube
2. Renovación tecnológica y backup unificado
3. Modernización de la topología de red y comunicaciones unificadas
4. Optimización del centro de datos alterno
5. Fortalecimiento de Seguridad Perimetral e Interna</t>
  </si>
  <si>
    <t>03-RI-01</t>
  </si>
  <si>
    <t>03-RI-05</t>
  </si>
  <si>
    <t>03-RI-04</t>
  </si>
  <si>
    <t>03-RI-03</t>
  </si>
  <si>
    <t>03-RI-02</t>
  </si>
  <si>
    <t>8. Modernizar la Organización y la gestión institucional para garantizar condiciones óptimas en el ejercicio de las funciones públicas.</t>
  </si>
  <si>
    <t>Sedes con infraestructura física readecuada</t>
  </si>
  <si>
    <t xml:space="preserve">1, Identificar las sedes con necesidad de adecuación de infraestructura física
2, Verificar la disponibilidad de recursos
3, Adelantar las obras de readecuación de la infraestructura física de las sedes de la entidad de acuerdo con la programación                                                   </t>
  </si>
  <si>
    <t>Sedes dotadas con mobliario y equipo de oficina</t>
  </si>
  <si>
    <t xml:space="preserve">1, Identificar la necesidad de dotación de muebles y enseres 
2, Adelantar el proceso de contratación idóneo para adquirir muebles y enseres
3, Adquirir la dotación de muebles y enseres, equipos de comunicación, audio, equipos de cómputo para el desarrollo operacional
</t>
  </si>
  <si>
    <t>Parque automotor renovado</t>
  </si>
  <si>
    <t xml:space="preserve">1, Identificar la necesidad de vehículos 
2, Adelantar el proceso de contratación idóneo para la adquisición y/o reposición de vehículos para la entidad.
3, Adquirir y/o reponer los vehículos </t>
  </si>
  <si>
    <t>9. Promover una Cultura de la Calidad, Buen Servicio y Mejora Continua de los procesos institucionales, en el marco de los estándares internacionales y la normatividad vigente.</t>
  </si>
  <si>
    <t>9.1. Realizar actividades para la promoción de una Cultura de la Calidad y el Buen Servicio en la entidad</t>
  </si>
  <si>
    <t>9.2. Cumplir los requisitos y estándares en gestión de calidad de acuerdo con la ISO 9001:2015</t>
  </si>
  <si>
    <t>Fortalecimiento institucional orientado a una  Cultura de Calidad y Buen Servicio</t>
  </si>
  <si>
    <t xml:space="preserve">Una Entidad certificada en la prestación de sus servicios, cumplimiendo con requisitos y estándares del Sistema de Gestión de la Calidad.
</t>
  </si>
  <si>
    <t xml:space="preserve">1. Elaborar el diagnóstico sobre los requisitos de la NTC ISO 9001:2015 sobre los cuales es necesario fortalecer la toma de conciencia por parte de los(as) servidores(as) de la Personería de Bogotá, D.C.
2. Identificar los requisitos de la NTC ISO 9001:2015 a intervenir de manera prioritaria e identificar los aspectos de la cultura de calidad y de servicio que se pretenden consolidar.
3. Elaborar un plan de trabajo con las estrategias para fortalecer la cultura de calidad y buen servicio en la Entidad, que involucre a todos(as) sus servidores(as).
4. Implementar el plan de trabajo.
5. Evaluar la efectividad de las estrategias implementadas.
</t>
  </si>
  <si>
    <t xml:space="preserve">1. Realizar un diagnóstico anual de implementación de los requisitos del SGC
2. Capacitar en auditoría interna ISO 9001:2015
3. Actualizar procesos y procedimientos institrucionales.
4. Actualizar política, objetivo y alcance del SGC.
5. Determinar  el contexto externo e interno de la Entidad
6. Identificar servicios, usuarios , partes interesadas y los CLIO
7. Implementar la totalidad de los numerales de la norma ISO 9001:2015.
8. Socializar los instrumentos institucionales para implementar el SGC y los roles, responsabilidades y autoridades de todos(as) los(as) servidores(as) frente a los mismos.
9. Solicitar auditoria interna al SGC.
10. Realizar la revisión por la dirección.
11. Solicitar preauditoria de certificación.
12. Ejecutar y monitorear el plan de mejoramiento.
13. Solicitar la auditoría de certificación.
</t>
  </si>
  <si>
    <t>01-RI-04</t>
  </si>
  <si>
    <t>01-RI-05</t>
  </si>
  <si>
    <t>10. Diseñar e implementar una gestión del Talento Humano destinada a elevar el nivel de formación, competencias, sentido de pertenencia y crecimiento personal de los(las) servidores(as) públicos(as) de la Entidad.</t>
  </si>
  <si>
    <t>10.1. Diseñar e implementar una (1) estrategia de gestión del talento humano orientada al desarrollo y cualificación de los servidores de la entidad y la consecución de los objetivos institucionales.</t>
  </si>
  <si>
    <t>10.2. Diseñar e Implementar una estrategia para generar una cultura organizacional, que transmita un sentimiento de identidad y pertenencia a todos los servidores de la Personería de Bogotá, D.C., y facilite su compromiso con los fines estratégicos de la Entidad y los fines del Estado.</t>
  </si>
  <si>
    <t>10.3. Diseñar e implementar un (1) sistema institucional de competencias laborales y comportamentales que responda a las necesidades de la Entidad, en materia de Talento Humano.</t>
  </si>
  <si>
    <t>10.4. Diseñar e implementar una estrategia de promoción del desarrollo humano de los servidores de la Entidad, que propenda por el equilibrio entre la consolidación de los objetivos institucionales y los objetivos personales, generando así valores compartidos que hagan unánime el significado de la visión institucional y faciliten su compromiso.</t>
  </si>
  <si>
    <t>Gestión integral del talento humano en la Personería de Bogotá, D.C.</t>
  </si>
  <si>
    <t>1. Diseñar el Plan Estratégico de Talento Humano de la Personería de Bogotá D.C. 30%
2. Implementar el Plan Estratégico de Talento Humano de la Personería de Bogotá D.C. 40%
3. Hacer seguimiento y evaluación al Plan Estratégico del Talento Humano, anualmente.  30%</t>
  </si>
  <si>
    <t xml:space="preserve">Cultura organizacional de la Personería de Bogotá, identificada.
Talento humano de la Personería de Bogotá D.C. con identidad institucional y sentido de pertenencia.
</t>
  </si>
  <si>
    <t>1. Elaborar el diagnóstico sobre la actual cultura organizacional de la Personería de Bogotá, D.C. 20%
2. Identificar los aspectos de la cultura organizacional a intervenir de manera prioritaria e identificar los aspectos de la cultura organizacional que se pretende consolidar. 20%
3. Elaborar un plan de acción con las estrategias para intervenir la cultura organizacional, que involucre a todos los servidores de la Entidad y esté conforme a las orientaciones del DAFP. 20%
4. Implementar el Plan de acción. 40%</t>
  </si>
  <si>
    <t>Un sistema de competencias laborales y comportamentales diseñado e implementado.
Talento humano seleccionado, evaluado y capacitado conforme al sistema de competencias adoptado.</t>
  </si>
  <si>
    <t>1. Elaborar el diagnóstico sobre el estado y necesidades en materia de competencias. 10%
2. Realizar el estudio y evaluación de competencias de los empleos, de conformidad con los procesos y procedimientos institucionales. 15%
3. Diseñar competencias por empleo y validar su pertinencia con los jefes de las dependencias. 25%
4. Implementar y consolidar el Sistema de Competencias Laborales y Comportamentales de la Personería de Bogotá D.C.  25%
5. Verificar los resultados de la implementación y desarrollo del Sistema. 10%
6. Garantizar los insumos requeridos en materia de competencias laborales y comportamentales para la selección, capacitación y evaluación de los servidores públicos de la Entidad. 15%</t>
  </si>
  <si>
    <t>Consolidación de un ambiente laboral en el que los servidores se identifiquen como personas y empleados eficaces al servicio de la ciudad y donde puedan crecer, desarrollarse personal y profesionalmente en un adecuado clima laboral</t>
  </si>
  <si>
    <t>1. Realizar un diagnóstico de necesidades y expectativas personales / laborales de los servidores de la Entidad. 50%
2. Diseñar la estrategia que responda en lo posible a los resultados del diagnóstico. 50%</t>
  </si>
  <si>
    <t>08-RI-01</t>
  </si>
  <si>
    <t>08-RI-02</t>
  </si>
  <si>
    <t>08-RI-03</t>
  </si>
  <si>
    <t>08-RI-04</t>
  </si>
  <si>
    <t xml:space="preserve">11. Implementar una estrategia de lucha contra la corrupción mediante la sensibilización de los(as) funcionarios(as), la participación ciudadana, el acceso a la información pública y la rendición de cuentas.
</t>
  </si>
  <si>
    <t>11.2 Formular  y publicar el Plan Anticorrupción y de Atención al Ciudadano, con la participación activa de la comunidad</t>
  </si>
  <si>
    <t>11.3 Garantizar la transparencia y acceso a la información pública y canales de denuncia contra la corrupción</t>
  </si>
  <si>
    <t xml:space="preserve">11.4 Realizar jornadas de  sensibilización dirigidas a los(as) funcionarios(as) de la Entidad, en temas relacionados con transparencia y lucha contra la corrupción. </t>
  </si>
  <si>
    <t xml:space="preserve">Informe oficial para la rendición de cuentas. 
Audiencia anual de rendición de cuentas
</t>
  </si>
  <si>
    <t xml:space="preserve">1) formular  y socializar al  Comité Directivo la estrategia anual de rendición de cuentas. (10%)
2) Aprobación de la estrategia anual de rención de cuentas  por parte del  Comité Directivo y asignación de responsabilidades. (5%)
3) Organizar y consolidar la información que permita mostrar la gestión institucional. (30%)
4) Realizar reuniones de validación con aliados (líderes de la comunidad y organizaciones sociales) para presentarles el informe preliminar. (15%)
5)   Preparar una publicación oficial de rendición de cuentas para ser socializada a la comunidad. (15%)
6)   Convocatoria y organización logística de la Audiencia de Rendición de Cuentas. (15%)
7)   Realizar la Audiencia anual de rendición de cuentas. (10%)
</t>
  </si>
  <si>
    <t xml:space="preserve">Plan Anticorrupción y de Atención al Ciudadano </t>
  </si>
  <si>
    <t>Jornadas de sensibilización</t>
  </si>
  <si>
    <t xml:space="preserve">Programar y desarrollar  jornadas de  sensibilización dirigidas a los(as) funcionarios(as) de la Entidad, en temas relacionados con transparencia,  ética, valores y lucha contra la corrupción. </t>
  </si>
  <si>
    <t>11.1 Formular  y ejecutar una Estrategia de Rendición de Cuentas, con la participación activa de la comunidad.</t>
  </si>
  <si>
    <t>01-RI-06</t>
  </si>
  <si>
    <t>01-RI-07</t>
  </si>
  <si>
    <t>08-RI-15</t>
  </si>
  <si>
    <r>
      <t xml:space="preserve">El Plan Estratégico Institucional - PEI es el instrumento que refleja la planeación estratégica que orienta y enmarca la gestión de la Administración. En él se deben registrar los objetivos y las metas estratégicas, es decir, aquellos que expresan el cumplimiento de la misión y la visión de la Entidad, durante el período de la Administración. 
</t>
    </r>
    <r>
      <rPr>
        <b/>
        <sz val="12"/>
        <color rgb="FF00519B"/>
        <rFont val="Arial"/>
        <family val="2"/>
      </rPr>
      <t>Varios campos del formato se diligencian automáticamente, a partir de la hoja de vida del indicador, una vez se escriba el código del indicador en la celda correspondiente del formato PEI para cada indicador. Esto implica que para que el formato PEI esté completo, la hoja de vida del indicador debe estar debidamente diligenciada, validada por la Dirección de Planeación y tener asignado un código. En tal caso sólo debe escribir el código del indicador en el campo correspondiente.</t>
    </r>
  </si>
  <si>
    <r>
      <t xml:space="preserve">Escriba el </t>
    </r>
    <r>
      <rPr>
        <b/>
        <sz val="12"/>
        <rFont val="Arial"/>
        <family val="2"/>
      </rPr>
      <t>objetivo</t>
    </r>
    <r>
      <rPr>
        <sz val="12"/>
        <rFont val="Arial"/>
        <family val="2"/>
      </rPr>
      <t xml:space="preserve"> estratégico al cual se asociará la meta estratégica. Este objetivo expresa un resultado esperado relacionado con un efecto de mediano y largo plazo que contribuye al logro de la Misión y de la Visión.</t>
    </r>
  </si>
  <si>
    <r>
      <t xml:space="preserve">Registre </t>
    </r>
    <r>
      <rPr>
        <b/>
        <sz val="12"/>
        <rFont val="Arial"/>
        <family val="2"/>
      </rPr>
      <t>la(s) meta(s)</t>
    </r>
    <r>
      <rPr>
        <sz val="12"/>
        <rFont val="Arial"/>
        <family val="2"/>
      </rPr>
      <t xml:space="preserve"> que permitirá(n) la consecución del objetivo estratégico correspondiente. Se redacta con un verbo en infinitivo fuerte y realizable.</t>
    </r>
  </si>
  <si>
    <r>
      <t xml:space="preserve">El nombre del indicador se deriva de la meta estratégica, comenzando por el sustantivo y escribiendo el verbo en participio pasado, para indicar el estado deseado de la meta. </t>
    </r>
    <r>
      <rPr>
        <b/>
        <sz val="12"/>
        <color rgb="FF00519B"/>
        <rFont val="Arial"/>
        <family val="2"/>
      </rPr>
      <t xml:space="preserve">
El nombre del indicador se obtiene automáticamente de la hoja de vida del indicador, una vez se escriba el código del indicador en la casilla correspondiente.</t>
    </r>
  </si>
  <si>
    <r>
      <t xml:space="preserve">Señale cuáles son los </t>
    </r>
    <r>
      <rPr>
        <b/>
        <sz val="12"/>
        <rFont val="Arial"/>
        <family val="2"/>
      </rPr>
      <t>productos finales</t>
    </r>
    <r>
      <rPr>
        <sz val="12"/>
        <rFont val="Arial"/>
        <family val="2"/>
      </rPr>
      <t xml:space="preserve"> (bienes y servicios que entrega) como resultado del cumplimiento de las metas estratégicas establecidas. </t>
    </r>
  </si>
  <si>
    <r>
      <t xml:space="preserve">Indique las </t>
    </r>
    <r>
      <rPr>
        <b/>
        <sz val="12"/>
        <rFont val="Arial"/>
        <family val="2"/>
      </rPr>
      <t>acciones</t>
    </r>
    <r>
      <rPr>
        <sz val="12"/>
        <rFont val="Arial"/>
        <family val="2"/>
      </rPr>
      <t xml:space="preserve"> relevantes y necesarias para  el cumplimiento de las metas estratégicas establecidas.</t>
    </r>
  </si>
  <si>
    <r>
      <t xml:space="preserve">Indica la forma en que las metas trimestrales se acumulan para llegar a la meta anual, así como la forma en que las metas anuales se acumulan para llegar a la meta cuatrienal. Puede ser:
- Sumatoria: cuando la meta del año es la suma de las metas trimestrales
- Constante: cuando las metas del cuatrienio, de cada año y de cada trimestre son las mismas
- Última: cuando la meta del año es el valor de la meta del último trimestre, y la meta cuatrienal es el valor de la meta del último año.
</t>
    </r>
    <r>
      <rPr>
        <b/>
        <sz val="12"/>
        <color rgb="FF00519B"/>
        <rFont val="Arial"/>
        <family val="2"/>
      </rPr>
      <t>La forma de cálculo del valor programado acumulado se obtiene automáticamente de la hoja de vida del indicador, una vez se escriba el código del indicador en la casilla correspondiente.</t>
    </r>
  </si>
  <si>
    <r>
      <t xml:space="preserve">Indica la última fecha para la cual se tienen datos disponibles en un determinado momento del cuatrienio. Esta fecha se va actualizando a lo largo del cuatrienio, dependiendo de los reportes que se hagan del avance del indicador en la hoja de vida del indicador (por ejemplo, para el reporte del primer semestre de un año la fecha de corte es el 30 de junio de ese año).
</t>
    </r>
    <r>
      <rPr>
        <b/>
        <sz val="12"/>
        <color rgb="FF00519B"/>
        <rFont val="Arial"/>
        <family val="2"/>
      </rPr>
      <t>La fecha de corte se obtiene automáticamente de la hoja de vida del indicador, una vez se escriba el código del indicador en la casilla correspondiente.</t>
    </r>
  </si>
  <si>
    <t>EJECUCIÓN PLANEADA Y REALIZADA, POR TRIMESTRE y AÑO:</t>
  </si>
  <si>
    <r>
      <t xml:space="preserve">En esta sección se registran los valores ejecutado y programado hasta la fecha de corte. Permite ver qué tanto se ha avanzado en lo corrido del cuatrienio hacia el logro de la meta 
</t>
    </r>
    <r>
      <rPr>
        <b/>
        <sz val="12"/>
        <color rgb="FF00519B"/>
        <rFont val="Arial"/>
        <family val="2"/>
      </rPr>
      <t>Los valores programado y ejecutado acumulados hasta la fecha de corte se obtienen automáticamente de la hoja de vida del indicador, una vez se escriba el código del indicador en la casilla correspondiente.</t>
    </r>
  </si>
  <si>
    <t>PROGRAMADO TOTAL CUATRIENAL</t>
  </si>
  <si>
    <r>
      <t xml:space="preserve">Este campo registra el valor programado para final del cuatrienio, resultante de aplicar la fórmula de "cálculo del valor programado acumulado" a las metas programadas para cada año. 
</t>
    </r>
    <r>
      <rPr>
        <b/>
        <sz val="12"/>
        <color rgb="FF00519B"/>
        <rFont val="Arial"/>
        <family val="2"/>
      </rPr>
      <t>El valor programado cuatrienal se obtiene automáticamente de la hoja de vida del indicador, una vez se escriba el código del indicador en la casilla correspondiente.</t>
    </r>
  </si>
  <si>
    <r>
      <t xml:space="preserve">En esta sección encontrará los años del cuatrienio divididos en trimestres. A su vez, cada trimestre y cada año se conforman por las celdas correspondientes a lo programado y a lo ejecutado. 
</t>
    </r>
    <r>
      <rPr>
        <b/>
        <sz val="12"/>
        <color rgb="FF00519B"/>
        <rFont val="Arial"/>
        <family val="2"/>
      </rPr>
      <t>Los valores programado y ejecutado por trimestre y por año se obtienen automáticamente de la hoja de vida del indicador, una vez se escriba el código del indicador en la casilla correspondiente.</t>
    </r>
  </si>
  <si>
    <r>
      <t xml:space="preserve">El porcentaje de cumplimiento es el resultado de dividir el valor ejecutado por el valor programado, y expresa, en términos porcentuales, en qué medida se ha cumplido la meta. Se calcula para:
- Acumulado hasta la fecha de corte = (ejecutado hasta la fecha de corte / programado hasta la fecha de corte) * 100
- Total cuatrienal = (ejecutado hasta la fecha de corte / programado total cuatrienal) * 100
</t>
    </r>
    <r>
      <rPr>
        <b/>
        <sz val="12"/>
        <color rgb="FF00519B"/>
        <rFont val="Arial"/>
        <family val="2"/>
      </rPr>
      <t>El porcentaje de cumplimiento se obtiene automáticamente de la hoja de vida del indicador, una vez se escriba el código del indicador en la casilla correspondiente.</t>
    </r>
  </si>
  <si>
    <t>En la hoja "CONTROL DE CAMBIOS PL" debe registrar los cambios realizados al PEI. Por ejemplo, adición, modificación o eliminación de metas operativas, reprogramación de metas para otros trimestres, etc. Los cambios en un indicador particular debe registrarlos en la hoja de vida del indicador correspondiente, pero puede registrarlos también en la hoja de control de cambios del PEI si lo desea. Esta hoja reemplaza el campo de observaciones del formato anterior.</t>
  </si>
  <si>
    <r>
      <t xml:space="preserve">Código: </t>
    </r>
    <r>
      <rPr>
        <sz val="12"/>
        <color theme="1"/>
        <rFont val="Arial"/>
        <family val="2"/>
      </rPr>
      <t>01-FR-04</t>
    </r>
  </si>
  <si>
    <t>FORMATO DE PLAN ESTRATÉGICO INSTITUCIONAL</t>
  </si>
  <si>
    <r>
      <t xml:space="preserve">NOMBRE DEL DOCUMENTO:
</t>
    </r>
    <r>
      <rPr>
        <sz val="11"/>
        <rFont val="Arial"/>
        <family val="2"/>
      </rPr>
      <t>FORMATO DE PLAN ESTRATÉGICO INSTITUCIONAL</t>
    </r>
  </si>
  <si>
    <t>Cambios en la denominación y contenidos de las dimensiones y objetivos estratégicos. (01-RE-04)</t>
  </si>
  <si>
    <t>Cambios en la estructura y denominación de algunos componentes del formato. (01-RE-04)</t>
  </si>
  <si>
    <t>Cambio en la estructura general del formato, teniendo en cuenta que las versiones 1 y 2 del mismo, correspondían a un formato de seguimiento al PEI. En esta versión, el formato complementa los objetivos, las metas y los indicadores estratégicos, con la definición de acciones operativas, la programación para el cumplimiento de las metas y el seguimiento. Inclusión de instructivo del formato. Inclusión de la Hoja de Control de Cambios del registro Plan Estratégico Institucional, una vez se constituya en documento del MIPER.</t>
  </si>
  <si>
    <t>Cambios en la estructura y denominación de algunos campos del formato, y adición de otros campos. Modificación de fórmulas para que el formato se actualice automáticamente a partir del archivo "Cuadro de Mando Integral", que consolida la información de todas las hojas de vida de los indicadores. Modificación del instructivo para reflejar los cambios realizados en el formato.</t>
  </si>
  <si>
    <t>Mejora continua. Actualización de Dimensiones y Objetivos Estratégicos.</t>
  </si>
  <si>
    <t>Mejora continua.</t>
  </si>
  <si>
    <r>
      <rPr>
        <b/>
        <sz val="12"/>
        <rFont val="Arial"/>
        <family val="2"/>
      </rPr>
      <t>Nota</t>
    </r>
    <r>
      <rPr>
        <b/>
        <sz val="16"/>
        <rFont val="Arial"/>
        <family val="2"/>
      </rPr>
      <t>¹</t>
    </r>
    <r>
      <rPr>
        <b/>
        <sz val="12"/>
        <rFont val="Arial"/>
        <family val="2"/>
      </rPr>
      <t>:</t>
    </r>
    <r>
      <rPr>
        <sz val="12"/>
        <rFont val="Arial"/>
        <family val="2"/>
      </rPr>
      <t xml:space="preserve"> La trazabilidad de las versiones del documento Plan Estratégico Institucional PEI, que se generen como consecuencia de ajustes en las metas, magnitud, indicadores, acciones operativas, responsables u otros datos registrados, corresponderá a la vigencia a la cual haga referencia dicho Plan. Es decir, el PEI de cada cuatrienio iniciará en versión 1, y sólo se registrarán versiones consecutivas que se hayan generado durante la misma vigencia.</t>
    </r>
  </si>
  <si>
    <r>
      <t xml:space="preserve">NOMBRE DEL DOCUMENTO:
</t>
    </r>
    <r>
      <rPr>
        <sz val="11"/>
        <rFont val="Arial"/>
        <family val="2"/>
      </rPr>
      <t>PLAN ESTRATÉGICO INSTITUCIONAL + [CUATRIENIO]</t>
    </r>
  </si>
  <si>
    <t>01-PL-01</t>
  </si>
  <si>
    <t>x</t>
  </si>
  <si>
    <t>dd-mm-aaaa</t>
  </si>
  <si>
    <t>PLAN ESTRATÉGICO INSTITUCIONAL + [CUATRIENIO]</t>
  </si>
  <si>
    <t>05-RI-18</t>
  </si>
  <si>
    <t>05-RI-19</t>
  </si>
  <si>
    <t>05-RI-20</t>
  </si>
  <si>
    <t>05-RI-21</t>
  </si>
  <si>
    <t>05-RI-22</t>
  </si>
  <si>
    <t>05-RI-23</t>
  </si>
  <si>
    <t>09-RI-06</t>
  </si>
  <si>
    <t>09-RI-07</t>
  </si>
  <si>
    <t>09-RI-08</t>
  </si>
  <si>
    <t>05-RI-24</t>
  </si>
  <si>
    <t>05-RI-25</t>
  </si>
  <si>
    <t>05-RI-26</t>
  </si>
  <si>
    <t>07-RI-05</t>
  </si>
  <si>
    <t>06-RI-03</t>
  </si>
  <si>
    <t>1) Verificar el formulaio QRSD interno e identificación de ajustes necesarios de acuerdo con la normatividad (25%)
2) Realizar solicitud de requerimiento a la Dirección TIC para la actualización del formulario. (25%)
3) Realizar solicitud a prensa para el diseño del ícono o banner (25%)
4) Realizar solicitud a la Dirección TIC para la publicación del formulario (25%)</t>
  </si>
  <si>
    <t>01-RI-08</t>
  </si>
  <si>
    <t>Vínculo al formulario de cero tolerancia contra la corrupción</t>
  </si>
  <si>
    <t xml:space="preserve">En cada vigencia:
1) Realizar  talleres participativos con los funcionarios (as) de  todos los procesos de la Entidad  en los seis componentes del Plan Anticorrupción y de Atención al Ciudadano. (30%)
2) Convocar a la comunidad para que participen de manera activa en la construcción del plan y en los canales de denuncias. (20%)
3) Implementar acciones establecidas en el sistema de gestión Antisoborno a través de la  norma NTC 37001. (20%)
4) Publicar, antes del 31 de enero de cada vigencia el Plan. (30%)
</t>
  </si>
  <si>
    <t>8.1. Readecuar la infraestructura física de las sedes de la Personería de Bogotá, D. C.</t>
  </si>
  <si>
    <t>8.2. Dotar las sedes de la Personería de Bogotá, D. C., con mobiliario y equipo de oficina</t>
  </si>
  <si>
    <t>8.3. Renovar el parque automotor de la Personería de Bogotá, D.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</si>
</sst>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dd\-mm\-yyyy"/>
    <numFmt numFmtId="166" formatCode="#,##0%"/>
    <numFmt numFmtId="167" formatCode="dd\ /\ mm\ /\ yyyy"/>
  </numFmts>
  <fonts count="20">
    <font>
      <sz val="11"/>
      <color theme="1"/>
      <name val="Calibri"/>
      <family val="2"/>
      <scheme val="minor"/>
    </font>
    <font>
      <sz val="12"/>
      <color theme="1"/>
      <name val="Arial"/>
      <family val="2"/>
    </font>
    <font>
      <b/>
      <sz val="18"/>
      <color theme="1"/>
      <name val="Arial"/>
      <family val="2"/>
    </font>
    <font>
      <b/>
      <sz val="12"/>
      <color theme="1"/>
      <name val="Arial"/>
      <family val="2"/>
    </font>
    <font>
      <b/>
      <sz val="12"/>
      <color indexed="9"/>
      <name val="Arial"/>
      <family val="2"/>
    </font>
    <font>
      <sz val="10"/>
      <name val="Arial"/>
      <family val="2"/>
    </font>
    <font>
      <sz val="12"/>
      <name val="Arial"/>
      <family val="2"/>
    </font>
    <font>
      <b/>
      <sz val="12"/>
      <name val="Arial"/>
      <family val="2"/>
    </font>
    <font>
      <b/>
      <sz val="12"/>
      <color theme="0"/>
      <name val="Arial"/>
      <family val="2"/>
    </font>
    <font>
      <b/>
      <sz val="11"/>
      <name val="Arial"/>
      <family val="2"/>
    </font>
    <font>
      <sz val="11"/>
      <name val="Arial"/>
      <family val="2"/>
    </font>
    <font>
      <b/>
      <sz val="16"/>
      <name val="Arial"/>
      <family val="2"/>
    </font>
    <font>
      <sz val="10"/>
      <color theme="0"/>
      <name val="Arial"/>
      <family val="2"/>
    </font>
    <font>
      <b/>
      <sz val="12"/>
      <color rgb="FF00519B"/>
      <name val="Arial"/>
      <family val="2"/>
    </font>
    <font>
      <b/>
      <i/>
      <sz val="12"/>
      <color rgb="FF00519B"/>
      <name val="Arial"/>
      <family val="2"/>
    </font>
    <font>
      <i/>
      <sz val="12"/>
      <name val="Arial"/>
      <family val="2"/>
    </font>
    <font>
      <sz val="11"/>
      <color theme="1"/>
      <name val="Calibri"/>
      <family val="2"/>
      <scheme val="minor"/>
    </font>
    <font>
      <sz val="11"/>
      <color indexed="8"/>
      <name val="Calibri"/>
      <family val="2"/>
    </font>
    <font>
      <sz val="10"/>
      <color rgb="FF000000"/>
      <name val="Arial1"/>
    </font>
    <font>
      <sz val="11"/>
      <color rgb="FF000000"/>
      <name val="Calibri"/>
      <family val="2"/>
    </font>
  </fonts>
  <fills count="10">
    <fill>
      <patternFill patternType="none"/>
    </fill>
    <fill>
      <patternFill patternType="gray125"/>
    </fill>
    <fill>
      <patternFill patternType="solid">
        <fgColor indexed="65"/>
        <bgColor indexed="64"/>
      </patternFill>
    </fill>
    <fill>
      <patternFill patternType="solid">
        <fgColor rgb="FF00519B"/>
        <bgColor indexed="64"/>
      </patternFill>
    </fill>
    <fill>
      <patternFill patternType="solid">
        <fgColor rgb="FFE5F2FF"/>
        <bgColor indexed="64"/>
      </patternFill>
    </fill>
    <fill>
      <patternFill patternType="solid">
        <fgColor theme="0"/>
        <bgColor indexed="64"/>
      </patternFill>
    </fill>
    <fill>
      <patternFill patternType="solid">
        <fgColor rgb="FFCCFFFF"/>
        <bgColor indexed="64"/>
      </patternFill>
    </fill>
    <fill>
      <patternFill patternType="solid">
        <fgColor rgb="FF66FF99"/>
        <bgColor indexed="64"/>
      </patternFill>
    </fill>
    <fill>
      <patternFill patternType="solid">
        <fgColor rgb="FFFFCCFF"/>
        <bgColor indexed="64"/>
      </patternFill>
    </fill>
    <fill>
      <patternFill patternType="solid">
        <fgColor rgb="FFFFFF99"/>
        <bgColor indexed="64"/>
      </patternFill>
    </fill>
  </fills>
  <borders count="56">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9">
    <xf numFmtId="0" fontId="0" fillId="0" borderId="0"/>
    <xf numFmtId="0" fontId="5" fillId="0" borderId="0"/>
    <xf numFmtId="0" fontId="5" fillId="0" borderId="0"/>
    <xf numFmtId="0" fontId="5" fillId="0" borderId="0"/>
    <xf numFmtId="0" fontId="5" fillId="0" borderId="0"/>
    <xf numFmtId="0" fontId="5" fillId="0" borderId="0"/>
    <xf numFmtId="0" fontId="17" fillId="0" borderId="0"/>
    <xf numFmtId="9" fontId="5" fillId="0" borderId="0" applyFill="0" applyBorder="0" applyAlignment="0" applyProtection="0"/>
    <xf numFmtId="0" fontId="5" fillId="0" borderId="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16" fillId="0" borderId="0"/>
    <xf numFmtId="9" fontId="18" fillId="0" borderId="0" applyBorder="0" applyProtection="0"/>
    <xf numFmtId="0" fontId="19" fillId="0" borderId="0" applyNumberFormat="0" applyBorder="0" applyProtection="0"/>
    <xf numFmtId="0" fontId="16" fillId="0" borderId="0"/>
    <xf numFmtId="0" fontId="16" fillId="0" borderId="0"/>
    <xf numFmtId="0" fontId="5" fillId="0" borderId="0"/>
    <xf numFmtId="0" fontId="16" fillId="0" borderId="0"/>
    <xf numFmtId="164" fontId="16" fillId="0" borderId="0" applyFont="0" applyFill="0" applyBorder="0" applyAlignment="0" applyProtection="0"/>
    <xf numFmtId="0" fontId="5" fillId="0" borderId="0"/>
    <xf numFmtId="0" fontId="5" fillId="0" borderId="0"/>
    <xf numFmtId="0" fontId="5" fillId="0" borderId="0"/>
    <xf numFmtId="0" fontId="5" fillId="0" borderId="0"/>
    <xf numFmtId="0" fontId="16" fillId="0" borderId="0"/>
    <xf numFmtId="0" fontId="5" fillId="0" borderId="0"/>
    <xf numFmtId="0" fontId="16" fillId="0" borderId="0"/>
    <xf numFmtId="0" fontId="16" fillId="0" borderId="0"/>
    <xf numFmtId="0" fontId="5" fillId="0" borderId="0"/>
    <xf numFmtId="0" fontId="16" fillId="0" borderId="0"/>
    <xf numFmtId="164" fontId="16" fillId="0" borderId="0" applyFont="0" applyFill="0" applyBorder="0" applyAlignment="0" applyProtection="0"/>
    <xf numFmtId="0" fontId="5" fillId="0" borderId="0"/>
    <xf numFmtId="9" fontId="16" fillId="0" borderId="0" applyFont="0" applyFill="0" applyBorder="0" applyAlignment="0" applyProtection="0"/>
  </cellStyleXfs>
  <cellXfs count="239">
    <xf numFmtId="0" fontId="0" fillId="0" borderId="0" xfId="0"/>
    <xf numFmtId="0" fontId="1" fillId="2" borderId="0" xfId="0" applyFont="1" applyFill="1" applyProtection="1"/>
    <xf numFmtId="0" fontId="3" fillId="2" borderId="4" xfId="0" applyFont="1" applyFill="1" applyBorder="1" applyProtection="1"/>
    <xf numFmtId="0" fontId="3" fillId="2" borderId="8" xfId="0" applyFont="1" applyFill="1" applyBorder="1" applyProtection="1"/>
    <xf numFmtId="0" fontId="3" fillId="2" borderId="9" xfId="0" applyFont="1" applyFill="1" applyBorder="1" applyProtection="1"/>
    <xf numFmtId="0" fontId="1" fillId="2" borderId="11" xfId="0" applyFont="1" applyFill="1" applyBorder="1" applyProtection="1"/>
    <xf numFmtId="0" fontId="3" fillId="2" borderId="0" xfId="0" applyFont="1" applyFill="1" applyBorder="1" applyProtection="1"/>
    <xf numFmtId="0" fontId="1" fillId="2" borderId="9" xfId="0" applyFont="1" applyFill="1" applyBorder="1" applyProtection="1"/>
    <xf numFmtId="0" fontId="1" fillId="3" borderId="17" xfId="0" applyFont="1" applyFill="1" applyBorder="1" applyProtection="1"/>
    <xf numFmtId="0" fontId="1" fillId="3" borderId="18" xfId="0" applyFont="1" applyFill="1" applyBorder="1" applyProtection="1"/>
    <xf numFmtId="0" fontId="1" fillId="0" borderId="19" xfId="0" applyFont="1" applyBorder="1" applyAlignment="1" applyProtection="1">
      <alignment vertical="center" wrapText="1"/>
      <protection locked="0"/>
    </xf>
    <xf numFmtId="0" fontId="1" fillId="0" borderId="19" xfId="0" applyFont="1" applyBorder="1" applyAlignment="1" applyProtection="1">
      <alignment horizontal="center" vertical="center" wrapText="1"/>
    </xf>
    <xf numFmtId="3" fontId="1" fillId="0" borderId="19" xfId="0" applyNumberFormat="1" applyFont="1" applyBorder="1" applyAlignment="1" applyProtection="1">
      <alignment horizontal="center" vertical="center" wrapText="1"/>
    </xf>
    <xf numFmtId="0" fontId="1"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xf>
    <xf numFmtId="3" fontId="1" fillId="0" borderId="19" xfId="0" applyNumberFormat="1" applyFont="1" applyFill="1" applyBorder="1" applyAlignment="1" applyProtection="1">
      <alignment horizontal="center" vertical="center" wrapText="1"/>
    </xf>
    <xf numFmtId="3" fontId="1" fillId="4" borderId="19" xfId="0" applyNumberFormat="1" applyFont="1" applyFill="1" applyBorder="1" applyAlignment="1" applyProtection="1">
      <alignment horizontal="center" vertical="center" wrapText="1"/>
    </xf>
    <xf numFmtId="166" fontId="1" fillId="0" borderId="19" xfId="0" applyNumberFormat="1" applyFont="1" applyBorder="1" applyAlignment="1" applyProtection="1">
      <alignment horizontal="center" vertical="center" wrapText="1"/>
    </xf>
    <xf numFmtId="0" fontId="6" fillId="5" borderId="0" xfId="1" applyFont="1" applyFill="1"/>
    <xf numFmtId="0" fontId="6" fillId="0" borderId="19" xfId="1" applyFont="1" applyBorder="1" applyAlignment="1" applyProtection="1">
      <alignment horizontal="center" vertical="center" wrapText="1"/>
    </xf>
    <xf numFmtId="0" fontId="9" fillId="4" borderId="19" xfId="1" applyFont="1" applyFill="1" applyBorder="1" applyAlignment="1">
      <alignment horizontal="center" vertical="center" wrapText="1"/>
    </xf>
    <xf numFmtId="0" fontId="5" fillId="0" borderId="19" xfId="1" applyFont="1" applyBorder="1" applyAlignment="1" applyProtection="1">
      <alignment horizontal="center" vertical="center" wrapText="1"/>
      <protection locked="0"/>
    </xf>
    <xf numFmtId="0" fontId="5" fillId="0" borderId="19" xfId="1" applyFont="1" applyBorder="1" applyAlignment="1" applyProtection="1">
      <alignment vertical="center" wrapText="1"/>
      <protection locked="0"/>
    </xf>
    <xf numFmtId="0" fontId="5" fillId="0" borderId="0" xfId="2" applyBorder="1" applyAlignment="1">
      <alignment vertical="center"/>
    </xf>
    <xf numFmtId="0" fontId="5" fillId="0" borderId="0" xfId="2" applyBorder="1" applyAlignment="1">
      <alignment horizontal="center" vertical="center"/>
    </xf>
    <xf numFmtId="0" fontId="5" fillId="0" borderId="0" xfId="2" applyAlignment="1">
      <alignment vertical="center"/>
    </xf>
    <xf numFmtId="0" fontId="3" fillId="5" borderId="8" xfId="2" applyFont="1" applyFill="1" applyBorder="1" applyAlignment="1">
      <alignment horizontal="left"/>
    </xf>
    <xf numFmtId="0" fontId="3" fillId="5" borderId="39" xfId="2" applyFont="1" applyFill="1" applyBorder="1" applyAlignment="1">
      <alignment horizontal="left"/>
    </xf>
    <xf numFmtId="0" fontId="1" fillId="5" borderId="10" xfId="2" applyFont="1" applyFill="1" applyBorder="1" applyAlignment="1">
      <alignment horizontal="left"/>
    </xf>
    <xf numFmtId="0" fontId="1" fillId="5" borderId="40" xfId="2" applyFont="1" applyFill="1" applyBorder="1" applyAlignment="1">
      <alignment horizontal="center"/>
    </xf>
    <xf numFmtId="0" fontId="12" fillId="0" borderId="0" xfId="2" applyFont="1" applyBorder="1" applyAlignment="1">
      <alignment horizontal="center" vertical="center"/>
    </xf>
    <xf numFmtId="0" fontId="8" fillId="3" borderId="42" xfId="2" applyFont="1" applyFill="1" applyBorder="1" applyAlignment="1">
      <alignment horizontal="center" vertical="center"/>
    </xf>
    <xf numFmtId="0" fontId="7" fillId="4" borderId="27" xfId="1" applyFont="1" applyFill="1" applyBorder="1" applyAlignment="1">
      <alignment horizontal="left" vertical="center" wrapText="1"/>
    </xf>
    <xf numFmtId="0" fontId="7" fillId="4" borderId="47" xfId="1" applyFont="1" applyFill="1" applyBorder="1" applyAlignment="1">
      <alignment horizontal="left" vertical="center"/>
    </xf>
    <xf numFmtId="0" fontId="7" fillId="4" borderId="49" xfId="1" applyFont="1" applyFill="1" applyBorder="1" applyAlignment="1">
      <alignment horizontal="left" vertical="center" wrapText="1"/>
    </xf>
    <xf numFmtId="0" fontId="7" fillId="4" borderId="50" xfId="2" applyFont="1" applyFill="1" applyBorder="1" applyAlignment="1">
      <alignment vertical="center" wrapText="1"/>
    </xf>
    <xf numFmtId="0" fontId="7" fillId="4" borderId="47" xfId="1" applyFont="1" applyFill="1" applyBorder="1" applyAlignment="1">
      <alignment horizontal="left" vertical="center" wrapText="1"/>
    </xf>
    <xf numFmtId="0" fontId="7" fillId="4" borderId="49" xfId="2" applyFont="1" applyFill="1" applyBorder="1" applyAlignment="1">
      <alignment horizontal="left" vertical="center" wrapText="1"/>
    </xf>
    <xf numFmtId="0" fontId="7" fillId="4" borderId="49" xfId="2" applyFont="1" applyFill="1" applyBorder="1" applyAlignment="1">
      <alignment vertical="center" wrapText="1"/>
    </xf>
    <xf numFmtId="0" fontId="7" fillId="4" borderId="32" xfId="2" applyFont="1" applyFill="1" applyBorder="1" applyAlignment="1">
      <alignment horizontal="left" vertical="center" wrapText="1"/>
    </xf>
    <xf numFmtId="0" fontId="5" fillId="0" borderId="0" xfId="2" applyBorder="1"/>
    <xf numFmtId="0" fontId="6" fillId="0" borderId="19"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9" xfId="1" quotePrefix="1" applyFont="1" applyBorder="1" applyAlignment="1">
      <alignment horizontal="center" vertical="center" wrapText="1"/>
    </xf>
    <xf numFmtId="0" fontId="1" fillId="2" borderId="5" xfId="0" applyFont="1" applyFill="1" applyBorder="1" applyAlignment="1" applyProtection="1">
      <alignment horizontal="center"/>
      <protection locked="0"/>
    </xf>
    <xf numFmtId="0" fontId="1" fillId="2" borderId="10" xfId="0" applyFont="1" applyFill="1" applyBorder="1" applyAlignment="1" applyProtection="1">
      <alignment horizontal="left"/>
      <protection locked="0"/>
    </xf>
    <xf numFmtId="0" fontId="5" fillId="0" borderId="19"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9" xfId="1" quotePrefix="1" applyFont="1" applyBorder="1" applyAlignment="1">
      <alignment horizontal="center" vertical="center" wrapText="1"/>
    </xf>
    <xf numFmtId="9" fontId="1" fillId="0" borderId="19" xfId="38" applyFont="1" applyBorder="1" applyAlignment="1" applyProtection="1">
      <alignment horizontal="center" vertical="center" wrapText="1"/>
    </xf>
    <xf numFmtId="9" fontId="1" fillId="0" borderId="19" xfId="38" applyFont="1" applyFill="1" applyBorder="1" applyAlignment="1" applyProtection="1">
      <alignment horizontal="center" vertical="center" wrapText="1"/>
    </xf>
    <xf numFmtId="9" fontId="1" fillId="4" borderId="19" xfId="38" applyFont="1" applyFill="1" applyBorder="1" applyAlignment="1" applyProtection="1">
      <alignment horizontal="center" vertical="center" wrapText="1"/>
    </xf>
    <xf numFmtId="166" fontId="1" fillId="2" borderId="0" xfId="0" applyNumberFormat="1" applyFont="1" applyFill="1" applyProtection="1"/>
    <xf numFmtId="0" fontId="6" fillId="0" borderId="19" xfId="3" applyFont="1" applyBorder="1" applyAlignment="1" applyProtection="1">
      <alignment horizontal="left" vertical="center" wrapText="1"/>
    </xf>
    <xf numFmtId="0" fontId="1" fillId="0" borderId="19" xfId="0" applyFont="1" applyFill="1" applyBorder="1" applyAlignment="1" applyProtection="1">
      <alignment horizontal="center" vertical="center" wrapText="1"/>
      <protection locked="0"/>
    </xf>
    <xf numFmtId="0" fontId="1" fillId="0" borderId="19" xfId="0" applyFont="1" applyFill="1" applyBorder="1" applyAlignment="1" applyProtection="1">
      <alignment vertical="center" wrapText="1"/>
      <protection locked="0"/>
    </xf>
    <xf numFmtId="0" fontId="6" fillId="0" borderId="19" xfId="0" applyFont="1" applyFill="1" applyBorder="1" applyAlignment="1" applyProtection="1">
      <alignment horizontal="left" vertical="center" wrapText="1"/>
    </xf>
    <xf numFmtId="0" fontId="3" fillId="0" borderId="8" xfId="0" applyFont="1" applyBorder="1" applyAlignment="1" applyProtection="1">
      <alignment horizontal="center"/>
    </xf>
    <xf numFmtId="0" fontId="3" fillId="4" borderId="8" xfId="0" applyFont="1" applyFill="1" applyBorder="1" applyAlignment="1" applyProtection="1">
      <alignment horizontal="center"/>
    </xf>
    <xf numFmtId="0" fontId="1" fillId="0" borderId="45" xfId="0" applyFont="1" applyBorder="1" applyAlignment="1" applyProtection="1">
      <alignment horizontal="center" vertical="center" wrapText="1"/>
    </xf>
    <xf numFmtId="3" fontId="1" fillId="0" borderId="45" xfId="0" applyNumberFormat="1" applyFont="1" applyBorder="1" applyAlignment="1" applyProtection="1">
      <alignment horizontal="center" vertical="center" wrapText="1"/>
    </xf>
    <xf numFmtId="0" fontId="1" fillId="0" borderId="45" xfId="0" applyFont="1" applyBorder="1" applyAlignment="1" applyProtection="1">
      <alignment vertical="center" wrapText="1"/>
      <protection locked="0"/>
    </xf>
    <xf numFmtId="0" fontId="1" fillId="0" borderId="45" xfId="0" applyFont="1" applyBorder="1" applyAlignment="1" applyProtection="1">
      <alignment horizontal="center" vertical="center" wrapText="1"/>
      <protection locked="0"/>
    </xf>
    <xf numFmtId="14" fontId="1" fillId="0" borderId="45" xfId="0" applyNumberFormat="1" applyFont="1" applyBorder="1" applyAlignment="1" applyProtection="1">
      <alignment horizontal="center" vertical="center" wrapText="1"/>
    </xf>
    <xf numFmtId="3" fontId="1" fillId="0" borderId="45" xfId="0" applyNumberFormat="1" applyFont="1" applyFill="1" applyBorder="1" applyAlignment="1" applyProtection="1">
      <alignment horizontal="center" vertical="center" wrapText="1"/>
    </xf>
    <xf numFmtId="3" fontId="1" fillId="4" borderId="45" xfId="0" applyNumberFormat="1" applyFont="1" applyFill="1" applyBorder="1" applyAlignment="1" applyProtection="1">
      <alignment horizontal="center" vertical="center" wrapText="1"/>
    </xf>
    <xf numFmtId="166" fontId="1" fillId="0" borderId="45" xfId="0" applyNumberFormat="1" applyFont="1" applyBorder="1" applyAlignment="1" applyProtection="1">
      <alignment horizontal="center" vertical="center" wrapText="1"/>
    </xf>
    <xf numFmtId="166" fontId="1" fillId="0" borderId="46" xfId="0" applyNumberFormat="1" applyFont="1" applyBorder="1" applyAlignment="1" applyProtection="1">
      <alignment horizontal="center" vertical="center" wrapText="1"/>
    </xf>
    <xf numFmtId="166" fontId="1" fillId="0" borderId="48" xfId="0" applyNumberFormat="1" applyFont="1" applyBorder="1" applyAlignment="1" applyProtection="1">
      <alignment horizontal="center" vertical="center" wrapText="1"/>
    </xf>
    <xf numFmtId="0" fontId="4" fillId="3" borderId="53" xfId="0" applyFont="1" applyFill="1" applyBorder="1" applyAlignment="1" applyProtection="1">
      <alignment horizontal="center"/>
    </xf>
    <xf numFmtId="0" fontId="4" fillId="3" borderId="54" xfId="0" applyFont="1" applyFill="1" applyBorder="1" applyAlignment="1" applyProtection="1">
      <alignment horizontal="center" vertical="center"/>
    </xf>
    <xf numFmtId="0" fontId="4" fillId="3" borderId="54" xfId="0" applyFont="1" applyFill="1" applyBorder="1" applyAlignment="1" applyProtection="1">
      <alignment horizontal="center"/>
    </xf>
    <xf numFmtId="9" fontId="4" fillId="3" borderId="54" xfId="38" applyFont="1" applyFill="1" applyBorder="1" applyAlignment="1" applyProtection="1">
      <alignment horizontal="center"/>
    </xf>
    <xf numFmtId="9" fontId="4" fillId="3" borderId="55" xfId="38" applyFont="1" applyFill="1" applyBorder="1" applyAlignment="1" applyProtection="1">
      <alignment horizontal="center"/>
    </xf>
    <xf numFmtId="0" fontId="1" fillId="9" borderId="49" xfId="0" applyFont="1" applyFill="1" applyBorder="1" applyAlignment="1" applyProtection="1">
      <alignment vertical="center" wrapText="1"/>
      <protection locked="0"/>
    </xf>
    <xf numFmtId="0" fontId="1" fillId="8" borderId="49" xfId="0" applyFont="1" applyFill="1" applyBorder="1" applyAlignment="1" applyProtection="1">
      <alignment vertical="center" wrapText="1"/>
      <protection locked="0"/>
    </xf>
    <xf numFmtId="0" fontId="1" fillId="6" borderId="49" xfId="0" applyFont="1" applyFill="1" applyBorder="1" applyAlignment="1" applyProtection="1">
      <alignment vertical="center" wrapText="1"/>
      <protection locked="0"/>
    </xf>
    <xf numFmtId="0" fontId="6" fillId="0" borderId="0" xfId="1" applyFont="1" applyAlignment="1">
      <alignment horizontal="left" vertical="top" wrapText="1"/>
    </xf>
    <xf numFmtId="0" fontId="9" fillId="4" borderId="19" xfId="1" applyFont="1" applyFill="1" applyBorder="1" applyAlignment="1">
      <alignment horizontal="center" vertical="center" wrapText="1"/>
    </xf>
    <xf numFmtId="0" fontId="9" fillId="4" borderId="20" xfId="1" applyFont="1" applyFill="1" applyBorder="1" applyAlignment="1">
      <alignment horizontal="center" vertical="center" wrapText="1"/>
    </xf>
    <xf numFmtId="0" fontId="9" fillId="4" borderId="21" xfId="1" applyFont="1" applyFill="1" applyBorder="1" applyAlignment="1">
      <alignment horizontal="center" vertical="center" wrapText="1"/>
    </xf>
    <xf numFmtId="0" fontId="9" fillId="4" borderId="22" xfId="1" applyFont="1" applyFill="1" applyBorder="1" applyAlignment="1">
      <alignment horizontal="center" vertical="center" wrapText="1"/>
    </xf>
    <xf numFmtId="0" fontId="9" fillId="4" borderId="24" xfId="1" applyFont="1" applyFill="1" applyBorder="1" applyAlignment="1">
      <alignment horizontal="center" vertical="center" wrapText="1"/>
    </xf>
    <xf numFmtId="0" fontId="9" fillId="4" borderId="25" xfId="1" applyFont="1" applyFill="1" applyBorder="1" applyAlignment="1">
      <alignment horizontal="center" vertical="center" wrapText="1"/>
    </xf>
    <xf numFmtId="0" fontId="9" fillId="4" borderId="26" xfId="1" applyFont="1" applyFill="1" applyBorder="1" applyAlignment="1">
      <alignment horizontal="center" vertical="center" wrapText="1"/>
    </xf>
    <xf numFmtId="0" fontId="5" fillId="0" borderId="34" xfId="1" applyFont="1" applyBorder="1" applyAlignment="1" applyProtection="1">
      <alignment horizontal="left" vertical="center" wrapText="1"/>
      <protection locked="0"/>
    </xf>
    <xf numFmtId="0" fontId="5" fillId="0" borderId="17" xfId="1" applyFont="1" applyBorder="1" applyAlignment="1" applyProtection="1">
      <alignment horizontal="left" vertical="center" wrapText="1"/>
      <protection locked="0"/>
    </xf>
    <xf numFmtId="0" fontId="5" fillId="0" borderId="18" xfId="1" applyFont="1" applyBorder="1" applyAlignment="1" applyProtection="1">
      <alignment horizontal="left" vertical="center" wrapText="1"/>
      <protection locked="0"/>
    </xf>
    <xf numFmtId="0" fontId="5" fillId="0" borderId="19" xfId="1" applyFont="1" applyBorder="1" applyAlignment="1" applyProtection="1">
      <alignment horizontal="center" wrapText="1"/>
      <protection locked="0"/>
    </xf>
    <xf numFmtId="0" fontId="5" fillId="0" borderId="34" xfId="1" applyFont="1" applyBorder="1" applyAlignment="1" applyProtection="1">
      <alignment horizontal="center" wrapText="1"/>
      <protection locked="0"/>
    </xf>
    <xf numFmtId="0" fontId="5" fillId="0" borderId="17" xfId="1" applyFont="1" applyBorder="1" applyAlignment="1" applyProtection="1">
      <alignment horizontal="center" wrapText="1"/>
      <protection locked="0"/>
    </xf>
    <xf numFmtId="0" fontId="5" fillId="0" borderId="18" xfId="1" applyFont="1" applyBorder="1" applyAlignment="1" applyProtection="1">
      <alignment horizontal="center" wrapText="1"/>
      <protection locked="0"/>
    </xf>
    <xf numFmtId="0" fontId="8" fillId="3" borderId="27" xfId="1" applyFont="1" applyFill="1" applyBorder="1" applyAlignment="1">
      <alignment horizontal="left" vertical="center"/>
    </xf>
    <xf numFmtId="0" fontId="8" fillId="3" borderId="28" xfId="1" applyFont="1" applyFill="1" applyBorder="1" applyAlignment="1">
      <alignment horizontal="left" vertical="center"/>
    </xf>
    <xf numFmtId="0" fontId="8" fillId="3" borderId="35" xfId="1" applyFont="1" applyFill="1" applyBorder="1" applyAlignment="1">
      <alignment horizontal="left" vertical="center"/>
    </xf>
    <xf numFmtId="0" fontId="6" fillId="0" borderId="32" xfId="1" applyFont="1" applyBorder="1" applyAlignment="1" applyProtection="1">
      <alignment horizontal="left" vertical="center"/>
      <protection locked="0"/>
    </xf>
    <xf numFmtId="0" fontId="6" fillId="0" borderId="33" xfId="1" applyFont="1" applyBorder="1" applyAlignment="1" applyProtection="1">
      <alignment horizontal="left" vertical="center"/>
      <protection locked="0"/>
    </xf>
    <xf numFmtId="0" fontId="6" fillId="0" borderId="33" xfId="1" applyFont="1" applyBorder="1" applyAlignment="1" applyProtection="1">
      <alignment horizontal="left" vertical="center" wrapText="1"/>
      <protection locked="0"/>
    </xf>
    <xf numFmtId="0" fontId="6" fillId="0" borderId="36" xfId="1" applyFont="1" applyBorder="1" applyAlignment="1" applyProtection="1">
      <alignment horizontal="left" vertical="center"/>
      <protection locked="0"/>
    </xf>
    <xf numFmtId="0" fontId="8" fillId="3" borderId="19" xfId="1" applyFont="1" applyFill="1" applyBorder="1" applyAlignment="1">
      <alignment horizontal="center" vertical="center" wrapText="1"/>
    </xf>
    <xf numFmtId="0" fontId="9" fillId="4" borderId="19" xfId="1" applyFont="1" applyFill="1" applyBorder="1" applyAlignment="1">
      <alignment horizontal="center" vertical="center"/>
    </xf>
    <xf numFmtId="0" fontId="8" fillId="3" borderId="19" xfId="1" applyFont="1" applyFill="1" applyBorder="1" applyAlignment="1" applyProtection="1">
      <alignment horizontal="center" vertical="center" wrapText="1"/>
    </xf>
    <xf numFmtId="0" fontId="9" fillId="4" borderId="19" xfId="1" applyFont="1" applyFill="1" applyBorder="1" applyAlignment="1" applyProtection="1">
      <alignment horizontal="center" vertical="center" wrapText="1"/>
    </xf>
    <xf numFmtId="0" fontId="6" fillId="4" borderId="19" xfId="1" applyFont="1" applyFill="1" applyBorder="1" applyAlignment="1" applyProtection="1">
      <alignment horizontal="center" vertical="center" wrapText="1"/>
    </xf>
    <xf numFmtId="167" fontId="6" fillId="0" borderId="19" xfId="1" applyNumberFormat="1" applyFont="1" applyBorder="1" applyAlignment="1" applyProtection="1">
      <alignment horizontal="center" vertical="center" wrapText="1"/>
    </xf>
    <xf numFmtId="0" fontId="9" fillId="0" borderId="19" xfId="1" applyFont="1" applyBorder="1" applyAlignment="1" applyProtection="1">
      <alignment horizontal="center" vertical="center" wrapText="1"/>
      <protection locked="0"/>
    </xf>
    <xf numFmtId="0" fontId="5" fillId="0" borderId="19" xfId="1" applyFont="1" applyBorder="1" applyAlignment="1" applyProtection="1">
      <alignment horizontal="left" vertical="center" wrapText="1"/>
      <protection locked="0"/>
    </xf>
    <xf numFmtId="0" fontId="6" fillId="0" borderId="27" xfId="1" applyFont="1" applyBorder="1" applyAlignment="1" applyProtection="1">
      <alignment horizontal="center"/>
    </xf>
    <xf numFmtId="0" fontId="6" fillId="0" borderId="28" xfId="1" applyFont="1" applyBorder="1" applyAlignment="1" applyProtection="1">
      <alignment horizontal="center"/>
    </xf>
    <xf numFmtId="0" fontId="6" fillId="0" borderId="30" xfId="1" applyFont="1" applyBorder="1" applyAlignment="1" applyProtection="1">
      <alignment horizontal="center"/>
    </xf>
    <xf numFmtId="0" fontId="6" fillId="0" borderId="23" xfId="1" applyFont="1" applyBorder="1" applyAlignment="1" applyProtection="1">
      <alignment horizontal="center"/>
    </xf>
    <xf numFmtId="0" fontId="6" fillId="0" borderId="32" xfId="1" applyFont="1" applyBorder="1" applyAlignment="1" applyProtection="1">
      <alignment horizontal="center"/>
    </xf>
    <xf numFmtId="0" fontId="6" fillId="0" borderId="33" xfId="1" applyFont="1" applyBorder="1" applyAlignment="1" applyProtection="1">
      <alignment horizontal="center"/>
    </xf>
    <xf numFmtId="0" fontId="7" fillId="0" borderId="28" xfId="1" applyFont="1" applyBorder="1" applyAlignment="1" applyProtection="1">
      <alignment horizontal="center" vertical="center" wrapText="1"/>
    </xf>
    <xf numFmtId="0" fontId="7" fillId="0" borderId="23" xfId="1" applyFont="1" applyBorder="1" applyAlignment="1" applyProtection="1">
      <alignment horizontal="center" vertical="center" wrapText="1"/>
    </xf>
    <xf numFmtId="0" fontId="7" fillId="0" borderId="33" xfId="1" applyFont="1" applyBorder="1" applyAlignment="1" applyProtection="1">
      <alignment horizontal="center" vertical="center" wrapText="1"/>
    </xf>
    <xf numFmtId="0" fontId="3" fillId="5" borderId="20" xfId="1" applyFont="1" applyFill="1" applyBorder="1" applyAlignment="1" applyProtection="1">
      <alignment horizontal="left"/>
    </xf>
    <xf numFmtId="0" fontId="3" fillId="5" borderId="22" xfId="1" applyFont="1" applyFill="1" applyBorder="1" applyAlignment="1" applyProtection="1">
      <alignment horizontal="left"/>
    </xf>
    <xf numFmtId="0" fontId="3" fillId="5" borderId="31" xfId="1" applyFont="1" applyFill="1" applyBorder="1" applyAlignment="1" applyProtection="1">
      <alignment horizontal="left"/>
    </xf>
    <xf numFmtId="0" fontId="1" fillId="5" borderId="24" xfId="1" applyFont="1" applyFill="1" applyBorder="1" applyAlignment="1" applyProtection="1">
      <alignment horizontal="left"/>
    </xf>
    <xf numFmtId="0" fontId="1" fillId="5" borderId="26" xfId="1" applyFont="1" applyFill="1" applyBorder="1" applyAlignment="1" applyProtection="1">
      <alignment horizontal="left"/>
    </xf>
    <xf numFmtId="0" fontId="1" fillId="5" borderId="24" xfId="1" applyFont="1" applyFill="1" applyBorder="1" applyAlignment="1" applyProtection="1">
      <alignment horizontal="center"/>
    </xf>
    <xf numFmtId="0" fontId="1" fillId="5" borderId="11" xfId="1" applyFont="1" applyFill="1" applyBorder="1" applyAlignment="1" applyProtection="1">
      <alignment horizontal="center"/>
    </xf>
    <xf numFmtId="0" fontId="3" fillId="5" borderId="21" xfId="1" applyFont="1" applyFill="1" applyBorder="1" applyAlignment="1" applyProtection="1">
      <alignment horizontal="left"/>
    </xf>
    <xf numFmtId="0" fontId="1" fillId="5" borderId="31" xfId="1" applyFont="1" applyFill="1" applyBorder="1" applyAlignment="1" applyProtection="1">
      <alignment horizontal="left"/>
    </xf>
    <xf numFmtId="165" fontId="1" fillId="5" borderId="15" xfId="1" quotePrefix="1" applyNumberFormat="1" applyFont="1" applyFill="1" applyBorder="1" applyAlignment="1" applyProtection="1">
      <alignment horizontal="left"/>
    </xf>
    <xf numFmtId="165" fontId="1" fillId="5" borderId="14" xfId="1" quotePrefix="1" applyNumberFormat="1" applyFont="1" applyFill="1" applyBorder="1" applyAlignment="1" applyProtection="1">
      <alignment horizontal="left"/>
    </xf>
    <xf numFmtId="165" fontId="1" fillId="5" borderId="16" xfId="1" applyNumberFormat="1" applyFont="1" applyFill="1" applyBorder="1" applyAlignment="1" applyProtection="1">
      <alignment horizontal="left"/>
    </xf>
    <xf numFmtId="0" fontId="3" fillId="5" borderId="29" xfId="1" applyFont="1" applyFill="1" applyBorder="1" applyAlignment="1" applyProtection="1">
      <alignment horizontal="left"/>
    </xf>
    <xf numFmtId="0" fontId="3" fillId="5" borderId="4" xfId="1" applyFont="1" applyFill="1" applyBorder="1" applyAlignment="1" applyProtection="1">
      <alignment horizontal="left"/>
    </xf>
    <xf numFmtId="0" fontId="1" fillId="5" borderId="4" xfId="1" applyFont="1" applyFill="1" applyBorder="1" applyAlignment="1" applyProtection="1">
      <alignment horizontal="left"/>
    </xf>
    <xf numFmtId="0" fontId="1" fillId="5" borderId="5" xfId="1" applyFont="1" applyFill="1" applyBorder="1" applyAlignment="1" applyProtection="1">
      <alignment horizontal="left"/>
    </xf>
    <xf numFmtId="0" fontId="1" fillId="9" borderId="49" xfId="0" applyFont="1" applyFill="1" applyBorder="1" applyAlignment="1" applyProtection="1">
      <alignment horizontal="left" vertical="center" wrapText="1"/>
      <protection locked="0"/>
    </xf>
    <xf numFmtId="0" fontId="1" fillId="7" borderId="49" xfId="0" applyFont="1" applyFill="1" applyBorder="1" applyAlignment="1" applyProtection="1">
      <alignment horizontal="left" vertical="center" wrapText="1"/>
      <protection locked="0"/>
    </xf>
    <xf numFmtId="0" fontId="1" fillId="6" borderId="49" xfId="0" applyFont="1" applyFill="1" applyBorder="1" applyAlignment="1" applyProtection="1">
      <alignment horizontal="left" vertical="center" wrapText="1"/>
      <protection locked="0"/>
    </xf>
    <xf numFmtId="0" fontId="1" fillId="8" borderId="49" xfId="0" applyFont="1" applyFill="1" applyBorder="1" applyAlignment="1" applyProtection="1">
      <alignment horizontal="left" vertical="center" wrapText="1"/>
      <protection locked="0"/>
    </xf>
    <xf numFmtId="0" fontId="1" fillId="7" borderId="52" xfId="0" applyFont="1" applyFill="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9" xfId="0" applyFont="1" applyBorder="1" applyAlignment="1" applyProtection="1">
      <alignment horizontal="left" vertical="center" wrapText="1"/>
      <protection locked="0"/>
    </xf>
    <xf numFmtId="0" fontId="3" fillId="4" borderId="19" xfId="0" applyFont="1" applyFill="1" applyBorder="1" applyAlignment="1" applyProtection="1">
      <alignment horizontal="center" vertical="center"/>
    </xf>
    <xf numFmtId="0" fontId="3" fillId="4" borderId="19" xfId="0" applyFont="1" applyFill="1" applyBorder="1" applyAlignment="1" applyProtection="1">
      <alignment horizontal="center"/>
    </xf>
    <xf numFmtId="0" fontId="3" fillId="4" borderId="8" xfId="0" applyFont="1" applyFill="1" applyBorder="1" applyAlignment="1" applyProtection="1">
      <alignment horizontal="center" vertical="center" wrapText="1"/>
    </xf>
    <xf numFmtId="0" fontId="3" fillId="4" borderId="23" xfId="0" applyFont="1" applyFill="1" applyBorder="1" applyAlignment="1" applyProtection="1">
      <alignment horizontal="center" vertical="center" wrapText="1"/>
    </xf>
    <xf numFmtId="0" fontId="3" fillId="4" borderId="20" xfId="0" applyFont="1" applyFill="1" applyBorder="1" applyAlignment="1" applyProtection="1">
      <alignment horizontal="center" vertical="center" wrapText="1"/>
    </xf>
    <xf numFmtId="0" fontId="3" fillId="4" borderId="21" xfId="0" applyFont="1" applyFill="1" applyBorder="1" applyAlignment="1" applyProtection="1">
      <alignment horizontal="center" vertical="center" wrapText="1"/>
    </xf>
    <xf numFmtId="0" fontId="3" fillId="4" borderId="22"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0" fontId="3" fillId="4" borderId="25" xfId="0" applyFont="1" applyFill="1" applyBorder="1" applyAlignment="1" applyProtection="1">
      <alignment horizontal="center" vertical="center" wrapText="1"/>
    </xf>
    <xf numFmtId="0" fontId="3" fillId="4" borderId="26" xfId="0" applyFont="1" applyFill="1" applyBorder="1" applyAlignment="1" applyProtection="1">
      <alignment horizontal="center" vertical="center" wrapText="1"/>
    </xf>
    <xf numFmtId="0" fontId="1" fillId="2" borderId="1"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7" xfId="0" applyFont="1" applyFill="1" applyBorder="1" applyAlignment="1" applyProtection="1">
      <alignment horizontal="center"/>
    </xf>
    <xf numFmtId="0" fontId="1" fillId="2" borderId="12" xfId="0" applyFont="1" applyFill="1" applyBorder="1" applyAlignment="1" applyProtection="1">
      <alignment horizontal="center"/>
    </xf>
    <xf numFmtId="0" fontId="1" fillId="2" borderId="13" xfId="0" applyFont="1" applyFill="1" applyBorder="1" applyAlignment="1" applyProtection="1">
      <alignment horizontal="center"/>
    </xf>
    <xf numFmtId="0" fontId="2" fillId="2" borderId="3"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165" fontId="1" fillId="2" borderId="15" xfId="0" applyNumberFormat="1" applyFont="1" applyFill="1" applyBorder="1" applyAlignment="1" applyProtection="1">
      <alignment horizontal="left"/>
      <protection locked="0"/>
    </xf>
    <xf numFmtId="0" fontId="1" fillId="2" borderId="16" xfId="0" applyFont="1" applyFill="1" applyBorder="1" applyAlignment="1" applyProtection="1">
      <alignment horizontal="left"/>
      <protection locked="0"/>
    </xf>
    <xf numFmtId="0" fontId="3" fillId="4" borderId="19" xfId="0" applyFont="1" applyFill="1" applyBorder="1" applyAlignment="1" applyProtection="1">
      <alignment horizontal="center" vertical="center" wrapText="1"/>
    </xf>
    <xf numFmtId="0" fontId="6" fillId="0" borderId="33" xfId="2" applyFont="1" applyFill="1" applyBorder="1" applyAlignment="1">
      <alignment horizontal="left" vertical="center" wrapText="1"/>
    </xf>
    <xf numFmtId="0" fontId="6" fillId="0" borderId="36" xfId="2" applyFont="1" applyFill="1" applyBorder="1" applyAlignment="1">
      <alignment horizontal="left" vertical="center" wrapText="1"/>
    </xf>
    <xf numFmtId="0" fontId="6" fillId="0" borderId="19" xfId="2" applyFont="1" applyFill="1" applyBorder="1" applyAlignment="1">
      <alignment horizontal="left" vertical="center" wrapText="1"/>
    </xf>
    <xf numFmtId="0" fontId="6" fillId="0" borderId="48" xfId="2" applyFont="1" applyFill="1" applyBorder="1" applyAlignment="1">
      <alignment horizontal="left" vertical="center" wrapText="1"/>
    </xf>
    <xf numFmtId="0" fontId="15" fillId="0" borderId="19" xfId="2" applyFont="1" applyFill="1" applyBorder="1" applyAlignment="1">
      <alignment horizontal="left" vertical="center" wrapText="1"/>
    </xf>
    <xf numFmtId="0" fontId="15" fillId="0" borderId="48" xfId="2" applyFont="1" applyFill="1" applyBorder="1" applyAlignment="1">
      <alignment horizontal="left" vertical="center" wrapText="1"/>
    </xf>
    <xf numFmtId="0" fontId="6" fillId="0" borderId="12" xfId="2" applyFont="1" applyBorder="1" applyAlignment="1">
      <alignment horizontal="left" vertical="center" wrapText="1"/>
    </xf>
    <xf numFmtId="0" fontId="6" fillId="0" borderId="14" xfId="2" applyFont="1" applyBorder="1" applyAlignment="1">
      <alignment horizontal="left" vertical="center" wrapText="1"/>
    </xf>
    <xf numFmtId="0" fontId="6" fillId="0" borderId="16" xfId="2" applyFont="1" applyBorder="1" applyAlignment="1">
      <alignment horizontal="left" vertical="center" wrapText="1"/>
    </xf>
    <xf numFmtId="0" fontId="8" fillId="3" borderId="43" xfId="2" applyFont="1" applyFill="1" applyBorder="1" applyAlignment="1">
      <alignment horizontal="center" vertical="center"/>
    </xf>
    <xf numFmtId="0" fontId="8" fillId="3" borderId="44" xfId="2" applyFont="1" applyFill="1" applyBorder="1" applyAlignment="1">
      <alignment horizontal="center" vertical="center"/>
    </xf>
    <xf numFmtId="0" fontId="6" fillId="0" borderId="45" xfId="2" applyFont="1" applyFill="1" applyBorder="1" applyAlignment="1">
      <alignment horizontal="left" vertical="center" wrapText="1"/>
    </xf>
    <xf numFmtId="0" fontId="6" fillId="0" borderId="46" xfId="2" applyFont="1" applyFill="1" applyBorder="1" applyAlignment="1">
      <alignment horizontal="left" vertical="center" wrapText="1"/>
    </xf>
    <xf numFmtId="0" fontId="6" fillId="0" borderId="34" xfId="2" applyFont="1" applyFill="1" applyBorder="1" applyAlignment="1">
      <alignment horizontal="left" vertical="center" wrapText="1"/>
    </xf>
    <xf numFmtId="0" fontId="6" fillId="0" borderId="17" xfId="2" applyFont="1" applyFill="1" applyBorder="1" applyAlignment="1">
      <alignment horizontal="left" vertical="center" wrapText="1"/>
    </xf>
    <xf numFmtId="0" fontId="6" fillId="0" borderId="51" xfId="2" applyFont="1" applyFill="1" applyBorder="1" applyAlignment="1">
      <alignment horizontal="left" vertical="center" wrapText="1"/>
    </xf>
    <xf numFmtId="0" fontId="8" fillId="3" borderId="1"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1" xfId="2" applyFont="1" applyFill="1" applyBorder="1" applyAlignment="1">
      <alignment horizontal="center" vertical="center"/>
    </xf>
    <xf numFmtId="0" fontId="7" fillId="0" borderId="27" xfId="2" applyFont="1" applyFill="1" applyBorder="1" applyAlignment="1">
      <alignment horizontal="center" vertical="center"/>
    </xf>
    <xf numFmtId="0" fontId="7" fillId="0" borderId="30" xfId="2" applyFont="1" applyFill="1" applyBorder="1" applyAlignment="1">
      <alignment horizontal="center" vertical="center"/>
    </xf>
    <xf numFmtId="0" fontId="7" fillId="0" borderId="32"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3"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0"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4" xfId="2" applyFont="1" applyFill="1" applyBorder="1" applyAlignment="1">
      <alignment horizontal="center" vertical="center"/>
    </xf>
    <xf numFmtId="0" fontId="3" fillId="5" borderId="29" xfId="2" applyFont="1" applyFill="1" applyBorder="1" applyAlignment="1">
      <alignment horizontal="left"/>
    </xf>
    <xf numFmtId="0" fontId="1" fillId="5" borderId="5" xfId="2" applyFont="1" applyFill="1" applyBorder="1" applyAlignment="1">
      <alignment horizontal="left"/>
    </xf>
    <xf numFmtId="0" fontId="3" fillId="5" borderId="20" xfId="2" applyFont="1" applyFill="1" applyBorder="1" applyAlignment="1">
      <alignment horizontal="left"/>
    </xf>
    <xf numFmtId="0" fontId="1" fillId="5" borderId="31" xfId="2" applyFont="1" applyFill="1" applyBorder="1" applyAlignment="1">
      <alignment horizontal="left"/>
    </xf>
    <xf numFmtId="15" fontId="1" fillId="5" borderId="15" xfId="2" quotePrefix="1" applyNumberFormat="1" applyFont="1" applyFill="1" applyBorder="1" applyAlignment="1">
      <alignment horizontal="left"/>
    </xf>
    <xf numFmtId="0" fontId="1" fillId="5" borderId="16" xfId="2" applyFont="1" applyFill="1" applyBorder="1" applyAlignment="1">
      <alignment horizontal="left"/>
    </xf>
    <xf numFmtId="0" fontId="5" fillId="0" borderId="34" xfId="1" applyFont="1" applyBorder="1" applyAlignment="1">
      <alignment horizontal="left" vertical="center" wrapText="1"/>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5" fillId="0" borderId="19" xfId="1" applyFont="1" applyBorder="1" applyAlignment="1">
      <alignment horizontal="center" vertical="center"/>
    </xf>
    <xf numFmtId="0" fontId="5" fillId="0" borderId="34"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32" xfId="1" applyFont="1" applyBorder="1" applyAlignment="1">
      <alignment horizontal="left" vertical="center" wrapText="1"/>
    </xf>
    <xf numFmtId="0" fontId="5" fillId="0" borderId="33" xfId="1" applyFont="1" applyBorder="1" applyAlignment="1">
      <alignment horizontal="left" vertical="center" wrapText="1"/>
    </xf>
    <xf numFmtId="0" fontId="5" fillId="0" borderId="33" xfId="1" applyFont="1" applyBorder="1" applyAlignment="1">
      <alignment horizontal="left" vertical="center"/>
    </xf>
    <xf numFmtId="0" fontId="5" fillId="0" borderId="36" xfId="1" applyFont="1" applyBorder="1" applyAlignment="1">
      <alignment horizontal="left" vertical="center"/>
    </xf>
    <xf numFmtId="0" fontId="5" fillId="0" borderId="19" xfId="1" applyFont="1" applyBorder="1" applyAlignment="1">
      <alignment horizontal="center"/>
    </xf>
    <xf numFmtId="0" fontId="5" fillId="0" borderId="19" xfId="1" applyFont="1" applyBorder="1" applyAlignment="1">
      <alignment horizontal="left" vertical="center" wrapText="1"/>
    </xf>
    <xf numFmtId="0" fontId="9" fillId="0" borderId="19" xfId="1" applyFont="1" applyBorder="1" applyAlignment="1">
      <alignment horizontal="center" vertical="center" wrapText="1"/>
    </xf>
    <xf numFmtId="0" fontId="6" fillId="4" borderId="19" xfId="1" applyFont="1" applyFill="1" applyBorder="1" applyAlignment="1">
      <alignment horizontal="center" vertical="center" wrapText="1"/>
    </xf>
    <xf numFmtId="14" fontId="6" fillId="0" borderId="19" xfId="1" applyNumberFormat="1" applyFont="1" applyBorder="1" applyAlignment="1">
      <alignment horizontal="center" vertical="center" wrapText="1"/>
    </xf>
    <xf numFmtId="0" fontId="6" fillId="0" borderId="19" xfId="1" applyFont="1" applyBorder="1" applyAlignment="1">
      <alignment horizontal="center" vertical="center" wrapText="1"/>
    </xf>
    <xf numFmtId="0" fontId="6" fillId="0" borderId="27" xfId="1" applyFont="1" applyBorder="1" applyAlignment="1">
      <alignment horizontal="center"/>
    </xf>
    <xf numFmtId="0" fontId="6" fillId="0" borderId="28" xfId="1" applyFont="1" applyBorder="1" applyAlignment="1">
      <alignment horizontal="center"/>
    </xf>
    <xf numFmtId="0" fontId="6" fillId="0" borderId="30" xfId="1" applyFont="1" applyBorder="1" applyAlignment="1">
      <alignment horizontal="center"/>
    </xf>
    <xf numFmtId="0" fontId="6" fillId="0" borderId="23" xfId="1" applyFont="1" applyBorder="1" applyAlignment="1">
      <alignment horizontal="center"/>
    </xf>
    <xf numFmtId="0" fontId="6" fillId="0" borderId="32" xfId="1" applyFont="1" applyBorder="1" applyAlignment="1">
      <alignment horizontal="center"/>
    </xf>
    <xf numFmtId="0" fontId="6" fillId="0" borderId="33" xfId="1" applyFont="1" applyBorder="1" applyAlignment="1">
      <alignment horizontal="center"/>
    </xf>
    <xf numFmtId="0" fontId="7" fillId="0" borderId="28"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33" xfId="1" applyFont="1" applyBorder="1" applyAlignment="1">
      <alignment horizontal="center" vertical="center" wrapText="1"/>
    </xf>
    <xf numFmtId="0" fontId="3" fillId="5" borderId="29" xfId="1" applyFont="1" applyFill="1" applyBorder="1" applyAlignment="1">
      <alignment horizontal="left"/>
    </xf>
    <xf numFmtId="0" fontId="3" fillId="5" borderId="4" xfId="1" applyFont="1" applyFill="1" applyBorder="1" applyAlignment="1">
      <alignment horizontal="left"/>
    </xf>
    <xf numFmtId="0" fontId="1" fillId="5" borderId="5" xfId="1" applyFont="1" applyFill="1" applyBorder="1" applyAlignment="1">
      <alignment horizontal="left"/>
    </xf>
    <xf numFmtId="0" fontId="3" fillId="5" borderId="20" xfId="1" applyFont="1" applyFill="1" applyBorder="1" applyAlignment="1">
      <alignment horizontal="left"/>
    </xf>
    <xf numFmtId="0" fontId="3" fillId="5" borderId="22" xfId="1" applyFont="1" applyFill="1" applyBorder="1" applyAlignment="1">
      <alignment horizontal="left"/>
    </xf>
    <xf numFmtId="0" fontId="3" fillId="5" borderId="31" xfId="1" applyFont="1" applyFill="1" applyBorder="1" applyAlignment="1">
      <alignment horizontal="left"/>
    </xf>
    <xf numFmtId="0" fontId="1" fillId="5" borderId="24" xfId="1" applyFont="1" applyFill="1" applyBorder="1" applyAlignment="1">
      <alignment horizontal="left"/>
    </xf>
    <xf numFmtId="0" fontId="1" fillId="5" borderId="26" xfId="1" applyFont="1" applyFill="1" applyBorder="1" applyAlignment="1">
      <alignment horizontal="left"/>
    </xf>
    <xf numFmtId="0" fontId="1" fillId="5" borderId="24" xfId="1" applyFont="1" applyFill="1" applyBorder="1" applyAlignment="1">
      <alignment horizontal="center"/>
    </xf>
    <xf numFmtId="0" fontId="1" fillId="5" borderId="11" xfId="1" applyFont="1" applyFill="1" applyBorder="1" applyAlignment="1">
      <alignment horizontal="center"/>
    </xf>
    <xf numFmtId="0" fontId="3" fillId="5" borderId="21" xfId="1" applyFont="1" applyFill="1" applyBorder="1" applyAlignment="1">
      <alignment horizontal="left"/>
    </xf>
    <xf numFmtId="0" fontId="1" fillId="5" borderId="31" xfId="1" applyFont="1" applyFill="1" applyBorder="1" applyAlignment="1">
      <alignment horizontal="left"/>
    </xf>
    <xf numFmtId="15" fontId="1" fillId="5" borderId="15" xfId="1" quotePrefix="1" applyNumberFormat="1" applyFont="1" applyFill="1" applyBorder="1" applyAlignment="1">
      <alignment horizontal="left"/>
    </xf>
    <xf numFmtId="15" fontId="1" fillId="5" borderId="14" xfId="1" quotePrefix="1" applyNumberFormat="1" applyFont="1" applyFill="1" applyBorder="1" applyAlignment="1">
      <alignment horizontal="left"/>
    </xf>
    <xf numFmtId="0" fontId="1" fillId="5" borderId="16" xfId="1" applyFont="1" applyFill="1" applyBorder="1" applyAlignment="1">
      <alignment horizontal="left"/>
    </xf>
  </cellXfs>
  <cellStyles count="39">
    <cellStyle name="Excel_BuiltIn_Percent" xfId="19"/>
    <cellStyle name="Millares 2" xfId="11"/>
    <cellStyle name="Millares 3" xfId="25"/>
    <cellStyle name="Millares 3 2" xfId="36"/>
    <cellStyle name="Millares 4" xfId="9"/>
    <cellStyle name="Normal" xfId="0" builtinId="0"/>
    <cellStyle name="Normal 10" xfId="1"/>
    <cellStyle name="Normal 11" xfId="18"/>
    <cellStyle name="Normal 11 2" xfId="30"/>
    <cellStyle name="Normal 12" xfId="23"/>
    <cellStyle name="Normal 12 2" xfId="3"/>
    <cellStyle name="Normal 13" xfId="24"/>
    <cellStyle name="Normal 13 2" xfId="35"/>
    <cellStyle name="Normal 14" xfId="4"/>
    <cellStyle name="Normal 15" xfId="26"/>
    <cellStyle name="Normal 16" xfId="28"/>
    <cellStyle name="Normal 17" xfId="27"/>
    <cellStyle name="Normal 18" xfId="31"/>
    <cellStyle name="Normal 19" xfId="34"/>
    <cellStyle name="Normal 2" xfId="6"/>
    <cellStyle name="Normal 2 2" xfId="20"/>
    <cellStyle name="Normal 2 3" xfId="2"/>
    <cellStyle name="Normal 20" xfId="37"/>
    <cellStyle name="Normal 21" xfId="29"/>
    <cellStyle name="Normal 3" xfId="5"/>
    <cellStyle name="Normal 3 2" xfId="21"/>
    <cellStyle name="Normal 3 2 2" xfId="32"/>
    <cellStyle name="Normal 4" xfId="8"/>
    <cellStyle name="Normal 4 2" xfId="22"/>
    <cellStyle name="Normal 4 2 2" xfId="33"/>
    <cellStyle name="Normal 5" xfId="13"/>
    <cellStyle name="Normal 6" xfId="14"/>
    <cellStyle name="Normal 7" xfId="15"/>
    <cellStyle name="Normal 8" xfId="16"/>
    <cellStyle name="Normal 9" xfId="17"/>
    <cellStyle name="Porcentaje" xfId="38" builtinId="5"/>
    <cellStyle name="Porcentaje 2" xfId="7"/>
    <cellStyle name="Porcentaje 3" xfId="12"/>
    <cellStyle name="Porcentaje 4" xfId="10"/>
  </cellStyles>
  <dxfs count="4">
    <dxf>
      <fill>
        <patternFill>
          <bgColor indexed="10"/>
        </patternFill>
      </fill>
    </dxf>
    <dxf>
      <fill>
        <patternFill>
          <bgColor indexed="13"/>
        </patternFill>
      </fill>
    </dxf>
    <dxf>
      <fill>
        <patternFill>
          <bgColor rgb="FF00B050"/>
        </patternFill>
      </fill>
    </dxf>
    <dxf>
      <fill>
        <patternFill>
          <bgColor indexed="9"/>
        </patternFill>
      </fill>
    </dxf>
  </dxfs>
  <tableStyles count="0" defaultTableStyle="TableStyleMedium2" defaultPivotStyle="PivotStyleLight16"/>
  <colors>
    <mruColors>
      <color rgb="FFFFFF99"/>
      <color rgb="FFFFCCFF"/>
      <color rgb="FF66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1</xdr:row>
      <xdr:rowOff>190500</xdr:rowOff>
    </xdr:from>
    <xdr:ext cx="1809751" cy="624907"/>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792ECA2-3AD4-44E8-B007-7FFB64975886}"/>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47650"/>
          <a:ext cx="1809751" cy="62490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454024</xdr:colOff>
      <xdr:row>1</xdr:row>
      <xdr:rowOff>79375</xdr:rowOff>
    </xdr:from>
    <xdr:to>
      <xdr:col>2</xdr:col>
      <xdr:colOff>1197882</xdr:colOff>
      <xdr:row>5</xdr:row>
      <xdr:rowOff>111125</xdr:rowOff>
    </xdr:to>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AA545AF9-273A-46F6-8E3D-B2E51A1F67C1}"/>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768349" y="269875"/>
          <a:ext cx="2391683" cy="7937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54428</xdr:colOff>
      <xdr:row>1</xdr:row>
      <xdr:rowOff>178594</xdr:rowOff>
    </xdr:from>
    <xdr:ext cx="1809751" cy="629140"/>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EA2A4B45-BBB0-4330-A478-EE79FF8BC69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0178" y="273844"/>
          <a:ext cx="1809751" cy="62914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57150</xdr:colOff>
      <xdr:row>1</xdr:row>
      <xdr:rowOff>190500</xdr:rowOff>
    </xdr:from>
    <xdr:ext cx="1809751" cy="629140"/>
    <xdr:pic>
      <xdr:nvPicPr>
        <xdr:cNvPr id="2" name="Picture 4" descr="Macintosh HD:Users:personeriabogota:Documents:Personeria:2016:Julio:Propuesta logo:Logo Nuevo Personeria cuadricula-02.png">
          <a:extLst>
            <a:ext uri="{FF2B5EF4-FFF2-40B4-BE49-F238E27FC236}">
              <a16:creationId xmlns="" xmlns:a16="http://schemas.microsoft.com/office/drawing/2014/main" id="{53CD1950-9326-465E-90EF-97BD5DD86A9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42900" y="247650"/>
          <a:ext cx="1809751" cy="62914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morenoo/Downloads/Cuadro%20de%20Mando%20Integr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uadro de Mando Integral"/>
      <sheetName val="Indicadores eliminados"/>
      <sheetName val="Correos"/>
      <sheetName val="Instructiv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00B0F0"/>
  </sheetPr>
  <dimension ref="B1:O27"/>
  <sheetViews>
    <sheetView zoomScale="90" zoomScaleNormal="90" workbookViewId="0">
      <selection activeCell="J1" sqref="J1"/>
    </sheetView>
  </sheetViews>
  <sheetFormatPr baseColWidth="10" defaultRowHeight="15"/>
  <cols>
    <col min="1" max="1" width="4.28515625" style="18" customWidth="1"/>
    <col min="2" max="4" width="14.28515625" style="18" customWidth="1"/>
    <col min="5" max="15" width="7.140625" style="18" customWidth="1"/>
    <col min="16" max="16384" width="11.42578125" style="18"/>
  </cols>
  <sheetData>
    <row r="1" spans="2:15" ht="4.5" customHeight="1" thickBot="1"/>
    <row r="2" spans="2:15" ht="15.75" customHeight="1">
      <c r="B2" s="107"/>
      <c r="C2" s="108"/>
      <c r="D2" s="113" t="s">
        <v>236</v>
      </c>
      <c r="E2" s="113"/>
      <c r="F2" s="113"/>
      <c r="G2" s="113"/>
      <c r="H2" s="113"/>
      <c r="I2" s="113"/>
      <c r="J2" s="113"/>
      <c r="K2" s="113"/>
      <c r="L2" s="128" t="s">
        <v>0</v>
      </c>
      <c r="M2" s="129"/>
      <c r="N2" s="130" t="s">
        <v>233</v>
      </c>
      <c r="O2" s="131"/>
    </row>
    <row r="3" spans="2:15" ht="15.75" customHeight="1">
      <c r="B3" s="109"/>
      <c r="C3" s="110"/>
      <c r="D3" s="114"/>
      <c r="E3" s="114"/>
      <c r="F3" s="114"/>
      <c r="G3" s="114"/>
      <c r="H3" s="114"/>
      <c r="I3" s="114"/>
      <c r="J3" s="114"/>
      <c r="K3" s="114"/>
      <c r="L3" s="116" t="s">
        <v>1</v>
      </c>
      <c r="M3" s="117"/>
      <c r="N3" s="116" t="s">
        <v>2</v>
      </c>
      <c r="O3" s="118"/>
    </row>
    <row r="4" spans="2:15" ht="15.75" customHeight="1">
      <c r="B4" s="109"/>
      <c r="C4" s="110"/>
      <c r="D4" s="114"/>
      <c r="E4" s="114"/>
      <c r="F4" s="114"/>
      <c r="G4" s="114"/>
      <c r="H4" s="114"/>
      <c r="I4" s="114"/>
      <c r="J4" s="114"/>
      <c r="K4" s="114"/>
      <c r="L4" s="119" t="s">
        <v>234</v>
      </c>
      <c r="M4" s="120"/>
      <c r="N4" s="121" t="s">
        <v>78</v>
      </c>
      <c r="O4" s="122"/>
    </row>
    <row r="5" spans="2:15" ht="15.75" customHeight="1">
      <c r="B5" s="109"/>
      <c r="C5" s="110"/>
      <c r="D5" s="114"/>
      <c r="E5" s="114"/>
      <c r="F5" s="114"/>
      <c r="G5" s="114"/>
      <c r="H5" s="114"/>
      <c r="I5" s="114"/>
      <c r="J5" s="114"/>
      <c r="K5" s="114"/>
      <c r="L5" s="116" t="s">
        <v>4</v>
      </c>
      <c r="M5" s="123"/>
      <c r="N5" s="123"/>
      <c r="O5" s="124"/>
    </row>
    <row r="6" spans="2:15" ht="15.75" customHeight="1" thickBot="1">
      <c r="B6" s="111"/>
      <c r="C6" s="112"/>
      <c r="D6" s="115"/>
      <c r="E6" s="115"/>
      <c r="F6" s="115"/>
      <c r="G6" s="115"/>
      <c r="H6" s="115"/>
      <c r="I6" s="115"/>
      <c r="J6" s="115"/>
      <c r="K6" s="115"/>
      <c r="L6" s="125" t="s">
        <v>235</v>
      </c>
      <c r="M6" s="126"/>
      <c r="N6" s="126"/>
      <c r="O6" s="127"/>
    </row>
    <row r="7" spans="2:15" ht="5.0999999999999996" customHeight="1"/>
    <row r="8" spans="2:15" ht="22.5" customHeight="1">
      <c r="B8" s="101" t="s">
        <v>23</v>
      </c>
      <c r="C8" s="101"/>
      <c r="D8" s="101"/>
      <c r="E8" s="101"/>
      <c r="F8" s="101"/>
      <c r="G8" s="101"/>
      <c r="H8" s="101"/>
      <c r="I8" s="101"/>
      <c r="J8" s="101"/>
      <c r="K8" s="101"/>
      <c r="L8" s="101"/>
      <c r="M8" s="101"/>
      <c r="N8" s="101"/>
      <c r="O8" s="101"/>
    </row>
    <row r="9" spans="2:15" ht="37.5" customHeight="1">
      <c r="B9" s="102" t="s">
        <v>24</v>
      </c>
      <c r="C9" s="102"/>
      <c r="D9" s="102"/>
      <c r="E9" s="19">
        <v>0</v>
      </c>
      <c r="F9" s="19">
        <v>1</v>
      </c>
      <c r="G9" s="19" t="s">
        <v>25</v>
      </c>
      <c r="H9" s="19" t="s">
        <v>26</v>
      </c>
      <c r="I9" s="19">
        <v>0</v>
      </c>
      <c r="J9" s="19">
        <v>1</v>
      </c>
      <c r="K9" s="105" t="s">
        <v>232</v>
      </c>
      <c r="L9" s="105"/>
      <c r="M9" s="105"/>
      <c r="N9" s="105"/>
      <c r="O9" s="105"/>
    </row>
    <row r="10" spans="2:15" ht="15" customHeight="1">
      <c r="B10" s="102" t="s">
        <v>27</v>
      </c>
      <c r="C10" s="102"/>
      <c r="D10" s="102"/>
      <c r="E10" s="103" t="s">
        <v>28</v>
      </c>
      <c r="F10" s="103"/>
      <c r="G10" s="103"/>
      <c r="H10" s="103"/>
      <c r="I10" s="103"/>
      <c r="J10" s="103"/>
      <c r="K10" s="105"/>
      <c r="L10" s="105"/>
      <c r="M10" s="105"/>
      <c r="N10" s="105"/>
      <c r="O10" s="105"/>
    </row>
    <row r="11" spans="2:15" ht="30" customHeight="1">
      <c r="B11" s="102"/>
      <c r="C11" s="102"/>
      <c r="D11" s="102"/>
      <c r="E11" s="104"/>
      <c r="F11" s="104"/>
      <c r="G11" s="104"/>
      <c r="H11" s="104"/>
      <c r="I11" s="104"/>
      <c r="J11" s="104"/>
      <c r="K11" s="105"/>
      <c r="L11" s="105"/>
      <c r="M11" s="105"/>
      <c r="N11" s="105"/>
      <c r="O11" s="105"/>
    </row>
    <row r="12" spans="2:15" ht="22.5" customHeight="1">
      <c r="B12" s="99" t="s">
        <v>29</v>
      </c>
      <c r="C12" s="99"/>
      <c r="D12" s="99"/>
      <c r="E12" s="99"/>
      <c r="F12" s="99"/>
      <c r="G12" s="99"/>
      <c r="H12" s="99"/>
      <c r="I12" s="99"/>
      <c r="J12" s="99"/>
      <c r="K12" s="99"/>
      <c r="L12" s="99"/>
      <c r="M12" s="99"/>
      <c r="N12" s="99"/>
      <c r="O12" s="99"/>
    </row>
    <row r="13" spans="2:15" ht="30" customHeight="1">
      <c r="B13" s="20" t="s">
        <v>30</v>
      </c>
      <c r="C13" s="78" t="s">
        <v>31</v>
      </c>
      <c r="D13" s="78"/>
      <c r="E13" s="78"/>
      <c r="F13" s="78"/>
      <c r="G13" s="78"/>
      <c r="H13" s="78"/>
      <c r="I13" s="78"/>
      <c r="J13" s="78"/>
      <c r="K13" s="78"/>
      <c r="L13" s="78"/>
      <c r="M13" s="78"/>
      <c r="N13" s="78"/>
      <c r="O13" s="78"/>
    </row>
    <row r="14" spans="2:15" ht="22.5" customHeight="1">
      <c r="B14" s="21"/>
      <c r="C14" s="106"/>
      <c r="D14" s="106"/>
      <c r="E14" s="106"/>
      <c r="F14" s="106"/>
      <c r="G14" s="106"/>
      <c r="H14" s="106"/>
      <c r="I14" s="106"/>
      <c r="J14" s="106"/>
      <c r="K14" s="106"/>
      <c r="L14" s="106"/>
      <c r="M14" s="106"/>
      <c r="N14" s="106"/>
      <c r="O14" s="106"/>
    </row>
    <row r="15" spans="2:15" ht="22.5" customHeight="1">
      <c r="B15" s="21"/>
      <c r="C15" s="106"/>
      <c r="D15" s="106"/>
      <c r="E15" s="106"/>
      <c r="F15" s="106"/>
      <c r="G15" s="106"/>
      <c r="H15" s="106"/>
      <c r="I15" s="106"/>
      <c r="J15" s="106"/>
      <c r="K15" s="106"/>
      <c r="L15" s="106"/>
      <c r="M15" s="106"/>
      <c r="N15" s="106"/>
      <c r="O15" s="106"/>
    </row>
    <row r="16" spans="2:15" ht="22.5" customHeight="1">
      <c r="B16" s="21"/>
      <c r="C16" s="106"/>
      <c r="D16" s="106"/>
      <c r="E16" s="106"/>
      <c r="F16" s="106"/>
      <c r="G16" s="106"/>
      <c r="H16" s="106"/>
      <c r="I16" s="106"/>
      <c r="J16" s="106"/>
      <c r="K16" s="106"/>
      <c r="L16" s="106"/>
      <c r="M16" s="106"/>
      <c r="N16" s="106"/>
      <c r="O16" s="106"/>
    </row>
    <row r="17" spans="2:15" ht="22.5" customHeight="1">
      <c r="B17" s="99" t="s">
        <v>32</v>
      </c>
      <c r="C17" s="99"/>
      <c r="D17" s="99"/>
      <c r="E17" s="99"/>
      <c r="F17" s="99"/>
      <c r="G17" s="99"/>
      <c r="H17" s="99"/>
      <c r="I17" s="99"/>
      <c r="J17" s="99"/>
      <c r="K17" s="99"/>
      <c r="L17" s="99"/>
      <c r="M17" s="99"/>
      <c r="N17" s="99"/>
      <c r="O17" s="99"/>
    </row>
    <row r="18" spans="2:15" ht="15" customHeight="1">
      <c r="B18" s="78" t="s">
        <v>30</v>
      </c>
      <c r="C18" s="79" t="s">
        <v>33</v>
      </c>
      <c r="D18" s="80"/>
      <c r="E18" s="80"/>
      <c r="F18" s="80"/>
      <c r="G18" s="81"/>
      <c r="H18" s="100" t="s">
        <v>34</v>
      </c>
      <c r="I18" s="100"/>
      <c r="J18" s="100"/>
      <c r="K18" s="78" t="s">
        <v>35</v>
      </c>
      <c r="L18" s="78"/>
      <c r="M18" s="79" t="s">
        <v>36</v>
      </c>
      <c r="N18" s="80"/>
      <c r="O18" s="81"/>
    </row>
    <row r="19" spans="2:15" ht="15" customHeight="1">
      <c r="B19" s="78"/>
      <c r="C19" s="82"/>
      <c r="D19" s="83"/>
      <c r="E19" s="83"/>
      <c r="F19" s="83"/>
      <c r="G19" s="84"/>
      <c r="H19" s="20" t="s">
        <v>37</v>
      </c>
      <c r="I19" s="20" t="s">
        <v>38</v>
      </c>
      <c r="J19" s="20" t="s">
        <v>39</v>
      </c>
      <c r="K19" s="78"/>
      <c r="L19" s="78"/>
      <c r="M19" s="82"/>
      <c r="N19" s="83"/>
      <c r="O19" s="84"/>
    </row>
    <row r="20" spans="2:15" ht="22.5" customHeight="1">
      <c r="B20" s="22"/>
      <c r="C20" s="85"/>
      <c r="D20" s="86"/>
      <c r="E20" s="86"/>
      <c r="F20" s="86"/>
      <c r="G20" s="87"/>
      <c r="H20" s="21"/>
      <c r="I20" s="21"/>
      <c r="J20" s="21"/>
      <c r="K20" s="88"/>
      <c r="L20" s="88"/>
      <c r="M20" s="89"/>
      <c r="N20" s="90"/>
      <c r="O20" s="91"/>
    </row>
    <row r="21" spans="2:15" ht="22.5" customHeight="1">
      <c r="B21" s="22"/>
      <c r="C21" s="85"/>
      <c r="D21" s="86"/>
      <c r="E21" s="86"/>
      <c r="F21" s="86"/>
      <c r="G21" s="87"/>
      <c r="H21" s="21"/>
      <c r="I21" s="21"/>
      <c r="J21" s="21"/>
      <c r="K21" s="88"/>
      <c r="L21" s="88"/>
      <c r="M21" s="89"/>
      <c r="N21" s="90"/>
      <c r="O21" s="91"/>
    </row>
    <row r="22" spans="2:15" ht="22.5" customHeight="1">
      <c r="B22" s="22"/>
      <c r="C22" s="85"/>
      <c r="D22" s="86"/>
      <c r="E22" s="86"/>
      <c r="F22" s="86"/>
      <c r="G22" s="87"/>
      <c r="H22" s="21"/>
      <c r="I22" s="21"/>
      <c r="J22" s="21"/>
      <c r="K22" s="88"/>
      <c r="L22" s="88"/>
      <c r="M22" s="89"/>
      <c r="N22" s="90"/>
      <c r="O22" s="91"/>
    </row>
    <row r="23" spans="2:15" ht="5.0999999999999996" customHeight="1" thickBot="1"/>
    <row r="24" spans="2:15" ht="22.5" customHeight="1">
      <c r="B24" s="92" t="s">
        <v>40</v>
      </c>
      <c r="C24" s="93"/>
      <c r="D24" s="93"/>
      <c r="E24" s="93" t="s">
        <v>41</v>
      </c>
      <c r="F24" s="93"/>
      <c r="G24" s="93"/>
      <c r="H24" s="93"/>
      <c r="I24" s="93"/>
      <c r="J24" s="93"/>
      <c r="K24" s="93" t="s">
        <v>42</v>
      </c>
      <c r="L24" s="93"/>
      <c r="M24" s="93"/>
      <c r="N24" s="93"/>
      <c r="O24" s="94"/>
    </row>
    <row r="25" spans="2:15" ht="60" customHeight="1" thickBot="1">
      <c r="B25" s="95" t="s">
        <v>43</v>
      </c>
      <c r="C25" s="96"/>
      <c r="D25" s="96"/>
      <c r="E25" s="97" t="s">
        <v>44</v>
      </c>
      <c r="F25" s="97"/>
      <c r="G25" s="97"/>
      <c r="H25" s="97"/>
      <c r="I25" s="97"/>
      <c r="J25" s="97"/>
      <c r="K25" s="97" t="s">
        <v>45</v>
      </c>
      <c r="L25" s="96"/>
      <c r="M25" s="96"/>
      <c r="N25" s="96"/>
      <c r="O25" s="98"/>
    </row>
    <row r="27" spans="2:15" ht="70.5" customHeight="1">
      <c r="B27" s="77" t="s">
        <v>231</v>
      </c>
      <c r="C27" s="77"/>
      <c r="D27" s="77"/>
      <c r="E27" s="77"/>
      <c r="F27" s="77"/>
      <c r="G27" s="77"/>
      <c r="H27" s="77"/>
      <c r="I27" s="77"/>
      <c r="J27" s="77"/>
      <c r="K27" s="77"/>
      <c r="L27" s="77"/>
      <c r="M27" s="77"/>
      <c r="N27" s="77"/>
      <c r="O27" s="77"/>
    </row>
  </sheetData>
  <sheetProtection formatCells="0" formatRows="0" insertRows="0" deleteRows="0"/>
  <mergeCells count="43">
    <mergeCell ref="B2:C6"/>
    <mergeCell ref="D2:K6"/>
    <mergeCell ref="L3:M3"/>
    <mergeCell ref="N3:O3"/>
    <mergeCell ref="L4:M4"/>
    <mergeCell ref="N4:O4"/>
    <mergeCell ref="L5:O5"/>
    <mergeCell ref="L6:O6"/>
    <mergeCell ref="L2:M2"/>
    <mergeCell ref="N2:O2"/>
    <mergeCell ref="B12:O12"/>
    <mergeCell ref="C13:O13"/>
    <mergeCell ref="C14:O14"/>
    <mergeCell ref="C15:O15"/>
    <mergeCell ref="C16:O16"/>
    <mergeCell ref="B8:O8"/>
    <mergeCell ref="B9:D9"/>
    <mergeCell ref="B10:D11"/>
    <mergeCell ref="E10:J10"/>
    <mergeCell ref="E11:J11"/>
    <mergeCell ref="K9:O11"/>
    <mergeCell ref="B17:O17"/>
    <mergeCell ref="M22:O22"/>
    <mergeCell ref="H18:J18"/>
    <mergeCell ref="K18:L19"/>
    <mergeCell ref="M18:O19"/>
    <mergeCell ref="C21:G21"/>
    <mergeCell ref="K21:L21"/>
    <mergeCell ref="M21:O21"/>
    <mergeCell ref="C22:G22"/>
    <mergeCell ref="K22:L22"/>
    <mergeCell ref="B27:O27"/>
    <mergeCell ref="B18:B19"/>
    <mergeCell ref="C18:G19"/>
    <mergeCell ref="C20:G20"/>
    <mergeCell ref="K20:L20"/>
    <mergeCell ref="M20:O20"/>
    <mergeCell ref="B24:D24"/>
    <mergeCell ref="E24:J24"/>
    <mergeCell ref="K24:O24"/>
    <mergeCell ref="B25:D25"/>
    <mergeCell ref="E25:J25"/>
    <mergeCell ref="K25:O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BP70"/>
  <sheetViews>
    <sheetView tabSelected="1" zoomScale="60" zoomScaleNormal="60" workbookViewId="0">
      <pane ySplit="12" topLeftCell="A13" activePane="bottomLeft" state="frozen"/>
      <selection pane="bottomLeft" activeCell="C46" sqref="C46"/>
    </sheetView>
  </sheetViews>
  <sheetFormatPr baseColWidth="10" defaultRowHeight="15"/>
  <cols>
    <col min="1" max="1" width="4.7109375" style="1" customWidth="1"/>
    <col min="2" max="2" width="24.7109375" style="1" customWidth="1"/>
    <col min="3" max="3" width="37.5703125" style="1" customWidth="1"/>
    <col min="4" max="5" width="24.7109375" style="1" customWidth="1"/>
    <col min="6" max="6" width="17.7109375" style="1" customWidth="1"/>
    <col min="7" max="7" width="45.7109375" style="1" customWidth="1"/>
    <col min="8" max="8" width="90" style="1" customWidth="1"/>
    <col min="9" max="9" width="24.7109375" style="1" customWidth="1"/>
    <col min="10" max="10" width="19.140625" style="1" customWidth="1"/>
    <col min="11" max="11" width="17.7109375" style="1" customWidth="1"/>
    <col min="12" max="12" width="15.7109375" style="1" customWidth="1"/>
    <col min="13" max="13" width="13.7109375" style="1" customWidth="1"/>
    <col min="14" max="68" width="16.7109375" style="1" customWidth="1"/>
    <col min="69" max="69" width="15.7109375" style="1" customWidth="1"/>
    <col min="70" max="70" width="24.7109375" style="1" customWidth="1"/>
    <col min="71" max="147" width="15.7109375" style="1" customWidth="1"/>
    <col min="148" max="16384" width="11.42578125" style="1"/>
  </cols>
  <sheetData>
    <row r="1" spans="2:68" ht="15" customHeight="1" thickBot="1"/>
    <row r="2" spans="2:68" ht="15" customHeight="1">
      <c r="B2" s="149"/>
      <c r="C2" s="150"/>
      <c r="D2" s="155" t="s">
        <v>80</v>
      </c>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6"/>
      <c r="BO2" s="2" t="s">
        <v>0</v>
      </c>
      <c r="BP2" s="44" t="s">
        <v>81</v>
      </c>
    </row>
    <row r="3" spans="2:68" ht="15" customHeight="1">
      <c r="B3" s="151"/>
      <c r="C3" s="152"/>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8"/>
      <c r="BO3" s="3" t="s">
        <v>1</v>
      </c>
      <c r="BP3" s="4" t="s">
        <v>2</v>
      </c>
    </row>
    <row r="4" spans="2:68" ht="15" customHeight="1">
      <c r="B4" s="151"/>
      <c r="C4" s="152"/>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8"/>
      <c r="BO4" s="45">
        <v>5</v>
      </c>
      <c r="BP4" s="5" t="s">
        <v>3</v>
      </c>
    </row>
    <row r="5" spans="2:68" ht="15" customHeight="1">
      <c r="B5" s="151"/>
      <c r="C5" s="152"/>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8"/>
      <c r="BO5" s="6" t="s">
        <v>4</v>
      </c>
      <c r="BP5" s="7"/>
    </row>
    <row r="6" spans="2:68" ht="15" customHeight="1" thickBot="1">
      <c r="B6" s="153"/>
      <c r="C6" s="154"/>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s="159"/>
      <c r="BG6" s="159"/>
      <c r="BH6" s="159"/>
      <c r="BI6" s="159"/>
      <c r="BJ6" s="159"/>
      <c r="BK6" s="159"/>
      <c r="BL6" s="159"/>
      <c r="BM6" s="159"/>
      <c r="BN6" s="160"/>
      <c r="BO6" s="161">
        <v>42921</v>
      </c>
      <c r="BP6" s="162"/>
    </row>
    <row r="7" spans="2:68" ht="15" customHeight="1"/>
    <row r="8" spans="2:68" ht="15" customHeight="1">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9"/>
    </row>
    <row r="9" spans="2:68" ht="15" customHeight="1">
      <c r="B9" s="163" t="s">
        <v>82</v>
      </c>
      <c r="C9" s="163" t="s">
        <v>83</v>
      </c>
      <c r="D9" s="163" t="s">
        <v>5</v>
      </c>
      <c r="E9" s="141" t="s">
        <v>6</v>
      </c>
      <c r="F9" s="163" t="s">
        <v>7</v>
      </c>
      <c r="G9" s="163" t="s">
        <v>84</v>
      </c>
      <c r="H9" s="163" t="s">
        <v>8</v>
      </c>
      <c r="I9" s="163" t="s">
        <v>9</v>
      </c>
      <c r="J9" s="163" t="s">
        <v>10</v>
      </c>
      <c r="K9" s="141" t="s">
        <v>11</v>
      </c>
      <c r="L9" s="141" t="s">
        <v>12</v>
      </c>
      <c r="M9" s="163" t="s">
        <v>13</v>
      </c>
      <c r="N9" s="139" t="s">
        <v>85</v>
      </c>
      <c r="O9" s="139"/>
      <c r="P9" s="139"/>
      <c r="Q9" s="139"/>
      <c r="R9" s="139"/>
      <c r="S9" s="139"/>
      <c r="T9" s="139"/>
      <c r="U9" s="139"/>
      <c r="V9" s="139"/>
      <c r="W9" s="139"/>
      <c r="X9" s="139" t="s">
        <v>87</v>
      </c>
      <c r="Y9" s="139"/>
      <c r="Z9" s="139"/>
      <c r="AA9" s="139"/>
      <c r="AB9" s="139"/>
      <c r="AC9" s="139"/>
      <c r="AD9" s="139"/>
      <c r="AE9" s="139"/>
      <c r="AF9" s="139"/>
      <c r="AG9" s="139"/>
      <c r="AH9" s="139" t="s">
        <v>88</v>
      </c>
      <c r="AI9" s="139"/>
      <c r="AJ9" s="139"/>
      <c r="AK9" s="139"/>
      <c r="AL9" s="139"/>
      <c r="AM9" s="139"/>
      <c r="AN9" s="139"/>
      <c r="AO9" s="139"/>
      <c r="AP9" s="139"/>
      <c r="AQ9" s="139"/>
      <c r="AR9" s="139" t="s">
        <v>89</v>
      </c>
      <c r="AS9" s="139"/>
      <c r="AT9" s="139"/>
      <c r="AU9" s="139"/>
      <c r="AV9" s="139"/>
      <c r="AW9" s="139"/>
      <c r="AX9" s="139"/>
      <c r="AY9" s="139"/>
      <c r="AZ9" s="139"/>
      <c r="BA9" s="139"/>
      <c r="BB9" s="139" t="s">
        <v>90</v>
      </c>
      <c r="BC9" s="139"/>
      <c r="BD9" s="139"/>
      <c r="BE9" s="139"/>
      <c r="BF9" s="139"/>
      <c r="BG9" s="139"/>
      <c r="BH9" s="139"/>
      <c r="BI9" s="139"/>
      <c r="BJ9" s="139"/>
      <c r="BK9" s="139"/>
      <c r="BL9" s="143" t="s">
        <v>18</v>
      </c>
      <c r="BM9" s="144"/>
      <c r="BN9" s="145"/>
      <c r="BO9" s="143" t="s">
        <v>91</v>
      </c>
      <c r="BP9" s="145"/>
    </row>
    <row r="10" spans="2:68" ht="15" customHeight="1">
      <c r="B10" s="163"/>
      <c r="C10" s="163"/>
      <c r="D10" s="163"/>
      <c r="E10" s="142"/>
      <c r="F10" s="163"/>
      <c r="G10" s="163"/>
      <c r="H10" s="163"/>
      <c r="I10" s="163"/>
      <c r="J10" s="163"/>
      <c r="K10" s="142"/>
      <c r="L10" s="142"/>
      <c r="M10" s="163"/>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46"/>
      <c r="BM10" s="147"/>
      <c r="BN10" s="148"/>
      <c r="BO10" s="146"/>
      <c r="BP10" s="148"/>
    </row>
    <row r="11" spans="2:68" ht="15" customHeight="1">
      <c r="B11" s="163"/>
      <c r="C11" s="163"/>
      <c r="D11" s="163"/>
      <c r="E11" s="142"/>
      <c r="F11" s="163"/>
      <c r="G11" s="163"/>
      <c r="H11" s="163"/>
      <c r="I11" s="163"/>
      <c r="J11" s="163"/>
      <c r="K11" s="142"/>
      <c r="L11" s="142"/>
      <c r="M11" s="163"/>
      <c r="N11" s="140" t="s">
        <v>14</v>
      </c>
      <c r="O11" s="140"/>
      <c r="P11" s="140" t="s">
        <v>15</v>
      </c>
      <c r="Q11" s="140"/>
      <c r="R11" s="140" t="s">
        <v>16</v>
      </c>
      <c r="S11" s="140"/>
      <c r="T11" s="140" t="s">
        <v>17</v>
      </c>
      <c r="U11" s="140"/>
      <c r="V11" s="140" t="s">
        <v>86</v>
      </c>
      <c r="W11" s="140"/>
      <c r="X11" s="140" t="s">
        <v>14</v>
      </c>
      <c r="Y11" s="140"/>
      <c r="Z11" s="140" t="s">
        <v>15</v>
      </c>
      <c r="AA11" s="140"/>
      <c r="AB11" s="140" t="s">
        <v>16</v>
      </c>
      <c r="AC11" s="140"/>
      <c r="AD11" s="140" t="s">
        <v>17</v>
      </c>
      <c r="AE11" s="140"/>
      <c r="AF11" s="140" t="s">
        <v>86</v>
      </c>
      <c r="AG11" s="140"/>
      <c r="AH11" s="140" t="s">
        <v>14</v>
      </c>
      <c r="AI11" s="140"/>
      <c r="AJ11" s="140" t="s">
        <v>15</v>
      </c>
      <c r="AK11" s="140"/>
      <c r="AL11" s="140" t="s">
        <v>16</v>
      </c>
      <c r="AM11" s="140"/>
      <c r="AN11" s="140" t="s">
        <v>17</v>
      </c>
      <c r="AO11" s="140"/>
      <c r="AP11" s="140" t="s">
        <v>86</v>
      </c>
      <c r="AQ11" s="140"/>
      <c r="AR11" s="140" t="s">
        <v>14</v>
      </c>
      <c r="AS11" s="140"/>
      <c r="AT11" s="140" t="s">
        <v>15</v>
      </c>
      <c r="AU11" s="140"/>
      <c r="AV11" s="140" t="s">
        <v>16</v>
      </c>
      <c r="AW11" s="140"/>
      <c r="AX11" s="140" t="s">
        <v>17</v>
      </c>
      <c r="AY11" s="140"/>
      <c r="AZ11" s="140" t="s">
        <v>86</v>
      </c>
      <c r="BA11" s="140"/>
      <c r="BB11" s="140" t="s">
        <v>14</v>
      </c>
      <c r="BC11" s="140"/>
      <c r="BD11" s="140" t="s">
        <v>15</v>
      </c>
      <c r="BE11" s="140"/>
      <c r="BF11" s="140" t="s">
        <v>16</v>
      </c>
      <c r="BG11" s="140"/>
      <c r="BH11" s="140" t="s">
        <v>17</v>
      </c>
      <c r="BI11" s="140"/>
      <c r="BJ11" s="140" t="s">
        <v>86</v>
      </c>
      <c r="BK11" s="140"/>
      <c r="BL11" s="141" t="s">
        <v>19</v>
      </c>
      <c r="BM11" s="141" t="s">
        <v>20</v>
      </c>
      <c r="BN11" s="141" t="s">
        <v>21</v>
      </c>
      <c r="BO11" s="141" t="s">
        <v>19</v>
      </c>
      <c r="BP11" s="141" t="s">
        <v>21</v>
      </c>
    </row>
    <row r="12" spans="2:68" ht="15" customHeight="1" thickBot="1">
      <c r="B12" s="141"/>
      <c r="C12" s="141"/>
      <c r="D12" s="141"/>
      <c r="E12" s="142"/>
      <c r="F12" s="141"/>
      <c r="G12" s="141"/>
      <c r="H12" s="141"/>
      <c r="I12" s="141"/>
      <c r="J12" s="141"/>
      <c r="K12" s="142"/>
      <c r="L12" s="142"/>
      <c r="M12" s="141"/>
      <c r="N12" s="57" t="s">
        <v>19</v>
      </c>
      <c r="O12" s="57" t="s">
        <v>20</v>
      </c>
      <c r="P12" s="57" t="s">
        <v>19</v>
      </c>
      <c r="Q12" s="57" t="s">
        <v>20</v>
      </c>
      <c r="R12" s="57" t="s">
        <v>19</v>
      </c>
      <c r="S12" s="57" t="s">
        <v>20</v>
      </c>
      <c r="T12" s="57" t="s">
        <v>19</v>
      </c>
      <c r="U12" s="57" t="s">
        <v>20</v>
      </c>
      <c r="V12" s="58" t="s">
        <v>19</v>
      </c>
      <c r="W12" s="58" t="s">
        <v>20</v>
      </c>
      <c r="X12" s="57" t="s">
        <v>19</v>
      </c>
      <c r="Y12" s="57" t="s">
        <v>20</v>
      </c>
      <c r="Z12" s="57" t="s">
        <v>19</v>
      </c>
      <c r="AA12" s="57" t="s">
        <v>20</v>
      </c>
      <c r="AB12" s="57" t="s">
        <v>19</v>
      </c>
      <c r="AC12" s="57" t="s">
        <v>20</v>
      </c>
      <c r="AD12" s="57" t="s">
        <v>19</v>
      </c>
      <c r="AE12" s="57" t="s">
        <v>20</v>
      </c>
      <c r="AF12" s="58" t="s">
        <v>19</v>
      </c>
      <c r="AG12" s="58" t="s">
        <v>20</v>
      </c>
      <c r="AH12" s="57" t="s">
        <v>19</v>
      </c>
      <c r="AI12" s="57" t="s">
        <v>20</v>
      </c>
      <c r="AJ12" s="57" t="s">
        <v>19</v>
      </c>
      <c r="AK12" s="57" t="s">
        <v>20</v>
      </c>
      <c r="AL12" s="57" t="s">
        <v>19</v>
      </c>
      <c r="AM12" s="57" t="s">
        <v>20</v>
      </c>
      <c r="AN12" s="57" t="s">
        <v>19</v>
      </c>
      <c r="AO12" s="57" t="s">
        <v>20</v>
      </c>
      <c r="AP12" s="58" t="s">
        <v>19</v>
      </c>
      <c r="AQ12" s="58" t="s">
        <v>20</v>
      </c>
      <c r="AR12" s="57" t="s">
        <v>19</v>
      </c>
      <c r="AS12" s="57" t="s">
        <v>20</v>
      </c>
      <c r="AT12" s="57" t="s">
        <v>19</v>
      </c>
      <c r="AU12" s="57" t="s">
        <v>20</v>
      </c>
      <c r="AV12" s="57" t="s">
        <v>19</v>
      </c>
      <c r="AW12" s="57" t="s">
        <v>20</v>
      </c>
      <c r="AX12" s="57" t="s">
        <v>19</v>
      </c>
      <c r="AY12" s="57" t="s">
        <v>20</v>
      </c>
      <c r="AZ12" s="58" t="s">
        <v>19</v>
      </c>
      <c r="BA12" s="58" t="s">
        <v>20</v>
      </c>
      <c r="BB12" s="57" t="s">
        <v>19</v>
      </c>
      <c r="BC12" s="57" t="s">
        <v>20</v>
      </c>
      <c r="BD12" s="57" t="s">
        <v>19</v>
      </c>
      <c r="BE12" s="57" t="s">
        <v>20</v>
      </c>
      <c r="BF12" s="57" t="s">
        <v>19</v>
      </c>
      <c r="BG12" s="57" t="s">
        <v>20</v>
      </c>
      <c r="BH12" s="57" t="s">
        <v>19</v>
      </c>
      <c r="BI12" s="57" t="s">
        <v>20</v>
      </c>
      <c r="BJ12" s="58" t="s">
        <v>19</v>
      </c>
      <c r="BK12" s="58" t="s">
        <v>20</v>
      </c>
      <c r="BL12" s="142"/>
      <c r="BM12" s="142"/>
      <c r="BN12" s="142"/>
      <c r="BO12" s="142"/>
      <c r="BP12" s="142"/>
    </row>
    <row r="13" spans="2:68" ht="127.5" customHeight="1">
      <c r="B13" s="136" t="s">
        <v>92</v>
      </c>
      <c r="C13" s="137" t="s">
        <v>93</v>
      </c>
      <c r="D13" s="59" t="str">
        <f>LOOKUP($J13,[1]!CMI[[#All],[CÓDIGO DE INDICADOR]],[1]!CMI[[#All],[NOMBRE DEL INDICADOR]])</f>
        <v>Número de personas sensibilizadas</v>
      </c>
      <c r="E13" s="59" t="str">
        <f>LOOKUP($J13,[1]!CMI[[#All],[CÓDIGO DE INDICADOR]],[1]!CMI[[#All],[FÓRMULA DE CÁLCULO]])</f>
        <v>Número de personas sensibilizadas</v>
      </c>
      <c r="F13" s="60">
        <f>LOOKUP($J13,[1]!CMI[[#All],[CÓDIGO DE INDICADOR]],[1]!CMI[[#All],[VALOR PROGRAMADO TOTAL]])</f>
        <v>227000</v>
      </c>
      <c r="G13" s="61" t="s">
        <v>94</v>
      </c>
      <c r="H13" s="61" t="s">
        <v>95</v>
      </c>
      <c r="I13" s="59" t="str">
        <f>LOOKUP($J13,[1]!CMI[[#All],[CÓDIGO DE INDICADOR]],[1]!CMI[[#All],[DEPENDENCIA]])</f>
        <v>PERSONERÍA DELEGADA PARA LA COORDINACIÓN DEL MINISTERIO PÚBLICO Y DERECHOS HUMANOS</v>
      </c>
      <c r="J13" s="62" t="s">
        <v>96</v>
      </c>
      <c r="K13" s="59" t="str">
        <f>LOOKUP($J13,[1]!CMI[[#All],[CÓDIGO DE INDICADOR]],[1]!CMI[[#All],[CÁLCULO VALOR PROGRAMADO ACUMULADO]])</f>
        <v>Sumatoria</v>
      </c>
      <c r="L13" s="59" t="str">
        <f>LOOKUP($J13,[1]!CMI[[#All],[CÓDIGO DE INDICADOR]],[1]!CMI[[#All],[TENDENCIA DECRECIENTE]])</f>
        <v>No</v>
      </c>
      <c r="M13" s="63">
        <f>LOOKUP($J13,[1]!CMI[[#All],[CÓDIGO DE INDICADOR]],[1]!CMI[[#All],[FECHA DE CORTE]])</f>
        <v>43281</v>
      </c>
      <c r="N13" s="60">
        <v>0</v>
      </c>
      <c r="O13" s="60">
        <v>0</v>
      </c>
      <c r="P13" s="60">
        <v>0</v>
      </c>
      <c r="Q13" s="64">
        <v>0</v>
      </c>
      <c r="R13" s="64">
        <v>0</v>
      </c>
      <c r="S13" s="64">
        <v>0</v>
      </c>
      <c r="T13" s="64">
        <f>LOOKUP($J13,[1]!CMI[[#All],[CÓDIGO DE INDICADOR]],[1]!CMI[[#All],[Programado_1]])</f>
        <v>0</v>
      </c>
      <c r="U13" s="64">
        <f>IF(LOOKUP($J13,[1]!CMI[[#All],[CÓDIGO DE INDICADOR]],[1]!CMI[[#All],[Ejecutado_1]])="-",0,LOOKUP($J13,[1]!CMI[[#All],[CÓDIGO DE INDICADOR]],[1]!CMI[[#All],[Ejecutado_1]]))</f>
        <v>0</v>
      </c>
      <c r="V13" s="65">
        <f>T13</f>
        <v>0</v>
      </c>
      <c r="W13" s="65">
        <f>U13</f>
        <v>0</v>
      </c>
      <c r="X13" s="60">
        <f>LOOKUP($J13,[1]!CMI[[#All],[CÓDIGO DE INDICADOR]],[1]!CMI[[#All],[Programado_2]])</f>
        <v>0</v>
      </c>
      <c r="Y13" s="60">
        <f>IF(LOOKUP($J13,[1]!CMI[[#All],[CÓDIGO DE INDICADOR]],[1]!CMI[[#All],[Ejecutado_2]])="-",0,LOOKUP($J13,[1]!CMI[[#All],[CÓDIGO DE INDICADOR]],[1]!CMI[[#All],[Ejecutado_2]]))</f>
        <v>19056</v>
      </c>
      <c r="Z13" s="60">
        <f>LOOKUP($J13,[1]!CMI[[#All],[CÓDIGO DE INDICADOR]],[1]!CMI[[#All],[Programado_3]])</f>
        <v>0</v>
      </c>
      <c r="AA13" s="64">
        <f>IF(LOOKUP($J13,[1]!CMI[[#All],[CÓDIGO DE INDICADOR]],[1]!CMI[[#All],[Ejecutado_3]])="-",0,LOOKUP($J13,[1]!CMI[[#All],[CÓDIGO DE INDICADOR]],[1]!CMI[[#All],[Ejecutado_3]]))</f>
        <v>26742</v>
      </c>
      <c r="AB13" s="64">
        <f>LOOKUP($J13,[1]!CMI[[#All],[CÓDIGO DE INDICADOR]],[1]!CMI[[#All],[Programado_4]])</f>
        <v>0</v>
      </c>
      <c r="AC13" s="64">
        <f>IF(LOOKUP($J13,[1]!CMI[[#All],[CÓDIGO DE INDICADOR]],[1]!CMI[[#All],[Ejecutado_4]])="-",0,LOOKUP($J13,[1]!CMI[[#All],[CÓDIGO DE INDICADOR]],[1]!CMI[[#All],[Ejecutado_4]]))</f>
        <v>28247</v>
      </c>
      <c r="AD13" s="64">
        <f>LOOKUP($J13,[1]!CMI[[#All],[CÓDIGO DE INDICADOR]],[1]!CMI[[#All],[Programado_5]])</f>
        <v>92000</v>
      </c>
      <c r="AE13" s="64">
        <f>IF(LOOKUP($J13,[1]!CMI[[#All],[CÓDIGO DE INDICADOR]],[1]!CMI[[#All],[Ejecutado_5]])="-",0,LOOKUP($J13,[1]!CMI[[#All],[CÓDIGO DE INDICADOR]],[1]!CMI[[#All],[Ejecutado_5]]))</f>
        <v>20457</v>
      </c>
      <c r="AF13" s="65">
        <f>IF($K13="Sumatoria",X13+Z13+AB13+AD13,IF($K13="Constante",$F13,AD13))</f>
        <v>92000</v>
      </c>
      <c r="AG13" s="65">
        <f>IF(OR(LOOKUP($J13,[1]!CMI[[#All],[CÓDIGO DE INDICADOR]],[1]!CMI[[#All],[TIPO DE FÓRMULA]])="Valor absoluto",LOOKUP($J13,[1]!CMI[[#All],[CÓDIGO DE INDICADOR]],[1]!CMI[[#All],[TIPO DE FÓRMULA]])="Suma"),Y13+AA13+AC13+AE13,IF(OR(LOOKUP($J13,[1]!CMI[[#All],[CÓDIGO DE INDICADOR]],[1]!CMI[[#All],[TIPO DE FÓRMULA]])="Porcentaje",LOOKUP($J13,[1]!CMI[[#All],[CÓDIGO DE INDICADOR]],[1]!CMI[[#All],[TIPO DE FÓRMULA]])="División"),IF(LOOKUP($J13,[1]!CMI[[#All],[CÓDIGO DE INDICADOR]],[1]!CMI[[#All],[Variable2_2]])+LOOKUP($J13,[1]!CMI[[#All],[CÓDIGO DE INDICADOR]],[1]!CMI[[#All],[Variable2_3]])+LOOKUP($J13,[1]!CMI[[#All],[CÓDIGO DE INDICADOR]],[1]!CMI[[#All],[Variable2_4]])+LOOKUP($J13,[1]!CMI[[#All],[CÓDIGO DE INDICADOR]],[1]!CMI[[#All],[Variable2_5]])=0,0,(LOOKUP($J13,[1]!CMI[[#All],[CÓDIGO DE INDICADOR]],[1]!CMI[[#All],[Variable1_2]])+LOOKUP($J13,[1]!CMI[[#All],[CÓDIGO DE INDICADOR]],[1]!CMI[[#All],[Variable1_3]])+LOOKUP($J13,[1]!CMI[[#All],[CÓDIGO DE INDICADOR]],[1]!CMI[[#All],[Variable1_4]])+LOOKUP($J13,[1]!CMI[[#All],[CÓDIGO DE INDICADOR]],[1]!CMI[[#All],[Variable1_5]]))/(LOOKUP($J13,[1]!CMI[[#All],[CÓDIGO DE INDICADOR]],[1]!CMI[[#All],[Variable2_2]])+LOOKUP($J13,[1]!CMI[[#All],[CÓDIGO DE INDICADOR]],[1]!CMI[[#All],[Variable2_3]])+LOOKUP($J13,[1]!CMI[[#All],[CÓDIGO DE INDICADOR]],[1]!CMI[[#All],[Variable2_4]])+LOOKUP($J13,[1]!CMI[[#All],[CÓDIGO DE INDICADOR]],[1]!CMI[[#All],[Variable2_5]]))),IF(LOOKUP($J13,[1]!CMI[[#All],[CÓDIGO DE INDICADOR]],[1]!CMI[[#All],[TIPO DE FÓRMULA]])="Tasa de variación",LOOKUP($J13,[1]!CMI[[#All],[CÓDIGO DE INDICADOR]],[1]!CMI[[#All],[EjecuciónAcumulada_5]]),0)))</f>
        <v>94502</v>
      </c>
      <c r="AH13" s="60">
        <f>LOOKUP($J13,[1]!CMI[[#All],[CÓDIGO DE INDICADOR]],[1]!CMI[[#All],[Programado_6]])</f>
        <v>0</v>
      </c>
      <c r="AI13" s="60">
        <f>IF(LOOKUP($J13,[1]!CMI[[#All],[CÓDIGO DE INDICADOR]],[1]!CMI[[#All],[Ejecutado_6]])="-",0,LOOKUP($J13,[1]!CMI[[#All],[CÓDIGO DE INDICADOR]],[1]!CMI[[#All],[Ejecutado_6]]))</f>
        <v>26451</v>
      </c>
      <c r="AJ13" s="60">
        <f>LOOKUP($J13,[1]!CMI[[#All],[CÓDIGO DE INDICADOR]],[1]!CMI[[#All],[Programado_7]])</f>
        <v>0</v>
      </c>
      <c r="AK13" s="64">
        <f>IF(LOOKUP($J13,[1]!CMI[[#All],[CÓDIGO DE INDICADOR]],[1]!CMI[[#All],[Ejecutado_7]])="-",0,LOOKUP($J13,[1]!CMI[[#All],[CÓDIGO DE INDICADOR]],[1]!CMI[[#All],[Ejecutado_7]]))</f>
        <v>27616</v>
      </c>
      <c r="AL13" s="64">
        <f>LOOKUP($J13,[1]!CMI[[#All],[CÓDIGO DE INDICADOR]],[1]!CMI[[#All],[Programado_8]])</f>
        <v>0</v>
      </c>
      <c r="AM13" s="64">
        <f>IF(LOOKUP($J13,[1]!CMI[[#All],[CÓDIGO DE INDICADOR]],[1]!CMI[[#All],[Ejecutado_8]])="-",0,LOOKUP($J13,[1]!CMI[[#All],[CÓDIGO DE INDICADOR]],[1]!CMI[[#All],[Ejecutado_8]]))</f>
        <v>0</v>
      </c>
      <c r="AN13" s="64">
        <f>LOOKUP($J13,[1]!CMI[[#All],[CÓDIGO DE INDICADOR]],[1]!CMI[[#All],[Programado_9]])</f>
        <v>88000</v>
      </c>
      <c r="AO13" s="64">
        <f>IF(LOOKUP($J13,[1]!CMI[[#All],[CÓDIGO DE INDICADOR]],[1]!CMI[[#All],[Ejecutado_9]])="-",0,LOOKUP($J13,[1]!CMI[[#All],[CÓDIGO DE INDICADOR]],[1]!CMI[[#All],[Ejecutado_9]]))</f>
        <v>0</v>
      </c>
      <c r="AP13" s="65">
        <f>IF($K13="Sumatoria",AH13+AJ13+AL13+AN13,IF($K13="Constante",$F13,AN13))</f>
        <v>88000</v>
      </c>
      <c r="AQ13" s="65">
        <f>IF(OR(LOOKUP($J13,[1]!CMI[[#All],[CÓDIGO DE INDICADOR]],[1]!CMI[[#All],[TIPO DE FÓRMULA]])="Valor absoluto",LOOKUP($J13,[1]!CMI[[#All],[CÓDIGO DE INDICADOR]],[1]!CMI[[#All],[TIPO DE FÓRMULA]])="Suma"),AI13+AK13+AM13+AO13,IF(OR(LOOKUP($J13,[1]!CMI[[#All],[CÓDIGO DE INDICADOR]],[1]!CMI[[#All],[TIPO DE FÓRMULA]])="Porcentaje",LOOKUP($J13,[1]!CMI[[#All],[CÓDIGO DE INDICADOR]],[1]!CMI[[#All],[TIPO DE FÓRMULA]])="División"),IF(LOOKUP($J13,[1]!CMI[[#All],[CÓDIGO DE INDICADOR]],[1]!CMI[[#All],[Variable2_6]])+LOOKUP($J13,[1]!CMI[[#All],[CÓDIGO DE INDICADOR]],[1]!CMI[[#All],[Variable2_7]])+LOOKUP($J13,[1]!CMI[[#All],[CÓDIGO DE INDICADOR]],[1]!CMI[[#All],[Variable2_8]])+LOOKUP($J13,[1]!CMI[[#All],[CÓDIGO DE INDICADOR]],[1]!CMI[[#All],[Variable2_9]])=0,0,(LOOKUP($J13,[1]!CMI[[#All],[CÓDIGO DE INDICADOR]],[1]!CMI[[#All],[Variable1_6]])+LOOKUP($J13,[1]!CMI[[#All],[CÓDIGO DE INDICADOR]],[1]!CMI[[#All],[Variable1_7]])+LOOKUP($J13,[1]!CMI[[#All],[CÓDIGO DE INDICADOR]],[1]!CMI[[#All],[Variable1_8]])+LOOKUP($J13,[1]!CMI[[#All],[CÓDIGO DE INDICADOR]],[1]!CMI[[#All],[Variable1_9]]))/(LOOKUP($J13,[1]!CMI[[#All],[CÓDIGO DE INDICADOR]],[1]!CMI[[#All],[Variable2_6]])+LOOKUP($J13,[1]!CMI[[#All],[CÓDIGO DE INDICADOR]],[1]!CMI[[#All],[Variable2_7]])+LOOKUP($J13,[1]!CMI[[#All],[CÓDIGO DE INDICADOR]],[1]!CMI[[#All],[Variable2_8]])+LOOKUP($J13,[1]!CMI[[#All],[CÓDIGO DE INDICADOR]],[1]!CMI[[#All],[Variable2_9]]))),IF(LOOKUP($J13,[1]!CMI[[#All],[CÓDIGO DE INDICADOR]],[1]!CMI[[#All],[TIPO DE FÓRMULA]])="Tasa de variación",LOOKUP($J13,[1]!CMI[[#All],[CÓDIGO DE INDICADOR]],[1]!CMI[[#All],[EjecuciónAcumulada_9]]),0)))</f>
        <v>54067</v>
      </c>
      <c r="AR13" s="60">
        <f>LOOKUP($J13,[1]!CMI[[#All],[CÓDIGO DE INDICADOR]],[1]!CMI[[#All],[Programado_10]])</f>
        <v>0</v>
      </c>
      <c r="AS13" s="60">
        <f>IF(LOOKUP($J13,[1]!CMI[[#All],[CÓDIGO DE INDICADOR]],[1]!CMI[[#All],[Ejecutado_10]])="-",0,LOOKUP($J13,[1]!CMI[[#All],[CÓDIGO DE INDICADOR]],[1]!CMI[[#All],[Ejecutado_10]]))</f>
        <v>0</v>
      </c>
      <c r="AT13" s="60">
        <f>LOOKUP($J13,[1]!CMI[[#All],[CÓDIGO DE INDICADOR]],[1]!CMI[[#All],[Programado_11]])</f>
        <v>0</v>
      </c>
      <c r="AU13" s="64">
        <f>IF(LOOKUP($J13,[1]!CMI[[#All],[CÓDIGO DE INDICADOR]],[1]!CMI[[#All],[Ejecutado_11]])="-",0,LOOKUP($J13,[1]!CMI[[#All],[CÓDIGO DE INDICADOR]],[1]!CMI[[#All],[Ejecutado_11]]))</f>
        <v>0</v>
      </c>
      <c r="AV13" s="64">
        <f>LOOKUP($J13,[1]!CMI[[#All],[CÓDIGO DE INDICADOR]],[1]!CMI[[#All],[Programado_12]])</f>
        <v>0</v>
      </c>
      <c r="AW13" s="64">
        <f>IF(LOOKUP($J13,[1]!CMI[[#All],[CÓDIGO DE INDICADOR]],[1]!CMI[[#All],[Ejecutado_12]])="-",0,LOOKUP($J13,[1]!CMI[[#All],[CÓDIGO DE INDICADOR]],[1]!CMI[[#All],[Ejecutado_12]]))</f>
        <v>0</v>
      </c>
      <c r="AX13" s="64">
        <f>LOOKUP($J13,[1]!CMI[[#All],[CÓDIGO DE INDICADOR]],[1]!CMI[[#All],[Programado_13]])</f>
        <v>45000</v>
      </c>
      <c r="AY13" s="64">
        <f>IF(LOOKUP($J13,[1]!CMI[[#All],[CÓDIGO DE INDICADOR]],[1]!CMI[[#All],[Ejecutado_13]])="-",0,LOOKUP($J13,[1]!CMI[[#All],[CÓDIGO DE INDICADOR]],[1]!CMI[[#All],[Ejecutado_13]]))</f>
        <v>0</v>
      </c>
      <c r="AZ13" s="65">
        <f>IF($K13="Sumatoria",AR13+AT13+AV13+AX13,IF($K13="Constante",$F13,AX13))</f>
        <v>45000</v>
      </c>
      <c r="BA13" s="65">
        <f>IF(OR(LOOKUP($J13,[1]!CMI[[#All],[CÓDIGO DE INDICADOR]],[1]!CMI[[#All],[TIPO DE FÓRMULA]])="Valor absoluto",LOOKUP($J13,[1]!CMI[[#All],[CÓDIGO DE INDICADOR]],[1]!CMI[[#All],[TIPO DE FÓRMULA]])="Suma"),AS13+AU13+AW13+AY13,IF(OR(LOOKUP($J13,[1]!CMI[[#All],[CÓDIGO DE INDICADOR]],[1]!CMI[[#All],[TIPO DE FÓRMULA]])="Porcentaje",LOOKUP($J13,[1]!CMI[[#All],[CÓDIGO DE INDICADOR]],[1]!CMI[[#All],[TIPO DE FÓRMULA]])="División"),IF(LOOKUP($J13,[1]!CMI[[#All],[CÓDIGO DE INDICADOR]],[1]!CMI[[#All],[Variable2_10]])+LOOKUP($J13,[1]!CMI[[#All],[CÓDIGO DE INDICADOR]],[1]!CMI[[#All],[Variable2_11]])+LOOKUP($J13,[1]!CMI[[#All],[CÓDIGO DE INDICADOR]],[1]!CMI[[#All],[Variable2_12]])+LOOKUP($J13,[1]!CMI[[#All],[CÓDIGO DE INDICADOR]],[1]!CMI[[#All],[Variable2_13]])=0,0,(LOOKUP($J13,[1]!CMI[[#All],[CÓDIGO DE INDICADOR]],[1]!CMI[[#All],[Variable1_10]])+LOOKUP($J13,[1]!CMI[[#All],[CÓDIGO DE INDICADOR]],[1]!CMI[[#All],[Variable1_11]])+LOOKUP($J13,[1]!CMI[[#All],[CÓDIGO DE INDICADOR]],[1]!CMI[[#All],[Variable1_12]])+LOOKUP($J13,[1]!CMI[[#All],[CÓDIGO DE INDICADOR]],[1]!CMI[[#All],[Variable1_13]]))/(LOOKUP($J13,[1]!CMI[[#All],[CÓDIGO DE INDICADOR]],[1]!CMI[[#All],[Variable2_10]])+LOOKUP($J13,[1]!CMI[[#All],[CÓDIGO DE INDICADOR]],[1]!CMI[[#All],[Variable2_11]])+LOOKUP($J13,[1]!CMI[[#All],[CÓDIGO DE INDICADOR]],[1]!CMI[[#All],[Variable2_12]])+LOOKUP($J13,[1]!CMI[[#All],[CÓDIGO DE INDICADOR]],[1]!CMI[[#All],[Variable2_13]]))),IF(LOOKUP($J13,[1]!CMI[[#All],[CÓDIGO DE INDICADOR]],[1]!CMI[[#All],[TIPO DE FÓRMULA]])="Tasa de variación",LOOKUP($J13,[1]!CMI[[#All],[CÓDIGO DE INDICADOR]],[1]!CMI[[#All],[EjecuciónAcumulada_13]]),0)))</f>
        <v>0</v>
      </c>
      <c r="BB13" s="60">
        <f>LOOKUP($J13,[1]!CMI[[#All],[CÓDIGO DE INDICADOR]],[1]!CMI[[#All],[Programado_14]])</f>
        <v>2000</v>
      </c>
      <c r="BC13" s="60">
        <f>IF(LOOKUP($J13,[1]!CMI[[#All],[CÓDIGO DE INDICADOR]],[1]!CMI[[#All],[Ejecutado_14]])="-",0,LOOKUP($J13,[1]!CMI[[#All],[CÓDIGO DE INDICADOR]],[1]!CMI[[#All],[Ejecutado_14]]))</f>
        <v>0</v>
      </c>
      <c r="BD13" s="60">
        <f>LOOKUP($J13,[1]!CMI[[#All],[CÓDIGO DE INDICADOR]],[1]!CMI[[#All],[Programado_15]])</f>
        <v>0</v>
      </c>
      <c r="BE13" s="64">
        <f>IF(LOOKUP($J13,[1]!CMI[[#All],[CÓDIGO DE INDICADOR]],[1]!CMI[[#All],[Ejecutado_15]])="-",0,LOOKUP($J13,[1]!CMI[[#All],[CÓDIGO DE INDICADOR]],[1]!CMI[[#All],[Ejecutado_15]]))</f>
        <v>0</v>
      </c>
      <c r="BF13" s="64">
        <f>LOOKUP($J13,[1]!CMI[[#All],[CÓDIGO DE INDICADOR]],[1]!CMI[[#All],[Programado_16]])</f>
        <v>0</v>
      </c>
      <c r="BG13" s="64">
        <f>IF(LOOKUP($J13,[1]!CMI[[#All],[CÓDIGO DE INDICADOR]],[1]!CMI[[#All],[Ejecutado_16]])="-",0,LOOKUP($J13,[1]!CMI[[#All],[CÓDIGO DE INDICADOR]],[1]!CMI[[#All],[Ejecutado_16]]))</f>
        <v>0</v>
      </c>
      <c r="BH13" s="64">
        <f>LOOKUP($J13,[1]!CMI[[#All],[CÓDIGO DE INDICADOR]],[1]!CMI[[#All],[Programado_17]])</f>
        <v>0</v>
      </c>
      <c r="BI13" s="64">
        <f>IF(LOOKUP($J13,[1]!CMI[[#All],[CÓDIGO DE INDICADOR]],[1]!CMI[[#All],[Ejecutado_17]])="-",0,LOOKUP($J13,[1]!CMI[[#All],[CÓDIGO DE INDICADOR]],[1]!CMI[[#All],[Ejecutado_17]]))</f>
        <v>0</v>
      </c>
      <c r="BJ13" s="65">
        <f>IF($K13="Sumatoria",BB13+BD13+BF13+BH13,IF($K13="Constante",$F13,BH13))</f>
        <v>2000</v>
      </c>
      <c r="BK13" s="65">
        <f>IF(OR(LOOKUP($J13,[1]!CMI[[#All],[CÓDIGO DE INDICADOR]],[1]!CMI[[#All],[TIPO DE FÓRMULA]])="Valor absoluto",LOOKUP($J13,[1]!CMI[[#All],[CÓDIGO DE INDICADOR]],[1]!CMI[[#All],[TIPO DE FÓRMULA]])="Suma"),BC13+BE13+BG13+BI13,IF(OR(LOOKUP($J13,[1]!CMI[[#All],[CÓDIGO DE INDICADOR]],[1]!CMI[[#All],[TIPO DE FÓRMULA]])="Porcentaje",LOOKUP($J13,[1]!CMI[[#All],[CÓDIGO DE INDICADOR]],[1]!CMI[[#All],[TIPO DE FÓRMULA]])="División"),IF(LOOKUP($J13,[1]!CMI[[#All],[CÓDIGO DE INDICADOR]],[1]!CMI[[#All],[Variable2_14]])+LOOKUP($J13,[1]!CMI[[#All],[CÓDIGO DE INDICADOR]],[1]!CMI[[#All],[Variable2_15]])+LOOKUP($J13,[1]!CMI[[#All],[CÓDIGO DE INDICADOR]],[1]!CMI[[#All],[Variable2_16]])+LOOKUP($J13,[1]!CMI[[#All],[CÓDIGO DE INDICADOR]],[1]!CMI[[#All],[Variable2_17]])=0,0,(LOOKUP($J13,[1]!CMI[[#All],[CÓDIGO DE INDICADOR]],[1]!CMI[[#All],[Variable1_14]])+LOOKUP($J13,[1]!CMI[[#All],[CÓDIGO DE INDICADOR]],[1]!CMI[[#All],[Variable1_15]])+LOOKUP($J13,[1]!CMI[[#All],[CÓDIGO DE INDICADOR]],[1]!CMI[[#All],[Variable1_16]])+LOOKUP($J13,[1]!CMI[[#All],[CÓDIGO DE INDICADOR]],[1]!CMI[[#All],[Variable1_17]]))/(LOOKUP($J13,[1]!CMI[[#All],[CÓDIGO DE INDICADOR]],[1]!CMI[[#All],[Variable2_14]])+LOOKUP($J13,[1]!CMI[[#All],[CÓDIGO DE INDICADOR]],[1]!CMI[[#All],[Variable2_15]])+LOOKUP($J13,[1]!CMI[[#All],[CÓDIGO DE INDICADOR]],[1]!CMI[[#All],[Variable2_16]])+LOOKUP($J13,[1]!CMI[[#All],[CÓDIGO DE INDICADOR]],[1]!CMI[[#All],[Variable2_17]]))),IF(LOOKUP($J13,[1]!CMI[[#All],[CÓDIGO DE INDICADOR]],[1]!CMI[[#All],[TIPO DE FÓRMULA]])="Tasa de variación",LOOKUP($J13,[1]!CMI[[#All],[CÓDIGO DE INDICADOR]],[1]!CMI[[#All],[EjecuciónAcumulada_17]]),0)))</f>
        <v>0</v>
      </c>
      <c r="BL13" s="65">
        <f>IF(YEAR($M13)=2016,LOOKUP($J13,[1]!CMI[[#All],[CÓDIGO DE INDICADOR]],[1]!CMI[[#All],[ProgramadoAcumulado_1]]),IF(AND(YEAR($M13)=2017,MONTH($M13)&lt;=3),LOOKUP($J13,[1]!CMI[[#All],[CÓDIGO DE INDICADOR]],[1]!CMI[[#All],[ProgramadoAcumulado_2]]),IF(AND(YEAR($M13)=2017,MONTH($M13)&lt;=6),LOOKUP($J13,[1]!CMI[[#All],[CÓDIGO DE INDICADOR]],[1]!CMI[[#All],[ProgramadoAcumulado_3]]),IF(AND(YEAR($M13)=2017,MONTH($M13)&lt;=9),LOOKUP($J13,[1]!CMI[[#All],[CÓDIGO DE INDICADOR]],[1]!CMI[[#All],[ProgramadoAcumulado_4]]),IF(AND(YEAR($M13)=2017,MONTH($M13)&lt;=12),LOOKUP($J13,[1]!CMI[[#All],[CÓDIGO DE INDICADOR]],[1]!CMI[[#All],[ProgramadoAcumulado_5]]),IF(AND(YEAR($M13)=2018,MONTH($M13)&lt;=3),LOOKUP($J13,[1]!CMI[[#All],[CÓDIGO DE INDICADOR]],[1]!CMI[[#All],[ProgramadoAcumulado_6]]),IF(AND(YEAR($M13)=2018,MONTH($M13)&lt;=6),LOOKUP($J13,[1]!CMI[[#All],[CÓDIGO DE INDICADOR]],[1]!CMI[[#All],[ProgramadoAcumulado_7]]),IF(AND(YEAR($M13)=2018,MONTH($M13)&lt;=9),LOOKUP($J13,[1]!CMI[[#All],[CÓDIGO DE INDICADOR]],[1]!CMI[[#All],[ProgramadoAcumulado_8]]),IF(AND(YEAR($M13)=2018,MONTH($M13)&lt;=12),LOOKUP($J13,[1]!CMI[[#All],[CÓDIGO DE INDICADOR]],[1]!CMI[[#All],[ProgramadoAcumulado_9]]),IF(AND(YEAR($M13)=2019,MONTH($M13)&lt;=3),LOOKUP($J13,[1]!CMI[[#All],[CÓDIGO DE INDICADOR]],[1]!CMI[[#All],[ProgramadoAcumulado_10]]),IF(AND(YEAR($M13)=2019,MONTH($M13)&lt;=6),LOOKUP($J13,[1]!CMI[[#All],[CÓDIGO DE INDICADOR]],[1]!CMI[[#All],[ProgramadoAcumulado_11]]),IF(AND(YEAR($M13)=2019,MONTH($M13)&lt;=9),LOOKUP($J13,[1]!CMI[[#All],[CÓDIGO DE INDICADOR]],[1]!CMI[[#All],[ProgramadoAcumulado_12]]),IF(AND(YEAR($M13)=2019,MONTH($M13)&lt;=12),LOOKUP($J13,[1]!CMI[[#All],[CÓDIGO DE INDICADOR]],[1]!CMI[[#All],[ProgramadoAcumulado_13]]),IF(AND(YEAR($M13)=2020,MONTH($M13)&lt;=3),LOOKUP($J13,[1]!CMI[[#All],[CÓDIGO DE INDICADOR]],[1]!CMI[[#All],[ProgramadoAcumulado_14]]),IF(AND(YEAR($M13)=2020,MONTH($M13)&lt;=6),LOOKUP($J13,[1]!CMI[[#All],[CÓDIGO DE INDICADOR]],[1]!CMI[[#All],[ProgramadoAcumulado_15]]),IF(AND(YEAR($M13)=2020,MONTH($M13)&lt;=9),LOOKUP($J13,[1]!CMI[[#All],[CÓDIGO DE INDICADOR]],[1]!CMI[[#All],[ProgramadoAcumulado_16]]),IF(AND(YEAR($M13)=2020,MONTH($M13)&lt;=12),LOOKUP($J13,[1]!CMI[[#All],[CÓDIGO DE INDICADOR]],[1]!CMI[[#All],[ProgramadoAcumulado_17]]),"N.A")))))))))))))))))</f>
        <v>92000</v>
      </c>
      <c r="BM13" s="65">
        <f>IF(YEAR($M13)=2016,LOOKUP($J13,[1]!CMI[[#All],[CÓDIGO DE INDICADOR]],[1]!CMI[[#All],[EjecuciónAcumulada_1]]),IF(AND(YEAR($M13)=2017,MONTH($M13)&lt;=3),LOOKUP($J13,[1]!CMI[[#All],[CÓDIGO DE INDICADOR]],[1]!CMI[[#All],[EjecuciónAcumulada_2]]),IF(AND(YEAR($M13)=2017,MONTH($M13)&lt;=6),LOOKUP($J13,[1]!CMI[[#All],[CÓDIGO DE INDICADOR]],[1]!CMI[[#All],[EjecuciónAcumulada_3]]),IF(AND(YEAR($M13)=2017,MONTH($M13)&lt;=9),LOOKUP($J13,[1]!CMI[[#All],[CÓDIGO DE INDICADOR]],[1]!CMI[[#All],[EjecuciónAcumulada_4]]),IF(AND(YEAR($M13)=2017,MONTH($M13)&lt;=12),LOOKUP($J13,[1]!CMI[[#All],[CÓDIGO DE INDICADOR]],[1]!CMI[[#All],[EjecuciónAcumulada_5]]),IF(AND(YEAR($M13)=2018,MONTH($M13)&lt;=3),LOOKUP($J13,[1]!CMI[[#All],[CÓDIGO DE INDICADOR]],[1]!CMI[[#All],[EjecuciónAcumulada_6]]),IF(AND(YEAR($M13)=2018,MONTH($M13)&lt;=6),LOOKUP($J13,[1]!CMI[[#All],[CÓDIGO DE INDICADOR]],[1]!CMI[[#All],[EjecuciónAcumulada_7]]),IF(AND(YEAR($M13)=2018,MONTH($M13)&lt;=9),LOOKUP($J13,[1]!CMI[[#All],[CÓDIGO DE INDICADOR]],[1]!CMI[[#All],[EjecuciónAcumulada_8]]),IF(AND(YEAR($M13)=2018,MONTH($M13)&lt;=12),LOOKUP($J13,[1]!CMI[[#All],[CÓDIGO DE INDICADOR]],[1]!CMI[[#All],[EjecuciónAcumulada_9]]),IF(AND(YEAR($M13)=2019,MONTH($M13)&lt;=3),LOOKUP($J13,[1]!CMI[[#All],[CÓDIGO DE INDICADOR]],[1]!CMI[[#All],[EjecuciónAcumulada_10]]),IF(AND(YEAR($M13)=2019,MONTH($M13)&lt;=6),LOOKUP($J13,[1]!CMI[[#All],[CÓDIGO DE INDICADOR]],[1]!CMI[[#All],[EjecuciónAcumulada_11]]),IF(AND(YEAR($M13)=2019,MONTH($M13)&lt;=9),LOOKUP($J13,[1]!CMI[[#All],[CÓDIGO DE INDICADOR]],[1]!CMI[[#All],[EjecuciónAcumulada_12]]),IF(AND(YEAR($M13)=2019,MONTH($M13)&lt;=12),LOOKUP($J13,[1]!CMI[[#All],[CÓDIGO DE INDICADOR]],[1]!CMI[[#All],[EjecuciónAcumulada_13]]),IF(AND(YEAR($M13)=2020,MONTH($M13)&lt;=3),LOOKUP($J13,[1]!CMI[[#All],[CÓDIGO DE INDICADOR]],[1]!CMI[[#All],[EjecuciónAcumulada_14]]),IF(AND(YEAR($M13)=2020,MONTH($M13)&lt;=6),LOOKUP($J13,[1]!CMI[[#All],[CÓDIGO DE INDICADOR]],[1]!CMI[[#All],[EjecuciónAcumulada_15]]),IF(AND(YEAR($M13)=2020,MONTH($M13)&lt;=9),LOOKUP($J13,[1]!CMI[[#All],[CÓDIGO DE INDICADOR]],[1]!CMI[[#All],[EjecuciónAcumulada_16]]),IF(AND(YEAR($M13)=2020,MONTH($M13)&lt;=12),LOOKUP($J13,[1]!CMI[[#All],[CÓDIGO DE INDICADOR]],[1]!CMI[[#All],[EjecuciónAcumulada_17]]),"N.A")))))))))))))))))</f>
        <v>148569</v>
      </c>
      <c r="BN13" s="66">
        <f>IF(ISERROR(BM13/BL13),"N.A.",IF(BL13=0,"N.A.",BM13/BL13))</f>
        <v>1.6148804347826087</v>
      </c>
      <c r="BO13" s="65">
        <f t="shared" ref="BO13:BO35" si="0">IF($K13="Sumatoria",V13+AF13+AP13+AZ13+BJ13,IF($K13="Constante",$F13,$F13))</f>
        <v>227000</v>
      </c>
      <c r="BP13" s="67">
        <f>IF(ISERROR(BM13/BO13),"N.A.",IF(BO13=0,"N.A.",BM13/BO13))</f>
        <v>0.65448898678414102</v>
      </c>
    </row>
    <row r="14" spans="2:68" ht="90" customHeight="1">
      <c r="B14" s="133"/>
      <c r="C14" s="138"/>
      <c r="D14" s="11" t="str">
        <f>LOOKUP($J14,[1]!CMI[[#All],[CÓDIGO DE INDICADOR]],[1]!CMI[[#All],[NOMBRE DEL INDICADOR]])</f>
        <v>Número de personas sensibilizadas (Locales)</v>
      </c>
      <c r="E14" s="11" t="str">
        <f>LOOKUP($J14,[1]!CMI[[#All],[CÓDIGO DE INDICADOR]],[1]!CMI[[#All],[FÓRMULA DE CÁLCULO]])</f>
        <v>Numero de personas sensibilizadas</v>
      </c>
      <c r="F14" s="12">
        <f>LOOKUP($J14,[1]!CMI[[#All],[CÓDIGO DE INDICADOR]],[1]!CMI[[#All],[VALOR PROGRAMADO TOTAL]])</f>
        <v>30000</v>
      </c>
      <c r="G14" s="13" t="s">
        <v>79</v>
      </c>
      <c r="H14" s="13" t="s">
        <v>79</v>
      </c>
      <c r="I14" s="11" t="str">
        <f>LOOKUP($J14,[1]!CMI[[#All],[CÓDIGO DE INDICADOR]],[1]!CMI[[#All],[DEPENDENCIA]])</f>
        <v>PERSONERÍA DELEGADA PARA LA COORDINACIÓN DE PERSONERÍAS LOCALES</v>
      </c>
      <c r="J14" s="13" t="s">
        <v>246</v>
      </c>
      <c r="K14" s="11" t="str">
        <f>LOOKUP($J14,[1]!CMI[[#All],[CÓDIGO DE INDICADOR]],[1]!CMI[[#All],[CÁLCULO VALOR PROGRAMADO ACUMULADO]])</f>
        <v>Sumatoria</v>
      </c>
      <c r="L14" s="11" t="str">
        <f>LOOKUP($J14,[1]!CMI[[#All],[CÓDIGO DE INDICADOR]],[1]!CMI[[#All],[TENDENCIA DECRECIENTE]])</f>
        <v>No</v>
      </c>
      <c r="M14" s="14">
        <f>LOOKUP($J14,[1]!CMI[[#All],[CÓDIGO DE INDICADOR]],[1]!CMI[[#All],[FECHA DE CORTE]])</f>
        <v>43281</v>
      </c>
      <c r="N14" s="12">
        <v>0</v>
      </c>
      <c r="O14" s="12">
        <v>0</v>
      </c>
      <c r="P14" s="12">
        <v>0</v>
      </c>
      <c r="Q14" s="15">
        <v>0</v>
      </c>
      <c r="R14" s="15">
        <v>0</v>
      </c>
      <c r="S14" s="15">
        <v>0</v>
      </c>
      <c r="T14" s="15">
        <f>LOOKUP($J14,[1]!CMI[[#All],[CÓDIGO DE INDICADOR]],[1]!CMI[[#All],[Programado_1]])</f>
        <v>0</v>
      </c>
      <c r="U14" s="15">
        <f>IF(LOOKUP($J14,[1]!CMI[[#All],[CÓDIGO DE INDICADOR]],[1]!CMI[[#All],[Ejecutado_1]])="-",0,LOOKUP($J14,[1]!CMI[[#All],[CÓDIGO DE INDICADOR]],[1]!CMI[[#All],[Ejecutado_1]]))</f>
        <v>0</v>
      </c>
      <c r="V14" s="16">
        <f t="shared" ref="V14:V30" si="1">T14</f>
        <v>0</v>
      </c>
      <c r="W14" s="16">
        <f t="shared" ref="W14:W30" si="2">U14</f>
        <v>0</v>
      </c>
      <c r="X14" s="12">
        <f>LOOKUP($J14,[1]!CMI[[#All],[CÓDIGO DE INDICADOR]],[1]!CMI[[#All],[Programado_2]])</f>
        <v>0</v>
      </c>
      <c r="Y14" s="12">
        <f>IF(LOOKUP($J14,[1]!CMI[[#All],[CÓDIGO DE INDICADOR]],[1]!CMI[[#All],[Ejecutado_2]])="-",0,LOOKUP($J14,[1]!CMI[[#All],[CÓDIGO DE INDICADOR]],[1]!CMI[[#All],[Ejecutado_2]]))</f>
        <v>0</v>
      </c>
      <c r="Z14" s="12">
        <f>LOOKUP($J14,[1]!CMI[[#All],[CÓDIGO DE INDICADOR]],[1]!CMI[[#All],[Programado_3]])</f>
        <v>0</v>
      </c>
      <c r="AA14" s="15">
        <f>IF(LOOKUP($J14,[1]!CMI[[#All],[CÓDIGO DE INDICADOR]],[1]!CMI[[#All],[Ejecutado_3]])="-",0,LOOKUP($J14,[1]!CMI[[#All],[CÓDIGO DE INDICADOR]],[1]!CMI[[#All],[Ejecutado_3]]))</f>
        <v>0</v>
      </c>
      <c r="AB14" s="15">
        <f>LOOKUP($J14,[1]!CMI[[#All],[CÓDIGO DE INDICADOR]],[1]!CMI[[#All],[Programado_4]])</f>
        <v>0</v>
      </c>
      <c r="AC14" s="15">
        <f>IF(LOOKUP($J14,[1]!CMI[[#All],[CÓDIGO DE INDICADOR]],[1]!CMI[[#All],[Ejecutado_4]])="-",0,LOOKUP($J14,[1]!CMI[[#All],[CÓDIGO DE INDICADOR]],[1]!CMI[[#All],[Ejecutado_4]]))</f>
        <v>3815</v>
      </c>
      <c r="AD14" s="15">
        <f>LOOKUP($J14,[1]!CMI[[#All],[CÓDIGO DE INDICADOR]],[1]!CMI[[#All],[Programado_5]])</f>
        <v>1500</v>
      </c>
      <c r="AE14" s="15">
        <f>IF(LOOKUP($J14,[1]!CMI[[#All],[CÓDIGO DE INDICADOR]],[1]!CMI[[#All],[Ejecutado_5]])="-",0,LOOKUP($J14,[1]!CMI[[#All],[CÓDIGO DE INDICADOR]],[1]!CMI[[#All],[Ejecutado_5]]))</f>
        <v>2268</v>
      </c>
      <c r="AF14" s="16">
        <f t="shared" ref="AF14:AF30" si="3">IF($K14="Sumatoria",X14+Z14+AB14+AD14,IF($K14="Constante",$F14,AD14))</f>
        <v>1500</v>
      </c>
      <c r="AG14" s="16">
        <f>IF(OR(LOOKUP($J14,[1]!CMI[[#All],[CÓDIGO DE INDICADOR]],[1]!CMI[[#All],[TIPO DE FÓRMULA]])="Valor absoluto",LOOKUP($J14,[1]!CMI[[#All],[CÓDIGO DE INDICADOR]],[1]!CMI[[#All],[TIPO DE FÓRMULA]])="Suma"),Y14+AA14+AC14+AE14,IF(OR(LOOKUP($J14,[1]!CMI[[#All],[CÓDIGO DE INDICADOR]],[1]!CMI[[#All],[TIPO DE FÓRMULA]])="Porcentaje",LOOKUP($J14,[1]!CMI[[#All],[CÓDIGO DE INDICADOR]],[1]!CMI[[#All],[TIPO DE FÓRMULA]])="División"),IF(LOOKUP($J14,[1]!CMI[[#All],[CÓDIGO DE INDICADOR]],[1]!CMI[[#All],[Variable2_2]])+LOOKUP($J14,[1]!CMI[[#All],[CÓDIGO DE INDICADOR]],[1]!CMI[[#All],[Variable2_3]])+LOOKUP($J14,[1]!CMI[[#All],[CÓDIGO DE INDICADOR]],[1]!CMI[[#All],[Variable2_4]])+LOOKUP($J14,[1]!CMI[[#All],[CÓDIGO DE INDICADOR]],[1]!CMI[[#All],[Variable2_5]])=0,0,(LOOKUP($J14,[1]!CMI[[#All],[CÓDIGO DE INDICADOR]],[1]!CMI[[#All],[Variable1_2]])+LOOKUP($J14,[1]!CMI[[#All],[CÓDIGO DE INDICADOR]],[1]!CMI[[#All],[Variable1_3]])+LOOKUP($J14,[1]!CMI[[#All],[CÓDIGO DE INDICADOR]],[1]!CMI[[#All],[Variable1_4]])+LOOKUP($J14,[1]!CMI[[#All],[CÓDIGO DE INDICADOR]],[1]!CMI[[#All],[Variable1_5]]))/(LOOKUP($J14,[1]!CMI[[#All],[CÓDIGO DE INDICADOR]],[1]!CMI[[#All],[Variable2_2]])+LOOKUP($J14,[1]!CMI[[#All],[CÓDIGO DE INDICADOR]],[1]!CMI[[#All],[Variable2_3]])+LOOKUP($J14,[1]!CMI[[#All],[CÓDIGO DE INDICADOR]],[1]!CMI[[#All],[Variable2_4]])+LOOKUP($J14,[1]!CMI[[#All],[CÓDIGO DE INDICADOR]],[1]!CMI[[#All],[Variable2_5]]))),IF(LOOKUP($J14,[1]!CMI[[#All],[CÓDIGO DE INDICADOR]],[1]!CMI[[#All],[TIPO DE FÓRMULA]])="Tasa de variación",LOOKUP($J14,[1]!CMI[[#All],[CÓDIGO DE INDICADOR]],[1]!CMI[[#All],[EjecuciónAcumulada_5]]),0)))</f>
        <v>6083</v>
      </c>
      <c r="AH14" s="12">
        <f>LOOKUP($J14,[1]!CMI[[#All],[CÓDIGO DE INDICADOR]],[1]!CMI[[#All],[Programado_6]])</f>
        <v>2500</v>
      </c>
      <c r="AI14" s="12">
        <f>IF(LOOKUP($J14,[1]!CMI[[#All],[CÓDIGO DE INDICADOR]],[1]!CMI[[#All],[Ejecutado_6]])="-",0,LOOKUP($J14,[1]!CMI[[#All],[CÓDIGO DE INDICADOR]],[1]!CMI[[#All],[Ejecutado_6]]))</f>
        <v>442</v>
      </c>
      <c r="AJ14" s="12">
        <f>LOOKUP($J14,[1]!CMI[[#All],[CÓDIGO DE INDICADOR]],[1]!CMI[[#All],[Programado_7]])</f>
        <v>2500</v>
      </c>
      <c r="AK14" s="15">
        <f>IF(LOOKUP($J14,[1]!CMI[[#All],[CÓDIGO DE INDICADOR]],[1]!CMI[[#All],[Ejecutado_7]])="-",0,LOOKUP($J14,[1]!CMI[[#All],[CÓDIGO DE INDICADOR]],[1]!CMI[[#All],[Ejecutado_7]]))</f>
        <v>2760</v>
      </c>
      <c r="AL14" s="15">
        <f>LOOKUP($J14,[1]!CMI[[#All],[CÓDIGO DE INDICADOR]],[1]!CMI[[#All],[Programado_8]])</f>
        <v>2500</v>
      </c>
      <c r="AM14" s="15">
        <f>IF(LOOKUP($J14,[1]!CMI[[#All],[CÓDIGO DE INDICADOR]],[1]!CMI[[#All],[Ejecutado_8]])="-",0,LOOKUP($J14,[1]!CMI[[#All],[CÓDIGO DE INDICADOR]],[1]!CMI[[#All],[Ejecutado_8]]))</f>
        <v>0</v>
      </c>
      <c r="AN14" s="15">
        <f>LOOKUP($J14,[1]!CMI[[#All],[CÓDIGO DE INDICADOR]],[1]!CMI[[#All],[Programado_9]])</f>
        <v>2500</v>
      </c>
      <c r="AO14" s="15">
        <f>IF(LOOKUP($J14,[1]!CMI[[#All],[CÓDIGO DE INDICADOR]],[1]!CMI[[#All],[Ejecutado_9]])="-",0,LOOKUP($J14,[1]!CMI[[#All],[CÓDIGO DE INDICADOR]],[1]!CMI[[#All],[Ejecutado_9]]))</f>
        <v>0</v>
      </c>
      <c r="AP14" s="16">
        <f t="shared" ref="AP14:AP30" si="4">IF($K14="Sumatoria",AH14+AJ14+AL14+AN14,IF($K14="Constante",$F14,AN14))</f>
        <v>10000</v>
      </c>
      <c r="AQ14" s="16">
        <f>IF(OR(LOOKUP($J14,[1]!CMI[[#All],[CÓDIGO DE INDICADOR]],[1]!CMI[[#All],[TIPO DE FÓRMULA]])="Valor absoluto",LOOKUP($J14,[1]!CMI[[#All],[CÓDIGO DE INDICADOR]],[1]!CMI[[#All],[TIPO DE FÓRMULA]])="Suma"),AI14+AK14+AM14+AO14,IF(OR(LOOKUP($J14,[1]!CMI[[#All],[CÓDIGO DE INDICADOR]],[1]!CMI[[#All],[TIPO DE FÓRMULA]])="Porcentaje",LOOKUP($J14,[1]!CMI[[#All],[CÓDIGO DE INDICADOR]],[1]!CMI[[#All],[TIPO DE FÓRMULA]])="División"),IF(LOOKUP($J14,[1]!CMI[[#All],[CÓDIGO DE INDICADOR]],[1]!CMI[[#All],[Variable2_6]])+LOOKUP($J14,[1]!CMI[[#All],[CÓDIGO DE INDICADOR]],[1]!CMI[[#All],[Variable2_7]])+LOOKUP($J14,[1]!CMI[[#All],[CÓDIGO DE INDICADOR]],[1]!CMI[[#All],[Variable2_8]])+LOOKUP($J14,[1]!CMI[[#All],[CÓDIGO DE INDICADOR]],[1]!CMI[[#All],[Variable2_9]])=0,0,(LOOKUP($J14,[1]!CMI[[#All],[CÓDIGO DE INDICADOR]],[1]!CMI[[#All],[Variable1_6]])+LOOKUP($J14,[1]!CMI[[#All],[CÓDIGO DE INDICADOR]],[1]!CMI[[#All],[Variable1_7]])+LOOKUP($J14,[1]!CMI[[#All],[CÓDIGO DE INDICADOR]],[1]!CMI[[#All],[Variable1_8]])+LOOKUP($J14,[1]!CMI[[#All],[CÓDIGO DE INDICADOR]],[1]!CMI[[#All],[Variable1_9]]))/(LOOKUP($J14,[1]!CMI[[#All],[CÓDIGO DE INDICADOR]],[1]!CMI[[#All],[Variable2_6]])+LOOKUP($J14,[1]!CMI[[#All],[CÓDIGO DE INDICADOR]],[1]!CMI[[#All],[Variable2_7]])+LOOKUP($J14,[1]!CMI[[#All],[CÓDIGO DE INDICADOR]],[1]!CMI[[#All],[Variable2_8]])+LOOKUP($J14,[1]!CMI[[#All],[CÓDIGO DE INDICADOR]],[1]!CMI[[#All],[Variable2_9]]))),IF(LOOKUP($J14,[1]!CMI[[#All],[CÓDIGO DE INDICADOR]],[1]!CMI[[#All],[TIPO DE FÓRMULA]])="Tasa de variación",LOOKUP($J14,[1]!CMI[[#All],[CÓDIGO DE INDICADOR]],[1]!CMI[[#All],[EjecuciónAcumulada_9]]),0)))</f>
        <v>3202</v>
      </c>
      <c r="AR14" s="12">
        <f>LOOKUP($J14,[1]!CMI[[#All],[CÓDIGO DE INDICADOR]],[1]!CMI[[#All],[Programado_10]])</f>
        <v>2500</v>
      </c>
      <c r="AS14" s="12">
        <f>IF(LOOKUP($J14,[1]!CMI[[#All],[CÓDIGO DE INDICADOR]],[1]!CMI[[#All],[Ejecutado_10]])="-",0,LOOKUP($J14,[1]!CMI[[#All],[CÓDIGO DE INDICADOR]],[1]!CMI[[#All],[Ejecutado_10]]))</f>
        <v>0</v>
      </c>
      <c r="AT14" s="12">
        <f>LOOKUP($J14,[1]!CMI[[#All],[CÓDIGO DE INDICADOR]],[1]!CMI[[#All],[Programado_11]])</f>
        <v>2500</v>
      </c>
      <c r="AU14" s="15">
        <f>IF(LOOKUP($J14,[1]!CMI[[#All],[CÓDIGO DE INDICADOR]],[1]!CMI[[#All],[Ejecutado_11]])="-",0,LOOKUP($J14,[1]!CMI[[#All],[CÓDIGO DE INDICADOR]],[1]!CMI[[#All],[Ejecutado_11]]))</f>
        <v>0</v>
      </c>
      <c r="AV14" s="15">
        <f>LOOKUP($J14,[1]!CMI[[#All],[CÓDIGO DE INDICADOR]],[1]!CMI[[#All],[Programado_12]])</f>
        <v>2500</v>
      </c>
      <c r="AW14" s="15">
        <f>IF(LOOKUP($J14,[1]!CMI[[#All],[CÓDIGO DE INDICADOR]],[1]!CMI[[#All],[Ejecutado_12]])="-",0,LOOKUP($J14,[1]!CMI[[#All],[CÓDIGO DE INDICADOR]],[1]!CMI[[#All],[Ejecutado_12]]))</f>
        <v>0</v>
      </c>
      <c r="AX14" s="15">
        <f>LOOKUP($J14,[1]!CMI[[#All],[CÓDIGO DE INDICADOR]],[1]!CMI[[#All],[Programado_13]])</f>
        <v>2500</v>
      </c>
      <c r="AY14" s="15">
        <f>IF(LOOKUP($J14,[1]!CMI[[#All],[CÓDIGO DE INDICADOR]],[1]!CMI[[#All],[Ejecutado_13]])="-",0,LOOKUP($J14,[1]!CMI[[#All],[CÓDIGO DE INDICADOR]],[1]!CMI[[#All],[Ejecutado_13]]))</f>
        <v>0</v>
      </c>
      <c r="AZ14" s="16">
        <f t="shared" ref="AZ14:AZ30" si="5">IF($K14="Sumatoria",AR14+AT14+AV14+AX14,IF($K14="Constante",$F14,AX14))</f>
        <v>10000</v>
      </c>
      <c r="BA14" s="16">
        <f>IF(OR(LOOKUP($J14,[1]!CMI[[#All],[CÓDIGO DE INDICADOR]],[1]!CMI[[#All],[TIPO DE FÓRMULA]])="Valor absoluto",LOOKUP($J14,[1]!CMI[[#All],[CÓDIGO DE INDICADOR]],[1]!CMI[[#All],[TIPO DE FÓRMULA]])="Suma"),AS14+AU14+AW14+AY14,IF(OR(LOOKUP($J14,[1]!CMI[[#All],[CÓDIGO DE INDICADOR]],[1]!CMI[[#All],[TIPO DE FÓRMULA]])="Porcentaje",LOOKUP($J14,[1]!CMI[[#All],[CÓDIGO DE INDICADOR]],[1]!CMI[[#All],[TIPO DE FÓRMULA]])="División"),IF(LOOKUP($J14,[1]!CMI[[#All],[CÓDIGO DE INDICADOR]],[1]!CMI[[#All],[Variable2_10]])+LOOKUP($J14,[1]!CMI[[#All],[CÓDIGO DE INDICADOR]],[1]!CMI[[#All],[Variable2_11]])+LOOKUP($J14,[1]!CMI[[#All],[CÓDIGO DE INDICADOR]],[1]!CMI[[#All],[Variable2_12]])+LOOKUP($J14,[1]!CMI[[#All],[CÓDIGO DE INDICADOR]],[1]!CMI[[#All],[Variable2_13]])=0,0,(LOOKUP($J14,[1]!CMI[[#All],[CÓDIGO DE INDICADOR]],[1]!CMI[[#All],[Variable1_10]])+LOOKUP($J14,[1]!CMI[[#All],[CÓDIGO DE INDICADOR]],[1]!CMI[[#All],[Variable1_11]])+LOOKUP($J14,[1]!CMI[[#All],[CÓDIGO DE INDICADOR]],[1]!CMI[[#All],[Variable1_12]])+LOOKUP($J14,[1]!CMI[[#All],[CÓDIGO DE INDICADOR]],[1]!CMI[[#All],[Variable1_13]]))/(LOOKUP($J14,[1]!CMI[[#All],[CÓDIGO DE INDICADOR]],[1]!CMI[[#All],[Variable2_10]])+LOOKUP($J14,[1]!CMI[[#All],[CÓDIGO DE INDICADOR]],[1]!CMI[[#All],[Variable2_11]])+LOOKUP($J14,[1]!CMI[[#All],[CÓDIGO DE INDICADOR]],[1]!CMI[[#All],[Variable2_12]])+LOOKUP($J14,[1]!CMI[[#All],[CÓDIGO DE INDICADOR]],[1]!CMI[[#All],[Variable2_13]]))),IF(LOOKUP($J14,[1]!CMI[[#All],[CÓDIGO DE INDICADOR]],[1]!CMI[[#All],[TIPO DE FÓRMULA]])="Tasa de variación",LOOKUP($J14,[1]!CMI[[#All],[CÓDIGO DE INDICADOR]],[1]!CMI[[#All],[EjecuciónAcumulada_13]]),0)))</f>
        <v>0</v>
      </c>
      <c r="BB14" s="12">
        <f>LOOKUP($J14,[1]!CMI[[#All],[CÓDIGO DE INDICADOR]],[1]!CMI[[#All],[Programado_14]])</f>
        <v>2500</v>
      </c>
      <c r="BC14" s="12">
        <f>IF(LOOKUP($J14,[1]!CMI[[#All],[CÓDIGO DE INDICADOR]],[1]!CMI[[#All],[Ejecutado_14]])="-",0,LOOKUP($J14,[1]!CMI[[#All],[CÓDIGO DE INDICADOR]],[1]!CMI[[#All],[Ejecutado_14]]))</f>
        <v>0</v>
      </c>
      <c r="BD14" s="12">
        <f>LOOKUP($J14,[1]!CMI[[#All],[CÓDIGO DE INDICADOR]],[1]!CMI[[#All],[Programado_15]])</f>
        <v>2500</v>
      </c>
      <c r="BE14" s="15">
        <f>IF(LOOKUP($J14,[1]!CMI[[#All],[CÓDIGO DE INDICADOR]],[1]!CMI[[#All],[Ejecutado_15]])="-",0,LOOKUP($J14,[1]!CMI[[#All],[CÓDIGO DE INDICADOR]],[1]!CMI[[#All],[Ejecutado_15]]))</f>
        <v>0</v>
      </c>
      <c r="BF14" s="15">
        <f>LOOKUP($J14,[1]!CMI[[#All],[CÓDIGO DE INDICADOR]],[1]!CMI[[#All],[Programado_16]])</f>
        <v>3500</v>
      </c>
      <c r="BG14" s="15">
        <f>IF(LOOKUP($J14,[1]!CMI[[#All],[CÓDIGO DE INDICADOR]],[1]!CMI[[#All],[Ejecutado_16]])="-",0,LOOKUP($J14,[1]!CMI[[#All],[CÓDIGO DE INDICADOR]],[1]!CMI[[#All],[Ejecutado_16]]))</f>
        <v>0</v>
      </c>
      <c r="BH14" s="15">
        <f>LOOKUP($J14,[1]!CMI[[#All],[CÓDIGO DE INDICADOR]],[1]!CMI[[#All],[Programado_17]])</f>
        <v>0</v>
      </c>
      <c r="BI14" s="15">
        <f>IF(LOOKUP($J14,[1]!CMI[[#All],[CÓDIGO DE INDICADOR]],[1]!CMI[[#All],[Ejecutado_17]])="-",0,LOOKUP($J14,[1]!CMI[[#All],[CÓDIGO DE INDICADOR]],[1]!CMI[[#All],[Ejecutado_17]]))</f>
        <v>0</v>
      </c>
      <c r="BJ14" s="16">
        <f t="shared" ref="BJ14:BJ30" si="6">IF($K14="Sumatoria",BB14+BD14+BF14+BH14,IF($K14="Constante",$F14,BH14))</f>
        <v>8500</v>
      </c>
      <c r="BK14" s="16">
        <f>IF(OR(LOOKUP($J14,[1]!CMI[[#All],[CÓDIGO DE INDICADOR]],[1]!CMI[[#All],[TIPO DE FÓRMULA]])="Valor absoluto",LOOKUP($J14,[1]!CMI[[#All],[CÓDIGO DE INDICADOR]],[1]!CMI[[#All],[TIPO DE FÓRMULA]])="Suma"),BC14+BE14+BG14+BI14,IF(OR(LOOKUP($J14,[1]!CMI[[#All],[CÓDIGO DE INDICADOR]],[1]!CMI[[#All],[TIPO DE FÓRMULA]])="Porcentaje",LOOKUP($J14,[1]!CMI[[#All],[CÓDIGO DE INDICADOR]],[1]!CMI[[#All],[TIPO DE FÓRMULA]])="División"),IF(LOOKUP($J14,[1]!CMI[[#All],[CÓDIGO DE INDICADOR]],[1]!CMI[[#All],[Variable2_14]])+LOOKUP($J14,[1]!CMI[[#All],[CÓDIGO DE INDICADOR]],[1]!CMI[[#All],[Variable2_15]])+LOOKUP($J14,[1]!CMI[[#All],[CÓDIGO DE INDICADOR]],[1]!CMI[[#All],[Variable2_16]])+LOOKUP($J14,[1]!CMI[[#All],[CÓDIGO DE INDICADOR]],[1]!CMI[[#All],[Variable2_17]])=0,0,(LOOKUP($J14,[1]!CMI[[#All],[CÓDIGO DE INDICADOR]],[1]!CMI[[#All],[Variable1_14]])+LOOKUP($J14,[1]!CMI[[#All],[CÓDIGO DE INDICADOR]],[1]!CMI[[#All],[Variable1_15]])+LOOKUP($J14,[1]!CMI[[#All],[CÓDIGO DE INDICADOR]],[1]!CMI[[#All],[Variable1_16]])+LOOKUP($J14,[1]!CMI[[#All],[CÓDIGO DE INDICADOR]],[1]!CMI[[#All],[Variable1_17]]))/(LOOKUP($J14,[1]!CMI[[#All],[CÓDIGO DE INDICADOR]],[1]!CMI[[#All],[Variable2_14]])+LOOKUP($J14,[1]!CMI[[#All],[CÓDIGO DE INDICADOR]],[1]!CMI[[#All],[Variable2_15]])+LOOKUP($J14,[1]!CMI[[#All],[CÓDIGO DE INDICADOR]],[1]!CMI[[#All],[Variable2_16]])+LOOKUP($J14,[1]!CMI[[#All],[CÓDIGO DE INDICADOR]],[1]!CMI[[#All],[Variable2_17]]))),IF(LOOKUP($J14,[1]!CMI[[#All],[CÓDIGO DE INDICADOR]],[1]!CMI[[#All],[TIPO DE FÓRMULA]])="Tasa de variación",LOOKUP($J14,[1]!CMI[[#All],[CÓDIGO DE INDICADOR]],[1]!CMI[[#All],[EjecuciónAcumulada_17]]),0)))</f>
        <v>0</v>
      </c>
      <c r="BL14" s="16">
        <f>IF(YEAR($M14)=2016,LOOKUP($J14,[1]!CMI[[#All],[CÓDIGO DE INDICADOR]],[1]!CMI[[#All],[ProgramadoAcumulado_1]]),IF(AND(YEAR($M14)=2017,MONTH($M14)&lt;=3),LOOKUP($J14,[1]!CMI[[#All],[CÓDIGO DE INDICADOR]],[1]!CMI[[#All],[ProgramadoAcumulado_2]]),IF(AND(YEAR($M14)=2017,MONTH($M14)&lt;=6),LOOKUP($J14,[1]!CMI[[#All],[CÓDIGO DE INDICADOR]],[1]!CMI[[#All],[ProgramadoAcumulado_3]]),IF(AND(YEAR($M14)=2017,MONTH($M14)&lt;=9),LOOKUP($J14,[1]!CMI[[#All],[CÓDIGO DE INDICADOR]],[1]!CMI[[#All],[ProgramadoAcumulado_4]]),IF(AND(YEAR($M14)=2017,MONTH($M14)&lt;=12),LOOKUP($J14,[1]!CMI[[#All],[CÓDIGO DE INDICADOR]],[1]!CMI[[#All],[ProgramadoAcumulado_5]]),IF(AND(YEAR($M14)=2018,MONTH($M14)&lt;=3),LOOKUP($J14,[1]!CMI[[#All],[CÓDIGO DE INDICADOR]],[1]!CMI[[#All],[ProgramadoAcumulado_6]]),IF(AND(YEAR($M14)=2018,MONTH($M14)&lt;=6),LOOKUP($J14,[1]!CMI[[#All],[CÓDIGO DE INDICADOR]],[1]!CMI[[#All],[ProgramadoAcumulado_7]]),IF(AND(YEAR($M14)=2018,MONTH($M14)&lt;=9),LOOKUP($J14,[1]!CMI[[#All],[CÓDIGO DE INDICADOR]],[1]!CMI[[#All],[ProgramadoAcumulado_8]]),IF(AND(YEAR($M14)=2018,MONTH($M14)&lt;=12),LOOKUP($J14,[1]!CMI[[#All],[CÓDIGO DE INDICADOR]],[1]!CMI[[#All],[ProgramadoAcumulado_9]]),IF(AND(YEAR($M14)=2019,MONTH($M14)&lt;=3),LOOKUP($J14,[1]!CMI[[#All],[CÓDIGO DE INDICADOR]],[1]!CMI[[#All],[ProgramadoAcumulado_10]]),IF(AND(YEAR($M14)=2019,MONTH($M14)&lt;=6),LOOKUP($J14,[1]!CMI[[#All],[CÓDIGO DE INDICADOR]],[1]!CMI[[#All],[ProgramadoAcumulado_11]]),IF(AND(YEAR($M14)=2019,MONTH($M14)&lt;=9),LOOKUP($J14,[1]!CMI[[#All],[CÓDIGO DE INDICADOR]],[1]!CMI[[#All],[ProgramadoAcumulado_12]]),IF(AND(YEAR($M14)=2019,MONTH($M14)&lt;=12),LOOKUP($J14,[1]!CMI[[#All],[CÓDIGO DE INDICADOR]],[1]!CMI[[#All],[ProgramadoAcumulado_13]]),IF(AND(YEAR($M14)=2020,MONTH($M14)&lt;=3),LOOKUP($J14,[1]!CMI[[#All],[CÓDIGO DE INDICADOR]],[1]!CMI[[#All],[ProgramadoAcumulado_14]]),IF(AND(YEAR($M14)=2020,MONTH($M14)&lt;=6),LOOKUP($J14,[1]!CMI[[#All],[CÓDIGO DE INDICADOR]],[1]!CMI[[#All],[ProgramadoAcumulado_15]]),IF(AND(YEAR($M14)=2020,MONTH($M14)&lt;=9),LOOKUP($J14,[1]!CMI[[#All],[CÓDIGO DE INDICADOR]],[1]!CMI[[#All],[ProgramadoAcumulado_16]]),IF(AND(YEAR($M14)=2020,MONTH($M14)&lt;=12),LOOKUP($J14,[1]!CMI[[#All],[CÓDIGO DE INDICADOR]],[1]!CMI[[#All],[ProgramadoAcumulado_17]]),"N.A")))))))))))))))))</f>
        <v>6500</v>
      </c>
      <c r="BM14" s="16">
        <f>IF(YEAR($M14)=2016,LOOKUP($J14,[1]!CMI[[#All],[CÓDIGO DE INDICADOR]],[1]!CMI[[#All],[EjecuciónAcumulada_1]]),IF(AND(YEAR($M14)=2017,MONTH($M14)&lt;=3),LOOKUP($J14,[1]!CMI[[#All],[CÓDIGO DE INDICADOR]],[1]!CMI[[#All],[EjecuciónAcumulada_2]]),IF(AND(YEAR($M14)=2017,MONTH($M14)&lt;=6),LOOKUP($J14,[1]!CMI[[#All],[CÓDIGO DE INDICADOR]],[1]!CMI[[#All],[EjecuciónAcumulada_3]]),IF(AND(YEAR($M14)=2017,MONTH($M14)&lt;=9),LOOKUP($J14,[1]!CMI[[#All],[CÓDIGO DE INDICADOR]],[1]!CMI[[#All],[EjecuciónAcumulada_4]]),IF(AND(YEAR($M14)=2017,MONTH($M14)&lt;=12),LOOKUP($J14,[1]!CMI[[#All],[CÓDIGO DE INDICADOR]],[1]!CMI[[#All],[EjecuciónAcumulada_5]]),IF(AND(YEAR($M14)=2018,MONTH($M14)&lt;=3),LOOKUP($J14,[1]!CMI[[#All],[CÓDIGO DE INDICADOR]],[1]!CMI[[#All],[EjecuciónAcumulada_6]]),IF(AND(YEAR($M14)=2018,MONTH($M14)&lt;=6),LOOKUP($J14,[1]!CMI[[#All],[CÓDIGO DE INDICADOR]],[1]!CMI[[#All],[EjecuciónAcumulada_7]]),IF(AND(YEAR($M14)=2018,MONTH($M14)&lt;=9),LOOKUP($J14,[1]!CMI[[#All],[CÓDIGO DE INDICADOR]],[1]!CMI[[#All],[EjecuciónAcumulada_8]]),IF(AND(YEAR($M14)=2018,MONTH($M14)&lt;=12),LOOKUP($J14,[1]!CMI[[#All],[CÓDIGO DE INDICADOR]],[1]!CMI[[#All],[EjecuciónAcumulada_9]]),IF(AND(YEAR($M14)=2019,MONTH($M14)&lt;=3),LOOKUP($J14,[1]!CMI[[#All],[CÓDIGO DE INDICADOR]],[1]!CMI[[#All],[EjecuciónAcumulada_10]]),IF(AND(YEAR($M14)=2019,MONTH($M14)&lt;=6),LOOKUP($J14,[1]!CMI[[#All],[CÓDIGO DE INDICADOR]],[1]!CMI[[#All],[EjecuciónAcumulada_11]]),IF(AND(YEAR($M14)=2019,MONTH($M14)&lt;=9),LOOKUP($J14,[1]!CMI[[#All],[CÓDIGO DE INDICADOR]],[1]!CMI[[#All],[EjecuciónAcumulada_12]]),IF(AND(YEAR($M14)=2019,MONTH($M14)&lt;=12),LOOKUP($J14,[1]!CMI[[#All],[CÓDIGO DE INDICADOR]],[1]!CMI[[#All],[EjecuciónAcumulada_13]]),IF(AND(YEAR($M14)=2020,MONTH($M14)&lt;=3),LOOKUP($J14,[1]!CMI[[#All],[CÓDIGO DE INDICADOR]],[1]!CMI[[#All],[EjecuciónAcumulada_14]]),IF(AND(YEAR($M14)=2020,MONTH($M14)&lt;=6),LOOKUP($J14,[1]!CMI[[#All],[CÓDIGO DE INDICADOR]],[1]!CMI[[#All],[EjecuciónAcumulada_15]]),IF(AND(YEAR($M14)=2020,MONTH($M14)&lt;=9),LOOKUP($J14,[1]!CMI[[#All],[CÓDIGO DE INDICADOR]],[1]!CMI[[#All],[EjecuciónAcumulada_16]]),IF(AND(YEAR($M14)=2020,MONTH($M14)&lt;=12),LOOKUP($J14,[1]!CMI[[#All],[CÓDIGO DE INDICADOR]],[1]!CMI[[#All],[EjecuciónAcumulada_17]]),"N.A")))))))))))))))))</f>
        <v>9285</v>
      </c>
      <c r="BN14" s="17">
        <f t="shared" ref="BN14:BN46" si="7">IF(ISERROR(BM14/BL14),"N.A.",IF(BL14=0,"N.A.",BM14/BL14))</f>
        <v>1.4284615384615384</v>
      </c>
      <c r="BO14" s="16">
        <f t="shared" si="0"/>
        <v>30000</v>
      </c>
      <c r="BP14" s="68">
        <f t="shared" ref="BP14:BP46" si="8">IF(ISERROR(BM14/BO14),"N.A.",IF(BO14=0,"N.A.",BM14/BO14))</f>
        <v>0.3095</v>
      </c>
    </row>
    <row r="15" spans="2:68" ht="132" customHeight="1">
      <c r="B15" s="135" t="s">
        <v>97</v>
      </c>
      <c r="C15" s="138" t="s">
        <v>98</v>
      </c>
      <c r="D15" s="11" t="str">
        <f>LOOKUP($J15,[1]!CMI[[#All],[CÓDIGO DE INDICADOR]],[1]!CMI[[#All],[NOMBRE DEL INDICADOR]])</f>
        <v>Informes de seguimiento a la implementación de la Política Pública de Mujeres y Equidad de Género</v>
      </c>
      <c r="E15" s="11" t="str">
        <f>LOOKUP($J15,[1]!CMI[[#All],[CÓDIGO DE INDICADOR]],[1]!CMI[[#All],[FÓRMULA DE CÁLCULO]])</f>
        <v>Número de informes elaborados</v>
      </c>
      <c r="F15" s="12">
        <f>LOOKUP($J15,[1]!CMI[[#All],[CÓDIGO DE INDICADOR]],[1]!CMI[[#All],[VALOR PROGRAMADO TOTAL]])</f>
        <v>3</v>
      </c>
      <c r="G15" s="10" t="s">
        <v>99</v>
      </c>
      <c r="H15" s="10" t="s">
        <v>100</v>
      </c>
      <c r="I15" s="11" t="str">
        <f>LOOKUP($J15,[1]!CMI[[#All],[CÓDIGO DE INDICADOR]],[1]!CMI[[#All],[DEPENDENCIA]])</f>
        <v>PERSONERÍA DELEGADA PARA LA COORDINACIÓN DEL MINISTERIO PÚBLICO Y DERECHOS HUMANOS</v>
      </c>
      <c r="J15" s="13" t="s">
        <v>101</v>
      </c>
      <c r="K15" s="11" t="str">
        <f>LOOKUP($J15,[1]!CMI[[#All],[CÓDIGO DE INDICADOR]],[1]!CMI[[#All],[CÁLCULO VALOR PROGRAMADO ACUMULADO]])</f>
        <v>Sumatoria</v>
      </c>
      <c r="L15" s="11" t="str">
        <f>LOOKUP($J15,[1]!CMI[[#All],[CÓDIGO DE INDICADOR]],[1]!CMI[[#All],[TENDENCIA DECRECIENTE]])</f>
        <v>No</v>
      </c>
      <c r="M15" s="14">
        <f>LOOKUP($J15,[1]!CMI[[#All],[CÓDIGO DE INDICADOR]],[1]!CMI[[#All],[FECHA DE CORTE]])</f>
        <v>43281</v>
      </c>
      <c r="N15" s="12">
        <v>0</v>
      </c>
      <c r="O15" s="12">
        <v>0</v>
      </c>
      <c r="P15" s="12">
        <v>0</v>
      </c>
      <c r="Q15" s="15">
        <v>0</v>
      </c>
      <c r="R15" s="15">
        <v>0</v>
      </c>
      <c r="S15" s="15">
        <v>0</v>
      </c>
      <c r="T15" s="15">
        <f>LOOKUP($J15,[1]!CMI[[#All],[CÓDIGO DE INDICADOR]],[1]!CMI[[#All],[Programado_1]])</f>
        <v>0</v>
      </c>
      <c r="U15" s="15">
        <f>IF(LOOKUP($J15,[1]!CMI[[#All],[CÓDIGO DE INDICADOR]],[1]!CMI[[#All],[Ejecutado_1]])="-",0,LOOKUP($J15,[1]!CMI[[#All],[CÓDIGO DE INDICADOR]],[1]!CMI[[#All],[Ejecutado_1]]))</f>
        <v>0</v>
      </c>
      <c r="V15" s="16">
        <f t="shared" si="1"/>
        <v>0</v>
      </c>
      <c r="W15" s="16">
        <f t="shared" si="2"/>
        <v>0</v>
      </c>
      <c r="X15" s="12">
        <f>LOOKUP($J15,[1]!CMI[[#All],[CÓDIGO DE INDICADOR]],[1]!CMI[[#All],[Programado_2]])</f>
        <v>0</v>
      </c>
      <c r="Y15" s="12">
        <f>IF(LOOKUP($J15,[1]!CMI[[#All],[CÓDIGO DE INDICADOR]],[1]!CMI[[#All],[Ejecutado_2]])="-",0,LOOKUP($J15,[1]!CMI[[#All],[CÓDIGO DE INDICADOR]],[1]!CMI[[#All],[Ejecutado_2]]))</f>
        <v>0</v>
      </c>
      <c r="Z15" s="12">
        <f>LOOKUP($J15,[1]!CMI[[#All],[CÓDIGO DE INDICADOR]],[1]!CMI[[#All],[Programado_3]])</f>
        <v>0</v>
      </c>
      <c r="AA15" s="15">
        <f>IF(LOOKUP($J15,[1]!CMI[[#All],[CÓDIGO DE INDICADOR]],[1]!CMI[[#All],[Ejecutado_3]])="-",0,LOOKUP($J15,[1]!CMI[[#All],[CÓDIGO DE INDICADOR]],[1]!CMI[[#All],[Ejecutado_3]]))</f>
        <v>0</v>
      </c>
      <c r="AB15" s="15">
        <f>LOOKUP($J15,[1]!CMI[[#All],[CÓDIGO DE INDICADOR]],[1]!CMI[[#All],[Programado_4]])</f>
        <v>0</v>
      </c>
      <c r="AC15" s="15">
        <f>IF(LOOKUP($J15,[1]!CMI[[#All],[CÓDIGO DE INDICADOR]],[1]!CMI[[#All],[Ejecutado_4]])="-",0,LOOKUP($J15,[1]!CMI[[#All],[CÓDIGO DE INDICADOR]],[1]!CMI[[#All],[Ejecutado_4]]))</f>
        <v>0</v>
      </c>
      <c r="AD15" s="15">
        <f>LOOKUP($J15,[1]!CMI[[#All],[CÓDIGO DE INDICADOR]],[1]!CMI[[#All],[Programado_5]])</f>
        <v>1</v>
      </c>
      <c r="AE15" s="15">
        <f>IF(LOOKUP($J15,[1]!CMI[[#All],[CÓDIGO DE INDICADOR]],[1]!CMI[[#All],[Ejecutado_5]])="-",0,LOOKUP($J15,[1]!CMI[[#All],[CÓDIGO DE INDICADOR]],[1]!CMI[[#All],[Ejecutado_5]]))</f>
        <v>1</v>
      </c>
      <c r="AF15" s="16">
        <f t="shared" si="3"/>
        <v>1</v>
      </c>
      <c r="AG15" s="16">
        <f>IF(OR(LOOKUP($J15,[1]!CMI[[#All],[CÓDIGO DE INDICADOR]],[1]!CMI[[#All],[TIPO DE FÓRMULA]])="Valor absoluto",LOOKUP($J15,[1]!CMI[[#All],[CÓDIGO DE INDICADOR]],[1]!CMI[[#All],[TIPO DE FÓRMULA]])="Suma"),Y15+AA15+AC15+AE15,IF(OR(LOOKUP($J15,[1]!CMI[[#All],[CÓDIGO DE INDICADOR]],[1]!CMI[[#All],[TIPO DE FÓRMULA]])="Porcentaje",LOOKUP($J15,[1]!CMI[[#All],[CÓDIGO DE INDICADOR]],[1]!CMI[[#All],[TIPO DE FÓRMULA]])="División"),IF(LOOKUP($J15,[1]!CMI[[#All],[CÓDIGO DE INDICADOR]],[1]!CMI[[#All],[Variable2_2]])+LOOKUP($J15,[1]!CMI[[#All],[CÓDIGO DE INDICADOR]],[1]!CMI[[#All],[Variable2_3]])+LOOKUP($J15,[1]!CMI[[#All],[CÓDIGO DE INDICADOR]],[1]!CMI[[#All],[Variable2_4]])+LOOKUP($J15,[1]!CMI[[#All],[CÓDIGO DE INDICADOR]],[1]!CMI[[#All],[Variable2_5]])=0,0,(LOOKUP($J15,[1]!CMI[[#All],[CÓDIGO DE INDICADOR]],[1]!CMI[[#All],[Variable1_2]])+LOOKUP($J15,[1]!CMI[[#All],[CÓDIGO DE INDICADOR]],[1]!CMI[[#All],[Variable1_3]])+LOOKUP($J15,[1]!CMI[[#All],[CÓDIGO DE INDICADOR]],[1]!CMI[[#All],[Variable1_4]])+LOOKUP($J15,[1]!CMI[[#All],[CÓDIGO DE INDICADOR]],[1]!CMI[[#All],[Variable1_5]]))/(LOOKUP($J15,[1]!CMI[[#All],[CÓDIGO DE INDICADOR]],[1]!CMI[[#All],[Variable2_2]])+LOOKUP($J15,[1]!CMI[[#All],[CÓDIGO DE INDICADOR]],[1]!CMI[[#All],[Variable2_3]])+LOOKUP($J15,[1]!CMI[[#All],[CÓDIGO DE INDICADOR]],[1]!CMI[[#All],[Variable2_4]])+LOOKUP($J15,[1]!CMI[[#All],[CÓDIGO DE INDICADOR]],[1]!CMI[[#All],[Variable2_5]]))),IF(LOOKUP($J15,[1]!CMI[[#All],[CÓDIGO DE INDICADOR]],[1]!CMI[[#All],[TIPO DE FÓRMULA]])="Tasa de variación",LOOKUP($J15,[1]!CMI[[#All],[CÓDIGO DE INDICADOR]],[1]!CMI[[#All],[EjecuciónAcumulada_5]]),0)))</f>
        <v>1</v>
      </c>
      <c r="AH15" s="12">
        <f>LOOKUP($J15,[1]!CMI[[#All],[CÓDIGO DE INDICADOR]],[1]!CMI[[#All],[Programado_6]])</f>
        <v>0</v>
      </c>
      <c r="AI15" s="12">
        <f>IF(LOOKUP($J15,[1]!CMI[[#All],[CÓDIGO DE INDICADOR]],[1]!CMI[[#All],[Ejecutado_6]])="-",0,LOOKUP($J15,[1]!CMI[[#All],[CÓDIGO DE INDICADOR]],[1]!CMI[[#All],[Ejecutado_6]]))</f>
        <v>0</v>
      </c>
      <c r="AJ15" s="12">
        <f>LOOKUP($J15,[1]!CMI[[#All],[CÓDIGO DE INDICADOR]],[1]!CMI[[#All],[Programado_7]])</f>
        <v>0</v>
      </c>
      <c r="AK15" s="15">
        <f>IF(LOOKUP($J15,[1]!CMI[[#All],[CÓDIGO DE INDICADOR]],[1]!CMI[[#All],[Ejecutado_7]])="-",0,LOOKUP($J15,[1]!CMI[[#All],[CÓDIGO DE INDICADOR]],[1]!CMI[[#All],[Ejecutado_7]]))</f>
        <v>0</v>
      </c>
      <c r="AL15" s="15">
        <f>LOOKUP($J15,[1]!CMI[[#All],[CÓDIGO DE INDICADOR]],[1]!CMI[[#All],[Programado_8]])</f>
        <v>0</v>
      </c>
      <c r="AM15" s="15">
        <f>IF(LOOKUP($J15,[1]!CMI[[#All],[CÓDIGO DE INDICADOR]],[1]!CMI[[#All],[Ejecutado_8]])="-",0,LOOKUP($J15,[1]!CMI[[#All],[CÓDIGO DE INDICADOR]],[1]!CMI[[#All],[Ejecutado_8]]))</f>
        <v>0</v>
      </c>
      <c r="AN15" s="15">
        <f>LOOKUP($J15,[1]!CMI[[#All],[CÓDIGO DE INDICADOR]],[1]!CMI[[#All],[Programado_9]])</f>
        <v>1</v>
      </c>
      <c r="AO15" s="15">
        <f>IF(LOOKUP($J15,[1]!CMI[[#All],[CÓDIGO DE INDICADOR]],[1]!CMI[[#All],[Ejecutado_9]])="-",0,LOOKUP($J15,[1]!CMI[[#All],[CÓDIGO DE INDICADOR]],[1]!CMI[[#All],[Ejecutado_9]]))</f>
        <v>0</v>
      </c>
      <c r="AP15" s="16">
        <f t="shared" si="4"/>
        <v>1</v>
      </c>
      <c r="AQ15" s="16">
        <f>IF(OR(LOOKUP($J15,[1]!CMI[[#All],[CÓDIGO DE INDICADOR]],[1]!CMI[[#All],[TIPO DE FÓRMULA]])="Valor absoluto",LOOKUP($J15,[1]!CMI[[#All],[CÓDIGO DE INDICADOR]],[1]!CMI[[#All],[TIPO DE FÓRMULA]])="Suma"),AI15+AK15+AM15+AO15,IF(OR(LOOKUP($J15,[1]!CMI[[#All],[CÓDIGO DE INDICADOR]],[1]!CMI[[#All],[TIPO DE FÓRMULA]])="Porcentaje",LOOKUP($J15,[1]!CMI[[#All],[CÓDIGO DE INDICADOR]],[1]!CMI[[#All],[TIPO DE FÓRMULA]])="División"),IF(LOOKUP($J15,[1]!CMI[[#All],[CÓDIGO DE INDICADOR]],[1]!CMI[[#All],[Variable2_6]])+LOOKUP($J15,[1]!CMI[[#All],[CÓDIGO DE INDICADOR]],[1]!CMI[[#All],[Variable2_7]])+LOOKUP($J15,[1]!CMI[[#All],[CÓDIGO DE INDICADOR]],[1]!CMI[[#All],[Variable2_8]])+LOOKUP($J15,[1]!CMI[[#All],[CÓDIGO DE INDICADOR]],[1]!CMI[[#All],[Variable2_9]])=0,0,(LOOKUP($J15,[1]!CMI[[#All],[CÓDIGO DE INDICADOR]],[1]!CMI[[#All],[Variable1_6]])+LOOKUP($J15,[1]!CMI[[#All],[CÓDIGO DE INDICADOR]],[1]!CMI[[#All],[Variable1_7]])+LOOKUP($J15,[1]!CMI[[#All],[CÓDIGO DE INDICADOR]],[1]!CMI[[#All],[Variable1_8]])+LOOKUP($J15,[1]!CMI[[#All],[CÓDIGO DE INDICADOR]],[1]!CMI[[#All],[Variable1_9]]))/(LOOKUP($J15,[1]!CMI[[#All],[CÓDIGO DE INDICADOR]],[1]!CMI[[#All],[Variable2_6]])+LOOKUP($J15,[1]!CMI[[#All],[CÓDIGO DE INDICADOR]],[1]!CMI[[#All],[Variable2_7]])+LOOKUP($J15,[1]!CMI[[#All],[CÓDIGO DE INDICADOR]],[1]!CMI[[#All],[Variable2_8]])+LOOKUP($J15,[1]!CMI[[#All],[CÓDIGO DE INDICADOR]],[1]!CMI[[#All],[Variable2_9]]))),IF(LOOKUP($J15,[1]!CMI[[#All],[CÓDIGO DE INDICADOR]],[1]!CMI[[#All],[TIPO DE FÓRMULA]])="Tasa de variación",LOOKUP($J15,[1]!CMI[[#All],[CÓDIGO DE INDICADOR]],[1]!CMI[[#All],[EjecuciónAcumulada_9]]),0)))</f>
        <v>0</v>
      </c>
      <c r="AR15" s="12">
        <f>LOOKUP($J15,[1]!CMI[[#All],[CÓDIGO DE INDICADOR]],[1]!CMI[[#All],[Programado_10]])</f>
        <v>0</v>
      </c>
      <c r="AS15" s="12">
        <f>IF(LOOKUP($J15,[1]!CMI[[#All],[CÓDIGO DE INDICADOR]],[1]!CMI[[#All],[Ejecutado_10]])="-",0,LOOKUP($J15,[1]!CMI[[#All],[CÓDIGO DE INDICADOR]],[1]!CMI[[#All],[Ejecutado_10]]))</f>
        <v>0</v>
      </c>
      <c r="AT15" s="12">
        <f>LOOKUP($J15,[1]!CMI[[#All],[CÓDIGO DE INDICADOR]],[1]!CMI[[#All],[Programado_11]])</f>
        <v>0</v>
      </c>
      <c r="AU15" s="15">
        <f>IF(LOOKUP($J15,[1]!CMI[[#All],[CÓDIGO DE INDICADOR]],[1]!CMI[[#All],[Ejecutado_11]])="-",0,LOOKUP($J15,[1]!CMI[[#All],[CÓDIGO DE INDICADOR]],[1]!CMI[[#All],[Ejecutado_11]]))</f>
        <v>0</v>
      </c>
      <c r="AV15" s="15">
        <f>LOOKUP($J15,[1]!CMI[[#All],[CÓDIGO DE INDICADOR]],[1]!CMI[[#All],[Programado_12]])</f>
        <v>0</v>
      </c>
      <c r="AW15" s="15">
        <f>IF(LOOKUP($J15,[1]!CMI[[#All],[CÓDIGO DE INDICADOR]],[1]!CMI[[#All],[Ejecutado_12]])="-",0,LOOKUP($J15,[1]!CMI[[#All],[CÓDIGO DE INDICADOR]],[1]!CMI[[#All],[Ejecutado_12]]))</f>
        <v>0</v>
      </c>
      <c r="AX15" s="15">
        <f>LOOKUP($J15,[1]!CMI[[#All],[CÓDIGO DE INDICADOR]],[1]!CMI[[#All],[Programado_13]])</f>
        <v>1</v>
      </c>
      <c r="AY15" s="15">
        <f>IF(LOOKUP($J15,[1]!CMI[[#All],[CÓDIGO DE INDICADOR]],[1]!CMI[[#All],[Ejecutado_13]])="-",0,LOOKUP($J15,[1]!CMI[[#All],[CÓDIGO DE INDICADOR]],[1]!CMI[[#All],[Ejecutado_13]]))</f>
        <v>0</v>
      </c>
      <c r="AZ15" s="16">
        <f t="shared" si="5"/>
        <v>1</v>
      </c>
      <c r="BA15" s="16">
        <f>IF(OR(LOOKUP($J15,[1]!CMI[[#All],[CÓDIGO DE INDICADOR]],[1]!CMI[[#All],[TIPO DE FÓRMULA]])="Valor absoluto",LOOKUP($J15,[1]!CMI[[#All],[CÓDIGO DE INDICADOR]],[1]!CMI[[#All],[TIPO DE FÓRMULA]])="Suma"),AS15+AU15+AW15+AY15,IF(OR(LOOKUP($J15,[1]!CMI[[#All],[CÓDIGO DE INDICADOR]],[1]!CMI[[#All],[TIPO DE FÓRMULA]])="Porcentaje",LOOKUP($J15,[1]!CMI[[#All],[CÓDIGO DE INDICADOR]],[1]!CMI[[#All],[TIPO DE FÓRMULA]])="División"),IF(LOOKUP($J15,[1]!CMI[[#All],[CÓDIGO DE INDICADOR]],[1]!CMI[[#All],[Variable2_10]])+LOOKUP($J15,[1]!CMI[[#All],[CÓDIGO DE INDICADOR]],[1]!CMI[[#All],[Variable2_11]])+LOOKUP($J15,[1]!CMI[[#All],[CÓDIGO DE INDICADOR]],[1]!CMI[[#All],[Variable2_12]])+LOOKUP($J15,[1]!CMI[[#All],[CÓDIGO DE INDICADOR]],[1]!CMI[[#All],[Variable2_13]])=0,0,(LOOKUP($J15,[1]!CMI[[#All],[CÓDIGO DE INDICADOR]],[1]!CMI[[#All],[Variable1_10]])+LOOKUP($J15,[1]!CMI[[#All],[CÓDIGO DE INDICADOR]],[1]!CMI[[#All],[Variable1_11]])+LOOKUP($J15,[1]!CMI[[#All],[CÓDIGO DE INDICADOR]],[1]!CMI[[#All],[Variable1_12]])+LOOKUP($J15,[1]!CMI[[#All],[CÓDIGO DE INDICADOR]],[1]!CMI[[#All],[Variable1_13]]))/(LOOKUP($J15,[1]!CMI[[#All],[CÓDIGO DE INDICADOR]],[1]!CMI[[#All],[Variable2_10]])+LOOKUP($J15,[1]!CMI[[#All],[CÓDIGO DE INDICADOR]],[1]!CMI[[#All],[Variable2_11]])+LOOKUP($J15,[1]!CMI[[#All],[CÓDIGO DE INDICADOR]],[1]!CMI[[#All],[Variable2_12]])+LOOKUP($J15,[1]!CMI[[#All],[CÓDIGO DE INDICADOR]],[1]!CMI[[#All],[Variable2_13]]))),IF(LOOKUP($J15,[1]!CMI[[#All],[CÓDIGO DE INDICADOR]],[1]!CMI[[#All],[TIPO DE FÓRMULA]])="Tasa de variación",LOOKUP($J15,[1]!CMI[[#All],[CÓDIGO DE INDICADOR]],[1]!CMI[[#All],[EjecuciónAcumulada_13]]),0)))</f>
        <v>0</v>
      </c>
      <c r="BB15" s="12">
        <f>LOOKUP($J15,[1]!CMI[[#All],[CÓDIGO DE INDICADOR]],[1]!CMI[[#All],[Programado_14]])</f>
        <v>0</v>
      </c>
      <c r="BC15" s="12">
        <f>IF(LOOKUP($J15,[1]!CMI[[#All],[CÓDIGO DE INDICADOR]],[1]!CMI[[#All],[Ejecutado_14]])="-",0,LOOKUP($J15,[1]!CMI[[#All],[CÓDIGO DE INDICADOR]],[1]!CMI[[#All],[Ejecutado_14]]))</f>
        <v>0</v>
      </c>
      <c r="BD15" s="12">
        <f>LOOKUP($J15,[1]!CMI[[#All],[CÓDIGO DE INDICADOR]],[1]!CMI[[#All],[Programado_15]])</f>
        <v>0</v>
      </c>
      <c r="BE15" s="15">
        <f>IF(LOOKUP($J15,[1]!CMI[[#All],[CÓDIGO DE INDICADOR]],[1]!CMI[[#All],[Ejecutado_15]])="-",0,LOOKUP($J15,[1]!CMI[[#All],[CÓDIGO DE INDICADOR]],[1]!CMI[[#All],[Ejecutado_15]]))</f>
        <v>0</v>
      </c>
      <c r="BF15" s="15">
        <f>LOOKUP($J15,[1]!CMI[[#All],[CÓDIGO DE INDICADOR]],[1]!CMI[[#All],[Programado_16]])</f>
        <v>0</v>
      </c>
      <c r="BG15" s="15">
        <f>IF(LOOKUP($J15,[1]!CMI[[#All],[CÓDIGO DE INDICADOR]],[1]!CMI[[#All],[Ejecutado_16]])="-",0,LOOKUP($J15,[1]!CMI[[#All],[CÓDIGO DE INDICADOR]],[1]!CMI[[#All],[Ejecutado_16]]))</f>
        <v>0</v>
      </c>
      <c r="BH15" s="15">
        <f>LOOKUP($J15,[1]!CMI[[#All],[CÓDIGO DE INDICADOR]],[1]!CMI[[#All],[Programado_17]])</f>
        <v>0</v>
      </c>
      <c r="BI15" s="15">
        <f>IF(LOOKUP($J15,[1]!CMI[[#All],[CÓDIGO DE INDICADOR]],[1]!CMI[[#All],[Ejecutado_17]])="-",0,LOOKUP($J15,[1]!CMI[[#All],[CÓDIGO DE INDICADOR]],[1]!CMI[[#All],[Ejecutado_17]]))</f>
        <v>0</v>
      </c>
      <c r="BJ15" s="16">
        <f t="shared" si="6"/>
        <v>0</v>
      </c>
      <c r="BK15" s="16">
        <f>IF(OR(LOOKUP($J15,[1]!CMI[[#All],[CÓDIGO DE INDICADOR]],[1]!CMI[[#All],[TIPO DE FÓRMULA]])="Valor absoluto",LOOKUP($J15,[1]!CMI[[#All],[CÓDIGO DE INDICADOR]],[1]!CMI[[#All],[TIPO DE FÓRMULA]])="Suma"),BC15+BE15+BG15+BI15,IF(OR(LOOKUP($J15,[1]!CMI[[#All],[CÓDIGO DE INDICADOR]],[1]!CMI[[#All],[TIPO DE FÓRMULA]])="Porcentaje",LOOKUP($J15,[1]!CMI[[#All],[CÓDIGO DE INDICADOR]],[1]!CMI[[#All],[TIPO DE FÓRMULA]])="División"),IF(LOOKUP($J15,[1]!CMI[[#All],[CÓDIGO DE INDICADOR]],[1]!CMI[[#All],[Variable2_14]])+LOOKUP($J15,[1]!CMI[[#All],[CÓDIGO DE INDICADOR]],[1]!CMI[[#All],[Variable2_15]])+LOOKUP($J15,[1]!CMI[[#All],[CÓDIGO DE INDICADOR]],[1]!CMI[[#All],[Variable2_16]])+LOOKUP($J15,[1]!CMI[[#All],[CÓDIGO DE INDICADOR]],[1]!CMI[[#All],[Variable2_17]])=0,0,(LOOKUP($J15,[1]!CMI[[#All],[CÓDIGO DE INDICADOR]],[1]!CMI[[#All],[Variable1_14]])+LOOKUP($J15,[1]!CMI[[#All],[CÓDIGO DE INDICADOR]],[1]!CMI[[#All],[Variable1_15]])+LOOKUP($J15,[1]!CMI[[#All],[CÓDIGO DE INDICADOR]],[1]!CMI[[#All],[Variable1_16]])+LOOKUP($J15,[1]!CMI[[#All],[CÓDIGO DE INDICADOR]],[1]!CMI[[#All],[Variable1_17]]))/(LOOKUP($J15,[1]!CMI[[#All],[CÓDIGO DE INDICADOR]],[1]!CMI[[#All],[Variable2_14]])+LOOKUP($J15,[1]!CMI[[#All],[CÓDIGO DE INDICADOR]],[1]!CMI[[#All],[Variable2_15]])+LOOKUP($J15,[1]!CMI[[#All],[CÓDIGO DE INDICADOR]],[1]!CMI[[#All],[Variable2_16]])+LOOKUP($J15,[1]!CMI[[#All],[CÓDIGO DE INDICADOR]],[1]!CMI[[#All],[Variable2_17]]))),IF(LOOKUP($J15,[1]!CMI[[#All],[CÓDIGO DE INDICADOR]],[1]!CMI[[#All],[TIPO DE FÓRMULA]])="Tasa de variación",LOOKUP($J15,[1]!CMI[[#All],[CÓDIGO DE INDICADOR]],[1]!CMI[[#All],[EjecuciónAcumulada_17]]),0)))</f>
        <v>0</v>
      </c>
      <c r="BL15" s="16">
        <f>IF(YEAR($M15)=2016,LOOKUP($J15,[1]!CMI[[#All],[CÓDIGO DE INDICADOR]],[1]!CMI[[#All],[ProgramadoAcumulado_1]]),IF(AND(YEAR($M15)=2017,MONTH($M15)&lt;=3),LOOKUP($J15,[1]!CMI[[#All],[CÓDIGO DE INDICADOR]],[1]!CMI[[#All],[ProgramadoAcumulado_2]]),IF(AND(YEAR($M15)=2017,MONTH($M15)&lt;=6),LOOKUP($J15,[1]!CMI[[#All],[CÓDIGO DE INDICADOR]],[1]!CMI[[#All],[ProgramadoAcumulado_3]]),IF(AND(YEAR($M15)=2017,MONTH($M15)&lt;=9),LOOKUP($J15,[1]!CMI[[#All],[CÓDIGO DE INDICADOR]],[1]!CMI[[#All],[ProgramadoAcumulado_4]]),IF(AND(YEAR($M15)=2017,MONTH($M15)&lt;=12),LOOKUP($J15,[1]!CMI[[#All],[CÓDIGO DE INDICADOR]],[1]!CMI[[#All],[ProgramadoAcumulado_5]]),IF(AND(YEAR($M15)=2018,MONTH($M15)&lt;=3),LOOKUP($J15,[1]!CMI[[#All],[CÓDIGO DE INDICADOR]],[1]!CMI[[#All],[ProgramadoAcumulado_6]]),IF(AND(YEAR($M15)=2018,MONTH($M15)&lt;=6),LOOKUP($J15,[1]!CMI[[#All],[CÓDIGO DE INDICADOR]],[1]!CMI[[#All],[ProgramadoAcumulado_7]]),IF(AND(YEAR($M15)=2018,MONTH($M15)&lt;=9),LOOKUP($J15,[1]!CMI[[#All],[CÓDIGO DE INDICADOR]],[1]!CMI[[#All],[ProgramadoAcumulado_8]]),IF(AND(YEAR($M15)=2018,MONTH($M15)&lt;=12),LOOKUP($J15,[1]!CMI[[#All],[CÓDIGO DE INDICADOR]],[1]!CMI[[#All],[ProgramadoAcumulado_9]]),IF(AND(YEAR($M15)=2019,MONTH($M15)&lt;=3),LOOKUP($J15,[1]!CMI[[#All],[CÓDIGO DE INDICADOR]],[1]!CMI[[#All],[ProgramadoAcumulado_10]]),IF(AND(YEAR($M15)=2019,MONTH($M15)&lt;=6),LOOKUP($J15,[1]!CMI[[#All],[CÓDIGO DE INDICADOR]],[1]!CMI[[#All],[ProgramadoAcumulado_11]]),IF(AND(YEAR($M15)=2019,MONTH($M15)&lt;=9),LOOKUP($J15,[1]!CMI[[#All],[CÓDIGO DE INDICADOR]],[1]!CMI[[#All],[ProgramadoAcumulado_12]]),IF(AND(YEAR($M15)=2019,MONTH($M15)&lt;=12),LOOKUP($J15,[1]!CMI[[#All],[CÓDIGO DE INDICADOR]],[1]!CMI[[#All],[ProgramadoAcumulado_13]]),IF(AND(YEAR($M15)=2020,MONTH($M15)&lt;=3),LOOKUP($J15,[1]!CMI[[#All],[CÓDIGO DE INDICADOR]],[1]!CMI[[#All],[ProgramadoAcumulado_14]]),IF(AND(YEAR($M15)=2020,MONTH($M15)&lt;=6),LOOKUP($J15,[1]!CMI[[#All],[CÓDIGO DE INDICADOR]],[1]!CMI[[#All],[ProgramadoAcumulado_15]]),IF(AND(YEAR($M15)=2020,MONTH($M15)&lt;=9),LOOKUP($J15,[1]!CMI[[#All],[CÓDIGO DE INDICADOR]],[1]!CMI[[#All],[ProgramadoAcumulado_16]]),IF(AND(YEAR($M15)=2020,MONTH($M15)&lt;=12),LOOKUP($J15,[1]!CMI[[#All],[CÓDIGO DE INDICADOR]],[1]!CMI[[#All],[ProgramadoAcumulado_17]]),"N.A")))))))))))))))))</f>
        <v>1</v>
      </c>
      <c r="BM15" s="16">
        <f>IF(YEAR($M15)=2016,LOOKUP($J15,[1]!CMI[[#All],[CÓDIGO DE INDICADOR]],[1]!CMI[[#All],[EjecuciónAcumulada_1]]),IF(AND(YEAR($M15)=2017,MONTH($M15)&lt;=3),LOOKUP($J15,[1]!CMI[[#All],[CÓDIGO DE INDICADOR]],[1]!CMI[[#All],[EjecuciónAcumulada_2]]),IF(AND(YEAR($M15)=2017,MONTH($M15)&lt;=6),LOOKUP($J15,[1]!CMI[[#All],[CÓDIGO DE INDICADOR]],[1]!CMI[[#All],[EjecuciónAcumulada_3]]),IF(AND(YEAR($M15)=2017,MONTH($M15)&lt;=9),LOOKUP($J15,[1]!CMI[[#All],[CÓDIGO DE INDICADOR]],[1]!CMI[[#All],[EjecuciónAcumulada_4]]),IF(AND(YEAR($M15)=2017,MONTH($M15)&lt;=12),LOOKUP($J15,[1]!CMI[[#All],[CÓDIGO DE INDICADOR]],[1]!CMI[[#All],[EjecuciónAcumulada_5]]),IF(AND(YEAR($M15)=2018,MONTH($M15)&lt;=3),LOOKUP($J15,[1]!CMI[[#All],[CÓDIGO DE INDICADOR]],[1]!CMI[[#All],[EjecuciónAcumulada_6]]),IF(AND(YEAR($M15)=2018,MONTH($M15)&lt;=6),LOOKUP($J15,[1]!CMI[[#All],[CÓDIGO DE INDICADOR]],[1]!CMI[[#All],[EjecuciónAcumulada_7]]),IF(AND(YEAR($M15)=2018,MONTH($M15)&lt;=9),LOOKUP($J15,[1]!CMI[[#All],[CÓDIGO DE INDICADOR]],[1]!CMI[[#All],[EjecuciónAcumulada_8]]),IF(AND(YEAR($M15)=2018,MONTH($M15)&lt;=12),LOOKUP($J15,[1]!CMI[[#All],[CÓDIGO DE INDICADOR]],[1]!CMI[[#All],[EjecuciónAcumulada_9]]),IF(AND(YEAR($M15)=2019,MONTH($M15)&lt;=3),LOOKUP($J15,[1]!CMI[[#All],[CÓDIGO DE INDICADOR]],[1]!CMI[[#All],[EjecuciónAcumulada_10]]),IF(AND(YEAR($M15)=2019,MONTH($M15)&lt;=6),LOOKUP($J15,[1]!CMI[[#All],[CÓDIGO DE INDICADOR]],[1]!CMI[[#All],[EjecuciónAcumulada_11]]),IF(AND(YEAR($M15)=2019,MONTH($M15)&lt;=9),LOOKUP($J15,[1]!CMI[[#All],[CÓDIGO DE INDICADOR]],[1]!CMI[[#All],[EjecuciónAcumulada_12]]),IF(AND(YEAR($M15)=2019,MONTH($M15)&lt;=12),LOOKUP($J15,[1]!CMI[[#All],[CÓDIGO DE INDICADOR]],[1]!CMI[[#All],[EjecuciónAcumulada_13]]),IF(AND(YEAR($M15)=2020,MONTH($M15)&lt;=3),LOOKUP($J15,[1]!CMI[[#All],[CÓDIGO DE INDICADOR]],[1]!CMI[[#All],[EjecuciónAcumulada_14]]),IF(AND(YEAR($M15)=2020,MONTH($M15)&lt;=6),LOOKUP($J15,[1]!CMI[[#All],[CÓDIGO DE INDICADOR]],[1]!CMI[[#All],[EjecuciónAcumulada_15]]),IF(AND(YEAR($M15)=2020,MONTH($M15)&lt;=9),LOOKUP($J15,[1]!CMI[[#All],[CÓDIGO DE INDICADOR]],[1]!CMI[[#All],[EjecuciónAcumulada_16]]),IF(AND(YEAR($M15)=2020,MONTH($M15)&lt;=12),LOOKUP($J15,[1]!CMI[[#All],[CÓDIGO DE INDICADOR]],[1]!CMI[[#All],[EjecuciónAcumulada_17]]),"N.A")))))))))))))))))</f>
        <v>1</v>
      </c>
      <c r="BN15" s="17">
        <f t="shared" si="7"/>
        <v>1</v>
      </c>
      <c r="BO15" s="16">
        <f t="shared" si="0"/>
        <v>3</v>
      </c>
      <c r="BP15" s="68">
        <f t="shared" si="8"/>
        <v>0.33333333333333331</v>
      </c>
    </row>
    <row r="16" spans="2:68" ht="163.5" customHeight="1">
      <c r="B16" s="135"/>
      <c r="C16" s="138"/>
      <c r="D16" s="11" t="str">
        <f>LOOKUP($J16,[1]!CMI[[#All],[CÓDIGO DE INDICADOR]],[1]!CMI[[#All],[NOMBRE DEL INDICADOR]])</f>
        <v>Informes de seguimiento a la implementación de la Política Pública de Mujeres y Equidad de Género (Locales)</v>
      </c>
      <c r="E16" s="11" t="str">
        <f>LOOKUP($J16,[1]!CMI[[#All],[CÓDIGO DE INDICADOR]],[1]!CMI[[#All],[FÓRMULA DE CÁLCULO]])</f>
        <v>Número de informes elaborados</v>
      </c>
      <c r="F16" s="12">
        <f>LOOKUP($J16,[1]!CMI[[#All],[CÓDIGO DE INDICADOR]],[1]!CMI[[#All],[VALOR PROGRAMADO TOTAL]])</f>
        <v>2</v>
      </c>
      <c r="G16" s="10" t="s">
        <v>99</v>
      </c>
      <c r="H16" s="10" t="s">
        <v>100</v>
      </c>
      <c r="I16" s="11" t="str">
        <f>LOOKUP($J16,[1]!CMI[[#All],[CÓDIGO DE INDICADOR]],[1]!CMI[[#All],[DEPENDENCIA]])</f>
        <v>PERSONERÍA DELEGADA PARA LA COORDINACIÓN DE PERSONERÍAS LOCALES</v>
      </c>
      <c r="J16" s="13" t="s">
        <v>247</v>
      </c>
      <c r="K16" s="11" t="str">
        <f>LOOKUP($J16,[1]!CMI[[#All],[CÓDIGO DE INDICADOR]],[1]!CMI[[#All],[CÁLCULO VALOR PROGRAMADO ACUMULADO]])</f>
        <v>Sumatoria</v>
      </c>
      <c r="L16" s="11" t="str">
        <f>LOOKUP($J16,[1]!CMI[[#All],[CÓDIGO DE INDICADOR]],[1]!CMI[[#All],[TENDENCIA DECRECIENTE]])</f>
        <v>No</v>
      </c>
      <c r="M16" s="14">
        <f>LOOKUP($J16,[1]!CMI[[#All],[CÓDIGO DE INDICADOR]],[1]!CMI[[#All],[FECHA DE CORTE]])</f>
        <v>43281</v>
      </c>
      <c r="N16" s="12">
        <v>0</v>
      </c>
      <c r="O16" s="12">
        <v>0</v>
      </c>
      <c r="P16" s="12">
        <v>0</v>
      </c>
      <c r="Q16" s="15">
        <v>0</v>
      </c>
      <c r="R16" s="15">
        <v>0</v>
      </c>
      <c r="S16" s="15">
        <v>0</v>
      </c>
      <c r="T16" s="15">
        <f>LOOKUP($J16,[1]!CMI[[#All],[CÓDIGO DE INDICADOR]],[1]!CMI[[#All],[Programado_1]])</f>
        <v>0</v>
      </c>
      <c r="U16" s="15">
        <f>IF(LOOKUP($J16,[1]!CMI[[#All],[CÓDIGO DE INDICADOR]],[1]!CMI[[#All],[Ejecutado_1]])="-",0,LOOKUP($J16,[1]!CMI[[#All],[CÓDIGO DE INDICADOR]],[1]!CMI[[#All],[Ejecutado_1]]))</f>
        <v>0</v>
      </c>
      <c r="V16" s="16">
        <f t="shared" si="1"/>
        <v>0</v>
      </c>
      <c r="W16" s="16">
        <f t="shared" si="2"/>
        <v>0</v>
      </c>
      <c r="X16" s="12">
        <f>LOOKUP($J16,[1]!CMI[[#All],[CÓDIGO DE INDICADOR]],[1]!CMI[[#All],[Programado_2]])</f>
        <v>0</v>
      </c>
      <c r="Y16" s="12">
        <f>IF(LOOKUP($J16,[1]!CMI[[#All],[CÓDIGO DE INDICADOR]],[1]!CMI[[#All],[Ejecutado_2]])="-",0,LOOKUP($J16,[1]!CMI[[#All],[CÓDIGO DE INDICADOR]],[1]!CMI[[#All],[Ejecutado_2]]))</f>
        <v>0</v>
      </c>
      <c r="Z16" s="12">
        <f>LOOKUP($J16,[1]!CMI[[#All],[CÓDIGO DE INDICADOR]],[1]!CMI[[#All],[Programado_3]])</f>
        <v>0</v>
      </c>
      <c r="AA16" s="15">
        <f>IF(LOOKUP($J16,[1]!CMI[[#All],[CÓDIGO DE INDICADOR]],[1]!CMI[[#All],[Ejecutado_3]])="-",0,LOOKUP($J16,[1]!CMI[[#All],[CÓDIGO DE INDICADOR]],[1]!CMI[[#All],[Ejecutado_3]]))</f>
        <v>0</v>
      </c>
      <c r="AB16" s="15">
        <f>LOOKUP($J16,[1]!CMI[[#All],[CÓDIGO DE INDICADOR]],[1]!CMI[[#All],[Programado_4]])</f>
        <v>0</v>
      </c>
      <c r="AC16" s="15">
        <f>IF(LOOKUP($J16,[1]!CMI[[#All],[CÓDIGO DE INDICADOR]],[1]!CMI[[#All],[Ejecutado_4]])="-",0,LOOKUP($J16,[1]!CMI[[#All],[CÓDIGO DE INDICADOR]],[1]!CMI[[#All],[Ejecutado_4]]))</f>
        <v>0</v>
      </c>
      <c r="AD16" s="15">
        <f>LOOKUP($J16,[1]!CMI[[#All],[CÓDIGO DE INDICADOR]],[1]!CMI[[#All],[Programado_5]])</f>
        <v>0</v>
      </c>
      <c r="AE16" s="15">
        <f>IF(LOOKUP($J16,[1]!CMI[[#All],[CÓDIGO DE INDICADOR]],[1]!CMI[[#All],[Ejecutado_5]])="-",0,LOOKUP($J16,[1]!CMI[[#All],[CÓDIGO DE INDICADOR]],[1]!CMI[[#All],[Ejecutado_5]]))</f>
        <v>0</v>
      </c>
      <c r="AF16" s="16">
        <f t="shared" si="3"/>
        <v>0</v>
      </c>
      <c r="AG16" s="16">
        <f>IF(OR(LOOKUP($J16,[1]!CMI[[#All],[CÓDIGO DE INDICADOR]],[1]!CMI[[#All],[TIPO DE FÓRMULA]])="Valor absoluto",LOOKUP($J16,[1]!CMI[[#All],[CÓDIGO DE INDICADOR]],[1]!CMI[[#All],[TIPO DE FÓRMULA]])="Suma"),Y16+AA16+AC16+AE16,IF(OR(LOOKUP($J16,[1]!CMI[[#All],[CÓDIGO DE INDICADOR]],[1]!CMI[[#All],[TIPO DE FÓRMULA]])="Porcentaje",LOOKUP($J16,[1]!CMI[[#All],[CÓDIGO DE INDICADOR]],[1]!CMI[[#All],[TIPO DE FÓRMULA]])="División"),IF(LOOKUP($J16,[1]!CMI[[#All],[CÓDIGO DE INDICADOR]],[1]!CMI[[#All],[Variable2_2]])+LOOKUP($J16,[1]!CMI[[#All],[CÓDIGO DE INDICADOR]],[1]!CMI[[#All],[Variable2_3]])+LOOKUP($J16,[1]!CMI[[#All],[CÓDIGO DE INDICADOR]],[1]!CMI[[#All],[Variable2_4]])+LOOKUP($J16,[1]!CMI[[#All],[CÓDIGO DE INDICADOR]],[1]!CMI[[#All],[Variable2_5]])=0,0,(LOOKUP($J16,[1]!CMI[[#All],[CÓDIGO DE INDICADOR]],[1]!CMI[[#All],[Variable1_2]])+LOOKUP($J16,[1]!CMI[[#All],[CÓDIGO DE INDICADOR]],[1]!CMI[[#All],[Variable1_3]])+LOOKUP($J16,[1]!CMI[[#All],[CÓDIGO DE INDICADOR]],[1]!CMI[[#All],[Variable1_4]])+LOOKUP($J16,[1]!CMI[[#All],[CÓDIGO DE INDICADOR]],[1]!CMI[[#All],[Variable1_5]]))/(LOOKUP($J16,[1]!CMI[[#All],[CÓDIGO DE INDICADOR]],[1]!CMI[[#All],[Variable2_2]])+LOOKUP($J16,[1]!CMI[[#All],[CÓDIGO DE INDICADOR]],[1]!CMI[[#All],[Variable2_3]])+LOOKUP($J16,[1]!CMI[[#All],[CÓDIGO DE INDICADOR]],[1]!CMI[[#All],[Variable2_4]])+LOOKUP($J16,[1]!CMI[[#All],[CÓDIGO DE INDICADOR]],[1]!CMI[[#All],[Variable2_5]]))),IF(LOOKUP($J16,[1]!CMI[[#All],[CÓDIGO DE INDICADOR]],[1]!CMI[[#All],[TIPO DE FÓRMULA]])="Tasa de variación",LOOKUP($J16,[1]!CMI[[#All],[CÓDIGO DE INDICADOR]],[1]!CMI[[#All],[EjecuciónAcumulada_5]]),0)))</f>
        <v>0</v>
      </c>
      <c r="AH16" s="12">
        <f>LOOKUP($J16,[1]!CMI[[#All],[CÓDIGO DE INDICADOR]],[1]!CMI[[#All],[Programado_6]])</f>
        <v>1</v>
      </c>
      <c r="AI16" s="12">
        <f>IF(LOOKUP($J16,[1]!CMI[[#All],[CÓDIGO DE INDICADOR]],[1]!CMI[[#All],[Ejecutado_6]])="-",0,LOOKUP($J16,[1]!CMI[[#All],[CÓDIGO DE INDICADOR]],[1]!CMI[[#All],[Ejecutado_6]]))</f>
        <v>0</v>
      </c>
      <c r="AJ16" s="12">
        <f>LOOKUP($J16,[1]!CMI[[#All],[CÓDIGO DE INDICADOR]],[1]!CMI[[#All],[Programado_7]])</f>
        <v>0</v>
      </c>
      <c r="AK16" s="15">
        <f>IF(LOOKUP($J16,[1]!CMI[[#All],[CÓDIGO DE INDICADOR]],[1]!CMI[[#All],[Ejecutado_7]])="-",0,LOOKUP($J16,[1]!CMI[[#All],[CÓDIGO DE INDICADOR]],[1]!CMI[[#All],[Ejecutado_7]]))</f>
        <v>0</v>
      </c>
      <c r="AL16" s="15">
        <f>LOOKUP($J16,[1]!CMI[[#All],[CÓDIGO DE INDICADOR]],[1]!CMI[[#All],[Programado_8]])</f>
        <v>0</v>
      </c>
      <c r="AM16" s="15">
        <f>IF(LOOKUP($J16,[1]!CMI[[#All],[CÓDIGO DE INDICADOR]],[1]!CMI[[#All],[Ejecutado_8]])="-",0,LOOKUP($J16,[1]!CMI[[#All],[CÓDIGO DE INDICADOR]],[1]!CMI[[#All],[Ejecutado_8]]))</f>
        <v>0</v>
      </c>
      <c r="AN16" s="15">
        <f>LOOKUP($J16,[1]!CMI[[#All],[CÓDIGO DE INDICADOR]],[1]!CMI[[#All],[Programado_9]])</f>
        <v>0</v>
      </c>
      <c r="AO16" s="15">
        <f>IF(LOOKUP($J16,[1]!CMI[[#All],[CÓDIGO DE INDICADOR]],[1]!CMI[[#All],[Ejecutado_9]])="-",0,LOOKUP($J16,[1]!CMI[[#All],[CÓDIGO DE INDICADOR]],[1]!CMI[[#All],[Ejecutado_9]]))</f>
        <v>0</v>
      </c>
      <c r="AP16" s="16">
        <f t="shared" si="4"/>
        <v>1</v>
      </c>
      <c r="AQ16" s="16">
        <f>IF(OR(LOOKUP($J16,[1]!CMI[[#All],[CÓDIGO DE INDICADOR]],[1]!CMI[[#All],[TIPO DE FÓRMULA]])="Valor absoluto",LOOKUP($J16,[1]!CMI[[#All],[CÓDIGO DE INDICADOR]],[1]!CMI[[#All],[TIPO DE FÓRMULA]])="Suma"),AI16+AK16+AM16+AO16,IF(OR(LOOKUP($J16,[1]!CMI[[#All],[CÓDIGO DE INDICADOR]],[1]!CMI[[#All],[TIPO DE FÓRMULA]])="Porcentaje",LOOKUP($J16,[1]!CMI[[#All],[CÓDIGO DE INDICADOR]],[1]!CMI[[#All],[TIPO DE FÓRMULA]])="División"),IF(LOOKUP($J16,[1]!CMI[[#All],[CÓDIGO DE INDICADOR]],[1]!CMI[[#All],[Variable2_6]])+LOOKUP($J16,[1]!CMI[[#All],[CÓDIGO DE INDICADOR]],[1]!CMI[[#All],[Variable2_7]])+LOOKUP($J16,[1]!CMI[[#All],[CÓDIGO DE INDICADOR]],[1]!CMI[[#All],[Variable2_8]])+LOOKUP($J16,[1]!CMI[[#All],[CÓDIGO DE INDICADOR]],[1]!CMI[[#All],[Variable2_9]])=0,0,(LOOKUP($J16,[1]!CMI[[#All],[CÓDIGO DE INDICADOR]],[1]!CMI[[#All],[Variable1_6]])+LOOKUP($J16,[1]!CMI[[#All],[CÓDIGO DE INDICADOR]],[1]!CMI[[#All],[Variable1_7]])+LOOKUP($J16,[1]!CMI[[#All],[CÓDIGO DE INDICADOR]],[1]!CMI[[#All],[Variable1_8]])+LOOKUP($J16,[1]!CMI[[#All],[CÓDIGO DE INDICADOR]],[1]!CMI[[#All],[Variable1_9]]))/(LOOKUP($J16,[1]!CMI[[#All],[CÓDIGO DE INDICADOR]],[1]!CMI[[#All],[Variable2_6]])+LOOKUP($J16,[1]!CMI[[#All],[CÓDIGO DE INDICADOR]],[1]!CMI[[#All],[Variable2_7]])+LOOKUP($J16,[1]!CMI[[#All],[CÓDIGO DE INDICADOR]],[1]!CMI[[#All],[Variable2_8]])+LOOKUP($J16,[1]!CMI[[#All],[CÓDIGO DE INDICADOR]],[1]!CMI[[#All],[Variable2_9]]))),IF(LOOKUP($J16,[1]!CMI[[#All],[CÓDIGO DE INDICADOR]],[1]!CMI[[#All],[TIPO DE FÓRMULA]])="Tasa de variación",LOOKUP($J16,[1]!CMI[[#All],[CÓDIGO DE INDICADOR]],[1]!CMI[[#All],[EjecuciónAcumulada_9]]),0)))</f>
        <v>0</v>
      </c>
      <c r="AR16" s="12">
        <f>LOOKUP($J16,[1]!CMI[[#All],[CÓDIGO DE INDICADOR]],[1]!CMI[[#All],[Programado_10]])</f>
        <v>1</v>
      </c>
      <c r="AS16" s="12">
        <f>IF(LOOKUP($J16,[1]!CMI[[#All],[CÓDIGO DE INDICADOR]],[1]!CMI[[#All],[Ejecutado_10]])="-",0,LOOKUP($J16,[1]!CMI[[#All],[CÓDIGO DE INDICADOR]],[1]!CMI[[#All],[Ejecutado_10]]))</f>
        <v>0</v>
      </c>
      <c r="AT16" s="12">
        <f>LOOKUP($J16,[1]!CMI[[#All],[CÓDIGO DE INDICADOR]],[1]!CMI[[#All],[Programado_11]])</f>
        <v>0</v>
      </c>
      <c r="AU16" s="15">
        <f>IF(LOOKUP($J16,[1]!CMI[[#All],[CÓDIGO DE INDICADOR]],[1]!CMI[[#All],[Ejecutado_11]])="-",0,LOOKUP($J16,[1]!CMI[[#All],[CÓDIGO DE INDICADOR]],[1]!CMI[[#All],[Ejecutado_11]]))</f>
        <v>0</v>
      </c>
      <c r="AV16" s="15">
        <f>LOOKUP($J16,[1]!CMI[[#All],[CÓDIGO DE INDICADOR]],[1]!CMI[[#All],[Programado_12]])</f>
        <v>0</v>
      </c>
      <c r="AW16" s="15">
        <f>IF(LOOKUP($J16,[1]!CMI[[#All],[CÓDIGO DE INDICADOR]],[1]!CMI[[#All],[Ejecutado_12]])="-",0,LOOKUP($J16,[1]!CMI[[#All],[CÓDIGO DE INDICADOR]],[1]!CMI[[#All],[Ejecutado_12]]))</f>
        <v>0</v>
      </c>
      <c r="AX16" s="15">
        <f>LOOKUP($J16,[1]!CMI[[#All],[CÓDIGO DE INDICADOR]],[1]!CMI[[#All],[Programado_13]])</f>
        <v>0</v>
      </c>
      <c r="AY16" s="15">
        <f>IF(LOOKUP($J16,[1]!CMI[[#All],[CÓDIGO DE INDICADOR]],[1]!CMI[[#All],[Ejecutado_13]])="-",0,LOOKUP($J16,[1]!CMI[[#All],[CÓDIGO DE INDICADOR]],[1]!CMI[[#All],[Ejecutado_13]]))</f>
        <v>0</v>
      </c>
      <c r="AZ16" s="16">
        <f t="shared" si="5"/>
        <v>1</v>
      </c>
      <c r="BA16" s="16">
        <f>IF(OR(LOOKUP($J16,[1]!CMI[[#All],[CÓDIGO DE INDICADOR]],[1]!CMI[[#All],[TIPO DE FÓRMULA]])="Valor absoluto",LOOKUP($J16,[1]!CMI[[#All],[CÓDIGO DE INDICADOR]],[1]!CMI[[#All],[TIPO DE FÓRMULA]])="Suma"),AS16+AU16+AW16+AY16,IF(OR(LOOKUP($J16,[1]!CMI[[#All],[CÓDIGO DE INDICADOR]],[1]!CMI[[#All],[TIPO DE FÓRMULA]])="Porcentaje",LOOKUP($J16,[1]!CMI[[#All],[CÓDIGO DE INDICADOR]],[1]!CMI[[#All],[TIPO DE FÓRMULA]])="División"),IF(LOOKUP($J16,[1]!CMI[[#All],[CÓDIGO DE INDICADOR]],[1]!CMI[[#All],[Variable2_10]])+LOOKUP($J16,[1]!CMI[[#All],[CÓDIGO DE INDICADOR]],[1]!CMI[[#All],[Variable2_11]])+LOOKUP($J16,[1]!CMI[[#All],[CÓDIGO DE INDICADOR]],[1]!CMI[[#All],[Variable2_12]])+LOOKUP($J16,[1]!CMI[[#All],[CÓDIGO DE INDICADOR]],[1]!CMI[[#All],[Variable2_13]])=0,0,(LOOKUP($J16,[1]!CMI[[#All],[CÓDIGO DE INDICADOR]],[1]!CMI[[#All],[Variable1_10]])+LOOKUP($J16,[1]!CMI[[#All],[CÓDIGO DE INDICADOR]],[1]!CMI[[#All],[Variable1_11]])+LOOKUP($J16,[1]!CMI[[#All],[CÓDIGO DE INDICADOR]],[1]!CMI[[#All],[Variable1_12]])+LOOKUP($J16,[1]!CMI[[#All],[CÓDIGO DE INDICADOR]],[1]!CMI[[#All],[Variable1_13]]))/(LOOKUP($J16,[1]!CMI[[#All],[CÓDIGO DE INDICADOR]],[1]!CMI[[#All],[Variable2_10]])+LOOKUP($J16,[1]!CMI[[#All],[CÓDIGO DE INDICADOR]],[1]!CMI[[#All],[Variable2_11]])+LOOKUP($J16,[1]!CMI[[#All],[CÓDIGO DE INDICADOR]],[1]!CMI[[#All],[Variable2_12]])+LOOKUP($J16,[1]!CMI[[#All],[CÓDIGO DE INDICADOR]],[1]!CMI[[#All],[Variable2_13]]))),IF(LOOKUP($J16,[1]!CMI[[#All],[CÓDIGO DE INDICADOR]],[1]!CMI[[#All],[TIPO DE FÓRMULA]])="Tasa de variación",LOOKUP($J16,[1]!CMI[[#All],[CÓDIGO DE INDICADOR]],[1]!CMI[[#All],[EjecuciónAcumulada_13]]),0)))</f>
        <v>0</v>
      </c>
      <c r="BB16" s="12">
        <f>LOOKUP($J16,[1]!CMI[[#All],[CÓDIGO DE INDICADOR]],[1]!CMI[[#All],[Programado_14]])</f>
        <v>0</v>
      </c>
      <c r="BC16" s="12">
        <f>IF(LOOKUP($J16,[1]!CMI[[#All],[CÓDIGO DE INDICADOR]],[1]!CMI[[#All],[Ejecutado_14]])="-",0,LOOKUP($J16,[1]!CMI[[#All],[CÓDIGO DE INDICADOR]],[1]!CMI[[#All],[Ejecutado_14]]))</f>
        <v>0</v>
      </c>
      <c r="BD16" s="12">
        <f>LOOKUP($J16,[1]!CMI[[#All],[CÓDIGO DE INDICADOR]],[1]!CMI[[#All],[Programado_15]])</f>
        <v>0</v>
      </c>
      <c r="BE16" s="15">
        <f>IF(LOOKUP($J16,[1]!CMI[[#All],[CÓDIGO DE INDICADOR]],[1]!CMI[[#All],[Ejecutado_15]])="-",0,LOOKUP($J16,[1]!CMI[[#All],[CÓDIGO DE INDICADOR]],[1]!CMI[[#All],[Ejecutado_15]]))</f>
        <v>0</v>
      </c>
      <c r="BF16" s="15">
        <f>LOOKUP($J16,[1]!CMI[[#All],[CÓDIGO DE INDICADOR]],[1]!CMI[[#All],[Programado_16]])</f>
        <v>0</v>
      </c>
      <c r="BG16" s="15">
        <f>IF(LOOKUP($J16,[1]!CMI[[#All],[CÓDIGO DE INDICADOR]],[1]!CMI[[#All],[Ejecutado_16]])="-",0,LOOKUP($J16,[1]!CMI[[#All],[CÓDIGO DE INDICADOR]],[1]!CMI[[#All],[Ejecutado_16]]))</f>
        <v>0</v>
      </c>
      <c r="BH16" s="15">
        <f>LOOKUP($J16,[1]!CMI[[#All],[CÓDIGO DE INDICADOR]],[1]!CMI[[#All],[Programado_17]])</f>
        <v>0</v>
      </c>
      <c r="BI16" s="15">
        <f>IF(LOOKUP($J16,[1]!CMI[[#All],[CÓDIGO DE INDICADOR]],[1]!CMI[[#All],[Ejecutado_17]])="-",0,LOOKUP($J16,[1]!CMI[[#All],[CÓDIGO DE INDICADOR]],[1]!CMI[[#All],[Ejecutado_17]]))</f>
        <v>0</v>
      </c>
      <c r="BJ16" s="16">
        <f t="shared" si="6"/>
        <v>0</v>
      </c>
      <c r="BK16" s="16">
        <f>IF(OR(LOOKUP($J16,[1]!CMI[[#All],[CÓDIGO DE INDICADOR]],[1]!CMI[[#All],[TIPO DE FÓRMULA]])="Valor absoluto",LOOKUP($J16,[1]!CMI[[#All],[CÓDIGO DE INDICADOR]],[1]!CMI[[#All],[TIPO DE FÓRMULA]])="Suma"),BC16+BE16+BG16+BI16,IF(OR(LOOKUP($J16,[1]!CMI[[#All],[CÓDIGO DE INDICADOR]],[1]!CMI[[#All],[TIPO DE FÓRMULA]])="Porcentaje",LOOKUP($J16,[1]!CMI[[#All],[CÓDIGO DE INDICADOR]],[1]!CMI[[#All],[TIPO DE FÓRMULA]])="División"),IF(LOOKUP($J16,[1]!CMI[[#All],[CÓDIGO DE INDICADOR]],[1]!CMI[[#All],[Variable2_14]])+LOOKUP($J16,[1]!CMI[[#All],[CÓDIGO DE INDICADOR]],[1]!CMI[[#All],[Variable2_15]])+LOOKUP($J16,[1]!CMI[[#All],[CÓDIGO DE INDICADOR]],[1]!CMI[[#All],[Variable2_16]])+LOOKUP($J16,[1]!CMI[[#All],[CÓDIGO DE INDICADOR]],[1]!CMI[[#All],[Variable2_17]])=0,0,(LOOKUP($J16,[1]!CMI[[#All],[CÓDIGO DE INDICADOR]],[1]!CMI[[#All],[Variable1_14]])+LOOKUP($J16,[1]!CMI[[#All],[CÓDIGO DE INDICADOR]],[1]!CMI[[#All],[Variable1_15]])+LOOKUP($J16,[1]!CMI[[#All],[CÓDIGO DE INDICADOR]],[1]!CMI[[#All],[Variable1_16]])+LOOKUP($J16,[1]!CMI[[#All],[CÓDIGO DE INDICADOR]],[1]!CMI[[#All],[Variable1_17]]))/(LOOKUP($J16,[1]!CMI[[#All],[CÓDIGO DE INDICADOR]],[1]!CMI[[#All],[Variable2_14]])+LOOKUP($J16,[1]!CMI[[#All],[CÓDIGO DE INDICADOR]],[1]!CMI[[#All],[Variable2_15]])+LOOKUP($J16,[1]!CMI[[#All],[CÓDIGO DE INDICADOR]],[1]!CMI[[#All],[Variable2_16]])+LOOKUP($J16,[1]!CMI[[#All],[CÓDIGO DE INDICADOR]],[1]!CMI[[#All],[Variable2_17]]))),IF(LOOKUP($J16,[1]!CMI[[#All],[CÓDIGO DE INDICADOR]],[1]!CMI[[#All],[TIPO DE FÓRMULA]])="Tasa de variación",LOOKUP($J16,[1]!CMI[[#All],[CÓDIGO DE INDICADOR]],[1]!CMI[[#All],[EjecuciónAcumulada_17]]),0)))</f>
        <v>0</v>
      </c>
      <c r="BL16" s="16">
        <f>IF(YEAR($M16)=2016,LOOKUP($J16,[1]!CMI[[#All],[CÓDIGO DE INDICADOR]],[1]!CMI[[#All],[ProgramadoAcumulado_1]]),IF(AND(YEAR($M16)=2017,MONTH($M16)&lt;=3),LOOKUP($J16,[1]!CMI[[#All],[CÓDIGO DE INDICADOR]],[1]!CMI[[#All],[ProgramadoAcumulado_2]]),IF(AND(YEAR($M16)=2017,MONTH($M16)&lt;=6),LOOKUP($J16,[1]!CMI[[#All],[CÓDIGO DE INDICADOR]],[1]!CMI[[#All],[ProgramadoAcumulado_3]]),IF(AND(YEAR($M16)=2017,MONTH($M16)&lt;=9),LOOKUP($J16,[1]!CMI[[#All],[CÓDIGO DE INDICADOR]],[1]!CMI[[#All],[ProgramadoAcumulado_4]]),IF(AND(YEAR($M16)=2017,MONTH($M16)&lt;=12),LOOKUP($J16,[1]!CMI[[#All],[CÓDIGO DE INDICADOR]],[1]!CMI[[#All],[ProgramadoAcumulado_5]]),IF(AND(YEAR($M16)=2018,MONTH($M16)&lt;=3),LOOKUP($J16,[1]!CMI[[#All],[CÓDIGO DE INDICADOR]],[1]!CMI[[#All],[ProgramadoAcumulado_6]]),IF(AND(YEAR($M16)=2018,MONTH($M16)&lt;=6),LOOKUP($J16,[1]!CMI[[#All],[CÓDIGO DE INDICADOR]],[1]!CMI[[#All],[ProgramadoAcumulado_7]]),IF(AND(YEAR($M16)=2018,MONTH($M16)&lt;=9),LOOKUP($J16,[1]!CMI[[#All],[CÓDIGO DE INDICADOR]],[1]!CMI[[#All],[ProgramadoAcumulado_8]]),IF(AND(YEAR($M16)=2018,MONTH($M16)&lt;=12),LOOKUP($J16,[1]!CMI[[#All],[CÓDIGO DE INDICADOR]],[1]!CMI[[#All],[ProgramadoAcumulado_9]]),IF(AND(YEAR($M16)=2019,MONTH($M16)&lt;=3),LOOKUP($J16,[1]!CMI[[#All],[CÓDIGO DE INDICADOR]],[1]!CMI[[#All],[ProgramadoAcumulado_10]]),IF(AND(YEAR($M16)=2019,MONTH($M16)&lt;=6),LOOKUP($J16,[1]!CMI[[#All],[CÓDIGO DE INDICADOR]],[1]!CMI[[#All],[ProgramadoAcumulado_11]]),IF(AND(YEAR($M16)=2019,MONTH($M16)&lt;=9),LOOKUP($J16,[1]!CMI[[#All],[CÓDIGO DE INDICADOR]],[1]!CMI[[#All],[ProgramadoAcumulado_12]]),IF(AND(YEAR($M16)=2019,MONTH($M16)&lt;=12),LOOKUP($J16,[1]!CMI[[#All],[CÓDIGO DE INDICADOR]],[1]!CMI[[#All],[ProgramadoAcumulado_13]]),IF(AND(YEAR($M16)=2020,MONTH($M16)&lt;=3),LOOKUP($J16,[1]!CMI[[#All],[CÓDIGO DE INDICADOR]],[1]!CMI[[#All],[ProgramadoAcumulado_14]]),IF(AND(YEAR($M16)=2020,MONTH($M16)&lt;=6),LOOKUP($J16,[1]!CMI[[#All],[CÓDIGO DE INDICADOR]],[1]!CMI[[#All],[ProgramadoAcumulado_15]]),IF(AND(YEAR($M16)=2020,MONTH($M16)&lt;=9),LOOKUP($J16,[1]!CMI[[#All],[CÓDIGO DE INDICADOR]],[1]!CMI[[#All],[ProgramadoAcumulado_16]]),IF(AND(YEAR($M16)=2020,MONTH($M16)&lt;=12),LOOKUP($J16,[1]!CMI[[#All],[CÓDIGO DE INDICADOR]],[1]!CMI[[#All],[ProgramadoAcumulado_17]]),"N.A")))))))))))))))))</f>
        <v>1</v>
      </c>
      <c r="BM16" s="16">
        <f>IF(YEAR($M16)=2016,LOOKUP($J16,[1]!CMI[[#All],[CÓDIGO DE INDICADOR]],[1]!CMI[[#All],[EjecuciónAcumulada_1]]),IF(AND(YEAR($M16)=2017,MONTH($M16)&lt;=3),LOOKUP($J16,[1]!CMI[[#All],[CÓDIGO DE INDICADOR]],[1]!CMI[[#All],[EjecuciónAcumulada_2]]),IF(AND(YEAR($M16)=2017,MONTH($M16)&lt;=6),LOOKUP($J16,[1]!CMI[[#All],[CÓDIGO DE INDICADOR]],[1]!CMI[[#All],[EjecuciónAcumulada_3]]),IF(AND(YEAR($M16)=2017,MONTH($M16)&lt;=9),LOOKUP($J16,[1]!CMI[[#All],[CÓDIGO DE INDICADOR]],[1]!CMI[[#All],[EjecuciónAcumulada_4]]),IF(AND(YEAR($M16)=2017,MONTH($M16)&lt;=12),LOOKUP($J16,[1]!CMI[[#All],[CÓDIGO DE INDICADOR]],[1]!CMI[[#All],[EjecuciónAcumulada_5]]),IF(AND(YEAR($M16)=2018,MONTH($M16)&lt;=3),LOOKUP($J16,[1]!CMI[[#All],[CÓDIGO DE INDICADOR]],[1]!CMI[[#All],[EjecuciónAcumulada_6]]),IF(AND(YEAR($M16)=2018,MONTH($M16)&lt;=6),LOOKUP($J16,[1]!CMI[[#All],[CÓDIGO DE INDICADOR]],[1]!CMI[[#All],[EjecuciónAcumulada_7]]),IF(AND(YEAR($M16)=2018,MONTH($M16)&lt;=9),LOOKUP($J16,[1]!CMI[[#All],[CÓDIGO DE INDICADOR]],[1]!CMI[[#All],[EjecuciónAcumulada_8]]),IF(AND(YEAR($M16)=2018,MONTH($M16)&lt;=12),LOOKUP($J16,[1]!CMI[[#All],[CÓDIGO DE INDICADOR]],[1]!CMI[[#All],[EjecuciónAcumulada_9]]),IF(AND(YEAR($M16)=2019,MONTH($M16)&lt;=3),LOOKUP($J16,[1]!CMI[[#All],[CÓDIGO DE INDICADOR]],[1]!CMI[[#All],[EjecuciónAcumulada_10]]),IF(AND(YEAR($M16)=2019,MONTH($M16)&lt;=6),LOOKUP($J16,[1]!CMI[[#All],[CÓDIGO DE INDICADOR]],[1]!CMI[[#All],[EjecuciónAcumulada_11]]),IF(AND(YEAR($M16)=2019,MONTH($M16)&lt;=9),LOOKUP($J16,[1]!CMI[[#All],[CÓDIGO DE INDICADOR]],[1]!CMI[[#All],[EjecuciónAcumulada_12]]),IF(AND(YEAR($M16)=2019,MONTH($M16)&lt;=12),LOOKUP($J16,[1]!CMI[[#All],[CÓDIGO DE INDICADOR]],[1]!CMI[[#All],[EjecuciónAcumulada_13]]),IF(AND(YEAR($M16)=2020,MONTH($M16)&lt;=3),LOOKUP($J16,[1]!CMI[[#All],[CÓDIGO DE INDICADOR]],[1]!CMI[[#All],[EjecuciónAcumulada_14]]),IF(AND(YEAR($M16)=2020,MONTH($M16)&lt;=6),LOOKUP($J16,[1]!CMI[[#All],[CÓDIGO DE INDICADOR]],[1]!CMI[[#All],[EjecuciónAcumulada_15]]),IF(AND(YEAR($M16)=2020,MONTH($M16)&lt;=9),LOOKUP($J16,[1]!CMI[[#All],[CÓDIGO DE INDICADOR]],[1]!CMI[[#All],[EjecuciónAcumulada_16]]),IF(AND(YEAR($M16)=2020,MONTH($M16)&lt;=12),LOOKUP($J16,[1]!CMI[[#All],[CÓDIGO DE INDICADOR]],[1]!CMI[[#All],[EjecuciónAcumulada_17]]),"N.A")))))))))))))))))</f>
        <v>0</v>
      </c>
      <c r="BN16" s="17">
        <f t="shared" si="7"/>
        <v>0</v>
      </c>
      <c r="BO16" s="16">
        <f t="shared" si="0"/>
        <v>2</v>
      </c>
      <c r="BP16" s="68">
        <f t="shared" si="8"/>
        <v>0</v>
      </c>
    </row>
    <row r="17" spans="2:68" ht="200.25" customHeight="1">
      <c r="B17" s="135"/>
      <c r="C17" s="138"/>
      <c r="D17" s="11" t="str">
        <f>LOOKUP($J17,[1]!CMI[[#All],[CÓDIGO DE INDICADOR]],[1]!CMI[[#All],[NOMBRE DEL INDICADOR]])</f>
        <v>Informes de seguimiento a la implementación de la Política Pública de Mujeres y Equidad de Género (Veedurías)</v>
      </c>
      <c r="E17" s="11" t="str">
        <f>LOOKUP($J17,[1]!CMI[[#All],[CÓDIGO DE INDICADOR]],[1]!CMI[[#All],[FÓRMULA DE CÁLCULO]])</f>
        <v>Número de informes elaborados</v>
      </c>
      <c r="F17" s="12">
        <f>LOOKUP($J17,[1]!CMI[[#All],[CÓDIGO DE INDICADOR]],[1]!CMI[[#All],[VALOR PROGRAMADO TOTAL]])</f>
        <v>3</v>
      </c>
      <c r="G17" s="10" t="s">
        <v>99</v>
      </c>
      <c r="H17" s="10" t="s">
        <v>100</v>
      </c>
      <c r="I17" s="11" t="str">
        <f>LOOKUP($J17,[1]!CMI[[#All],[CÓDIGO DE INDICADOR]],[1]!CMI[[#All],[DEPENDENCIA]])</f>
        <v>PERSONERÍA DELEGADA PARA LA COORDINACIÓN DE VEEDURÍAS</v>
      </c>
      <c r="J17" s="13" t="s">
        <v>250</v>
      </c>
      <c r="K17" s="11" t="str">
        <f>LOOKUP($J17,[1]!CMI[[#All],[CÓDIGO DE INDICADOR]],[1]!CMI[[#All],[CÁLCULO VALOR PROGRAMADO ACUMULADO]])</f>
        <v>Sumatoria</v>
      </c>
      <c r="L17" s="11" t="str">
        <f>LOOKUP($J17,[1]!CMI[[#All],[CÓDIGO DE INDICADOR]],[1]!CMI[[#All],[TENDENCIA DECRECIENTE]])</f>
        <v>No</v>
      </c>
      <c r="M17" s="14">
        <f>LOOKUP($J17,[1]!CMI[[#All],[CÓDIGO DE INDICADOR]],[1]!CMI[[#All],[FECHA DE CORTE]])</f>
        <v>43281</v>
      </c>
      <c r="N17" s="12">
        <v>0</v>
      </c>
      <c r="O17" s="12">
        <v>0</v>
      </c>
      <c r="P17" s="12">
        <v>0</v>
      </c>
      <c r="Q17" s="15">
        <v>0</v>
      </c>
      <c r="R17" s="15">
        <v>0</v>
      </c>
      <c r="S17" s="15">
        <v>0</v>
      </c>
      <c r="T17" s="15">
        <f>LOOKUP($J17,[1]!CMI[[#All],[CÓDIGO DE INDICADOR]],[1]!CMI[[#All],[Programado_1]])</f>
        <v>0</v>
      </c>
      <c r="U17" s="15">
        <f>IF(LOOKUP($J17,[1]!CMI[[#All],[CÓDIGO DE INDICADOR]],[1]!CMI[[#All],[Ejecutado_1]])="-",0,LOOKUP($J17,[1]!CMI[[#All],[CÓDIGO DE INDICADOR]],[1]!CMI[[#All],[Ejecutado_1]]))</f>
        <v>0</v>
      </c>
      <c r="V17" s="16">
        <f t="shared" si="1"/>
        <v>0</v>
      </c>
      <c r="W17" s="16">
        <f t="shared" si="2"/>
        <v>0</v>
      </c>
      <c r="X17" s="12">
        <f>LOOKUP($J17,[1]!CMI[[#All],[CÓDIGO DE INDICADOR]],[1]!CMI[[#All],[Programado_2]])</f>
        <v>0</v>
      </c>
      <c r="Y17" s="12">
        <f>IF(LOOKUP($J17,[1]!CMI[[#All],[CÓDIGO DE INDICADOR]],[1]!CMI[[#All],[Ejecutado_2]])="-",0,LOOKUP($J17,[1]!CMI[[#All],[CÓDIGO DE INDICADOR]],[1]!CMI[[#All],[Ejecutado_2]]))</f>
        <v>0</v>
      </c>
      <c r="Z17" s="12">
        <f>LOOKUP($J17,[1]!CMI[[#All],[CÓDIGO DE INDICADOR]],[1]!CMI[[#All],[Programado_3]])</f>
        <v>0</v>
      </c>
      <c r="AA17" s="15">
        <f>IF(LOOKUP($J17,[1]!CMI[[#All],[CÓDIGO DE INDICADOR]],[1]!CMI[[#All],[Ejecutado_3]])="-",0,LOOKUP($J17,[1]!CMI[[#All],[CÓDIGO DE INDICADOR]],[1]!CMI[[#All],[Ejecutado_3]]))</f>
        <v>0</v>
      </c>
      <c r="AB17" s="15">
        <f>LOOKUP($J17,[1]!CMI[[#All],[CÓDIGO DE INDICADOR]],[1]!CMI[[#All],[Programado_4]])</f>
        <v>0</v>
      </c>
      <c r="AC17" s="15">
        <f>IF(LOOKUP($J17,[1]!CMI[[#All],[CÓDIGO DE INDICADOR]],[1]!CMI[[#All],[Ejecutado_4]])="-",0,LOOKUP($J17,[1]!CMI[[#All],[CÓDIGO DE INDICADOR]],[1]!CMI[[#All],[Ejecutado_4]]))</f>
        <v>0</v>
      </c>
      <c r="AD17" s="15">
        <f>LOOKUP($J17,[1]!CMI[[#All],[CÓDIGO DE INDICADOR]],[1]!CMI[[#All],[Programado_5]])</f>
        <v>1</v>
      </c>
      <c r="AE17" s="15">
        <f>IF(LOOKUP($J17,[1]!CMI[[#All],[CÓDIGO DE INDICADOR]],[1]!CMI[[#All],[Ejecutado_5]])="-",0,LOOKUP($J17,[1]!CMI[[#All],[CÓDIGO DE INDICADOR]],[1]!CMI[[#All],[Ejecutado_5]]))</f>
        <v>1</v>
      </c>
      <c r="AF17" s="16">
        <f t="shared" si="3"/>
        <v>1</v>
      </c>
      <c r="AG17" s="16">
        <f>IF(OR(LOOKUP($J17,[1]!CMI[[#All],[CÓDIGO DE INDICADOR]],[1]!CMI[[#All],[TIPO DE FÓRMULA]])="Valor absoluto",LOOKUP($J17,[1]!CMI[[#All],[CÓDIGO DE INDICADOR]],[1]!CMI[[#All],[TIPO DE FÓRMULA]])="Suma"),Y17+AA17+AC17+AE17,IF(OR(LOOKUP($J17,[1]!CMI[[#All],[CÓDIGO DE INDICADOR]],[1]!CMI[[#All],[TIPO DE FÓRMULA]])="Porcentaje",LOOKUP($J17,[1]!CMI[[#All],[CÓDIGO DE INDICADOR]],[1]!CMI[[#All],[TIPO DE FÓRMULA]])="División"),IF(LOOKUP($J17,[1]!CMI[[#All],[CÓDIGO DE INDICADOR]],[1]!CMI[[#All],[Variable2_2]])+LOOKUP($J17,[1]!CMI[[#All],[CÓDIGO DE INDICADOR]],[1]!CMI[[#All],[Variable2_3]])+LOOKUP($J17,[1]!CMI[[#All],[CÓDIGO DE INDICADOR]],[1]!CMI[[#All],[Variable2_4]])+LOOKUP($J17,[1]!CMI[[#All],[CÓDIGO DE INDICADOR]],[1]!CMI[[#All],[Variable2_5]])=0,0,(LOOKUP($J17,[1]!CMI[[#All],[CÓDIGO DE INDICADOR]],[1]!CMI[[#All],[Variable1_2]])+LOOKUP($J17,[1]!CMI[[#All],[CÓDIGO DE INDICADOR]],[1]!CMI[[#All],[Variable1_3]])+LOOKUP($J17,[1]!CMI[[#All],[CÓDIGO DE INDICADOR]],[1]!CMI[[#All],[Variable1_4]])+LOOKUP($J17,[1]!CMI[[#All],[CÓDIGO DE INDICADOR]],[1]!CMI[[#All],[Variable1_5]]))/(LOOKUP($J17,[1]!CMI[[#All],[CÓDIGO DE INDICADOR]],[1]!CMI[[#All],[Variable2_2]])+LOOKUP($J17,[1]!CMI[[#All],[CÓDIGO DE INDICADOR]],[1]!CMI[[#All],[Variable2_3]])+LOOKUP($J17,[1]!CMI[[#All],[CÓDIGO DE INDICADOR]],[1]!CMI[[#All],[Variable2_4]])+LOOKUP($J17,[1]!CMI[[#All],[CÓDIGO DE INDICADOR]],[1]!CMI[[#All],[Variable2_5]]))),IF(LOOKUP($J17,[1]!CMI[[#All],[CÓDIGO DE INDICADOR]],[1]!CMI[[#All],[TIPO DE FÓRMULA]])="Tasa de variación",LOOKUP($J17,[1]!CMI[[#All],[CÓDIGO DE INDICADOR]],[1]!CMI[[#All],[EjecuciónAcumulada_5]]),0)))</f>
        <v>1</v>
      </c>
      <c r="AH17" s="12">
        <f>LOOKUP($J17,[1]!CMI[[#All],[CÓDIGO DE INDICADOR]],[1]!CMI[[#All],[Programado_6]])</f>
        <v>0</v>
      </c>
      <c r="AI17" s="12">
        <f>IF(LOOKUP($J17,[1]!CMI[[#All],[CÓDIGO DE INDICADOR]],[1]!CMI[[#All],[Ejecutado_6]])="-",0,LOOKUP($J17,[1]!CMI[[#All],[CÓDIGO DE INDICADOR]],[1]!CMI[[#All],[Ejecutado_6]]))</f>
        <v>0</v>
      </c>
      <c r="AJ17" s="12">
        <f>LOOKUP($J17,[1]!CMI[[#All],[CÓDIGO DE INDICADOR]],[1]!CMI[[#All],[Programado_7]])</f>
        <v>0</v>
      </c>
      <c r="AK17" s="15">
        <f>IF(LOOKUP($J17,[1]!CMI[[#All],[CÓDIGO DE INDICADOR]],[1]!CMI[[#All],[Ejecutado_7]])="-",0,LOOKUP($J17,[1]!CMI[[#All],[CÓDIGO DE INDICADOR]],[1]!CMI[[#All],[Ejecutado_7]]))</f>
        <v>0</v>
      </c>
      <c r="AL17" s="15">
        <f>LOOKUP($J17,[1]!CMI[[#All],[CÓDIGO DE INDICADOR]],[1]!CMI[[#All],[Programado_8]])</f>
        <v>0</v>
      </c>
      <c r="AM17" s="15">
        <f>IF(LOOKUP($J17,[1]!CMI[[#All],[CÓDIGO DE INDICADOR]],[1]!CMI[[#All],[Ejecutado_8]])="-",0,LOOKUP($J17,[1]!CMI[[#All],[CÓDIGO DE INDICADOR]],[1]!CMI[[#All],[Ejecutado_8]]))</f>
        <v>0</v>
      </c>
      <c r="AN17" s="15">
        <f>LOOKUP($J17,[1]!CMI[[#All],[CÓDIGO DE INDICADOR]],[1]!CMI[[#All],[Programado_9]])</f>
        <v>1</v>
      </c>
      <c r="AO17" s="15">
        <f>IF(LOOKUP($J17,[1]!CMI[[#All],[CÓDIGO DE INDICADOR]],[1]!CMI[[#All],[Ejecutado_9]])="-",0,LOOKUP($J17,[1]!CMI[[#All],[CÓDIGO DE INDICADOR]],[1]!CMI[[#All],[Ejecutado_9]]))</f>
        <v>0</v>
      </c>
      <c r="AP17" s="16">
        <f t="shared" si="4"/>
        <v>1</v>
      </c>
      <c r="AQ17" s="16">
        <f>IF(OR(LOOKUP($J17,[1]!CMI[[#All],[CÓDIGO DE INDICADOR]],[1]!CMI[[#All],[TIPO DE FÓRMULA]])="Valor absoluto",LOOKUP($J17,[1]!CMI[[#All],[CÓDIGO DE INDICADOR]],[1]!CMI[[#All],[TIPO DE FÓRMULA]])="Suma"),AI17+AK17+AM17+AO17,IF(OR(LOOKUP($J17,[1]!CMI[[#All],[CÓDIGO DE INDICADOR]],[1]!CMI[[#All],[TIPO DE FÓRMULA]])="Porcentaje",LOOKUP($J17,[1]!CMI[[#All],[CÓDIGO DE INDICADOR]],[1]!CMI[[#All],[TIPO DE FÓRMULA]])="División"),IF(LOOKUP($J17,[1]!CMI[[#All],[CÓDIGO DE INDICADOR]],[1]!CMI[[#All],[Variable2_6]])+LOOKUP($J17,[1]!CMI[[#All],[CÓDIGO DE INDICADOR]],[1]!CMI[[#All],[Variable2_7]])+LOOKUP($J17,[1]!CMI[[#All],[CÓDIGO DE INDICADOR]],[1]!CMI[[#All],[Variable2_8]])+LOOKUP($J17,[1]!CMI[[#All],[CÓDIGO DE INDICADOR]],[1]!CMI[[#All],[Variable2_9]])=0,0,(LOOKUP($J17,[1]!CMI[[#All],[CÓDIGO DE INDICADOR]],[1]!CMI[[#All],[Variable1_6]])+LOOKUP($J17,[1]!CMI[[#All],[CÓDIGO DE INDICADOR]],[1]!CMI[[#All],[Variable1_7]])+LOOKUP($J17,[1]!CMI[[#All],[CÓDIGO DE INDICADOR]],[1]!CMI[[#All],[Variable1_8]])+LOOKUP($J17,[1]!CMI[[#All],[CÓDIGO DE INDICADOR]],[1]!CMI[[#All],[Variable1_9]]))/(LOOKUP($J17,[1]!CMI[[#All],[CÓDIGO DE INDICADOR]],[1]!CMI[[#All],[Variable2_6]])+LOOKUP($J17,[1]!CMI[[#All],[CÓDIGO DE INDICADOR]],[1]!CMI[[#All],[Variable2_7]])+LOOKUP($J17,[1]!CMI[[#All],[CÓDIGO DE INDICADOR]],[1]!CMI[[#All],[Variable2_8]])+LOOKUP($J17,[1]!CMI[[#All],[CÓDIGO DE INDICADOR]],[1]!CMI[[#All],[Variable2_9]]))),IF(LOOKUP($J17,[1]!CMI[[#All],[CÓDIGO DE INDICADOR]],[1]!CMI[[#All],[TIPO DE FÓRMULA]])="Tasa de variación",LOOKUP($J17,[1]!CMI[[#All],[CÓDIGO DE INDICADOR]],[1]!CMI[[#All],[EjecuciónAcumulada_9]]),0)))</f>
        <v>0</v>
      </c>
      <c r="AR17" s="12">
        <f>LOOKUP($J17,[1]!CMI[[#All],[CÓDIGO DE INDICADOR]],[1]!CMI[[#All],[Programado_10]])</f>
        <v>0</v>
      </c>
      <c r="AS17" s="12">
        <f>IF(LOOKUP($J17,[1]!CMI[[#All],[CÓDIGO DE INDICADOR]],[1]!CMI[[#All],[Ejecutado_10]])="-",0,LOOKUP($J17,[1]!CMI[[#All],[CÓDIGO DE INDICADOR]],[1]!CMI[[#All],[Ejecutado_10]]))</f>
        <v>0</v>
      </c>
      <c r="AT17" s="12">
        <f>LOOKUP($J17,[1]!CMI[[#All],[CÓDIGO DE INDICADOR]],[1]!CMI[[#All],[Programado_11]])</f>
        <v>0</v>
      </c>
      <c r="AU17" s="15">
        <f>IF(LOOKUP($J17,[1]!CMI[[#All],[CÓDIGO DE INDICADOR]],[1]!CMI[[#All],[Ejecutado_11]])="-",0,LOOKUP($J17,[1]!CMI[[#All],[CÓDIGO DE INDICADOR]],[1]!CMI[[#All],[Ejecutado_11]]))</f>
        <v>0</v>
      </c>
      <c r="AV17" s="15">
        <f>LOOKUP($J17,[1]!CMI[[#All],[CÓDIGO DE INDICADOR]],[1]!CMI[[#All],[Programado_12]])</f>
        <v>0</v>
      </c>
      <c r="AW17" s="15">
        <f>IF(LOOKUP($J17,[1]!CMI[[#All],[CÓDIGO DE INDICADOR]],[1]!CMI[[#All],[Ejecutado_12]])="-",0,LOOKUP($J17,[1]!CMI[[#All],[CÓDIGO DE INDICADOR]],[1]!CMI[[#All],[Ejecutado_12]]))</f>
        <v>0</v>
      </c>
      <c r="AX17" s="15">
        <f>LOOKUP($J17,[1]!CMI[[#All],[CÓDIGO DE INDICADOR]],[1]!CMI[[#All],[Programado_13]])</f>
        <v>1</v>
      </c>
      <c r="AY17" s="15">
        <f>IF(LOOKUP($J17,[1]!CMI[[#All],[CÓDIGO DE INDICADOR]],[1]!CMI[[#All],[Ejecutado_13]])="-",0,LOOKUP($J17,[1]!CMI[[#All],[CÓDIGO DE INDICADOR]],[1]!CMI[[#All],[Ejecutado_13]]))</f>
        <v>0</v>
      </c>
      <c r="AZ17" s="16">
        <f t="shared" si="5"/>
        <v>1</v>
      </c>
      <c r="BA17" s="16">
        <f>IF(OR(LOOKUP($J17,[1]!CMI[[#All],[CÓDIGO DE INDICADOR]],[1]!CMI[[#All],[TIPO DE FÓRMULA]])="Valor absoluto",LOOKUP($J17,[1]!CMI[[#All],[CÓDIGO DE INDICADOR]],[1]!CMI[[#All],[TIPO DE FÓRMULA]])="Suma"),AS17+AU17+AW17+AY17,IF(OR(LOOKUP($J17,[1]!CMI[[#All],[CÓDIGO DE INDICADOR]],[1]!CMI[[#All],[TIPO DE FÓRMULA]])="Porcentaje",LOOKUP($J17,[1]!CMI[[#All],[CÓDIGO DE INDICADOR]],[1]!CMI[[#All],[TIPO DE FÓRMULA]])="División"),IF(LOOKUP($J17,[1]!CMI[[#All],[CÓDIGO DE INDICADOR]],[1]!CMI[[#All],[Variable2_10]])+LOOKUP($J17,[1]!CMI[[#All],[CÓDIGO DE INDICADOR]],[1]!CMI[[#All],[Variable2_11]])+LOOKUP($J17,[1]!CMI[[#All],[CÓDIGO DE INDICADOR]],[1]!CMI[[#All],[Variable2_12]])+LOOKUP($J17,[1]!CMI[[#All],[CÓDIGO DE INDICADOR]],[1]!CMI[[#All],[Variable2_13]])=0,0,(LOOKUP($J17,[1]!CMI[[#All],[CÓDIGO DE INDICADOR]],[1]!CMI[[#All],[Variable1_10]])+LOOKUP($J17,[1]!CMI[[#All],[CÓDIGO DE INDICADOR]],[1]!CMI[[#All],[Variable1_11]])+LOOKUP($J17,[1]!CMI[[#All],[CÓDIGO DE INDICADOR]],[1]!CMI[[#All],[Variable1_12]])+LOOKUP($J17,[1]!CMI[[#All],[CÓDIGO DE INDICADOR]],[1]!CMI[[#All],[Variable1_13]]))/(LOOKUP($J17,[1]!CMI[[#All],[CÓDIGO DE INDICADOR]],[1]!CMI[[#All],[Variable2_10]])+LOOKUP($J17,[1]!CMI[[#All],[CÓDIGO DE INDICADOR]],[1]!CMI[[#All],[Variable2_11]])+LOOKUP($J17,[1]!CMI[[#All],[CÓDIGO DE INDICADOR]],[1]!CMI[[#All],[Variable2_12]])+LOOKUP($J17,[1]!CMI[[#All],[CÓDIGO DE INDICADOR]],[1]!CMI[[#All],[Variable2_13]]))),IF(LOOKUP($J17,[1]!CMI[[#All],[CÓDIGO DE INDICADOR]],[1]!CMI[[#All],[TIPO DE FÓRMULA]])="Tasa de variación",LOOKUP($J17,[1]!CMI[[#All],[CÓDIGO DE INDICADOR]],[1]!CMI[[#All],[EjecuciónAcumulada_13]]),0)))</f>
        <v>0</v>
      </c>
      <c r="BB17" s="12">
        <f>LOOKUP($J17,[1]!CMI[[#All],[CÓDIGO DE INDICADOR]],[1]!CMI[[#All],[Programado_14]])</f>
        <v>0</v>
      </c>
      <c r="BC17" s="12">
        <f>IF(LOOKUP($J17,[1]!CMI[[#All],[CÓDIGO DE INDICADOR]],[1]!CMI[[#All],[Ejecutado_14]])="-",0,LOOKUP($J17,[1]!CMI[[#All],[CÓDIGO DE INDICADOR]],[1]!CMI[[#All],[Ejecutado_14]]))</f>
        <v>0</v>
      </c>
      <c r="BD17" s="12">
        <f>LOOKUP($J17,[1]!CMI[[#All],[CÓDIGO DE INDICADOR]],[1]!CMI[[#All],[Programado_15]])</f>
        <v>0</v>
      </c>
      <c r="BE17" s="15">
        <f>IF(LOOKUP($J17,[1]!CMI[[#All],[CÓDIGO DE INDICADOR]],[1]!CMI[[#All],[Ejecutado_15]])="-",0,LOOKUP($J17,[1]!CMI[[#All],[CÓDIGO DE INDICADOR]],[1]!CMI[[#All],[Ejecutado_15]]))</f>
        <v>0</v>
      </c>
      <c r="BF17" s="15">
        <f>LOOKUP($J17,[1]!CMI[[#All],[CÓDIGO DE INDICADOR]],[1]!CMI[[#All],[Programado_16]])</f>
        <v>0</v>
      </c>
      <c r="BG17" s="15">
        <f>IF(LOOKUP($J17,[1]!CMI[[#All],[CÓDIGO DE INDICADOR]],[1]!CMI[[#All],[Ejecutado_16]])="-",0,LOOKUP($J17,[1]!CMI[[#All],[CÓDIGO DE INDICADOR]],[1]!CMI[[#All],[Ejecutado_16]]))</f>
        <v>0</v>
      </c>
      <c r="BH17" s="15">
        <f>LOOKUP($J17,[1]!CMI[[#All],[CÓDIGO DE INDICADOR]],[1]!CMI[[#All],[Programado_17]])</f>
        <v>0</v>
      </c>
      <c r="BI17" s="15">
        <f>IF(LOOKUP($J17,[1]!CMI[[#All],[CÓDIGO DE INDICADOR]],[1]!CMI[[#All],[Ejecutado_17]])="-",0,LOOKUP($J17,[1]!CMI[[#All],[CÓDIGO DE INDICADOR]],[1]!CMI[[#All],[Ejecutado_17]]))</f>
        <v>0</v>
      </c>
      <c r="BJ17" s="16">
        <f t="shared" si="6"/>
        <v>0</v>
      </c>
      <c r="BK17" s="16">
        <f>IF(OR(LOOKUP($J17,[1]!CMI[[#All],[CÓDIGO DE INDICADOR]],[1]!CMI[[#All],[TIPO DE FÓRMULA]])="Valor absoluto",LOOKUP($J17,[1]!CMI[[#All],[CÓDIGO DE INDICADOR]],[1]!CMI[[#All],[TIPO DE FÓRMULA]])="Suma"),BC17+BE17+BG17+BI17,IF(OR(LOOKUP($J17,[1]!CMI[[#All],[CÓDIGO DE INDICADOR]],[1]!CMI[[#All],[TIPO DE FÓRMULA]])="Porcentaje",LOOKUP($J17,[1]!CMI[[#All],[CÓDIGO DE INDICADOR]],[1]!CMI[[#All],[TIPO DE FÓRMULA]])="División"),IF(LOOKUP($J17,[1]!CMI[[#All],[CÓDIGO DE INDICADOR]],[1]!CMI[[#All],[Variable2_14]])+LOOKUP($J17,[1]!CMI[[#All],[CÓDIGO DE INDICADOR]],[1]!CMI[[#All],[Variable2_15]])+LOOKUP($J17,[1]!CMI[[#All],[CÓDIGO DE INDICADOR]],[1]!CMI[[#All],[Variable2_16]])+LOOKUP($J17,[1]!CMI[[#All],[CÓDIGO DE INDICADOR]],[1]!CMI[[#All],[Variable2_17]])=0,0,(LOOKUP($J17,[1]!CMI[[#All],[CÓDIGO DE INDICADOR]],[1]!CMI[[#All],[Variable1_14]])+LOOKUP($J17,[1]!CMI[[#All],[CÓDIGO DE INDICADOR]],[1]!CMI[[#All],[Variable1_15]])+LOOKUP($J17,[1]!CMI[[#All],[CÓDIGO DE INDICADOR]],[1]!CMI[[#All],[Variable1_16]])+LOOKUP($J17,[1]!CMI[[#All],[CÓDIGO DE INDICADOR]],[1]!CMI[[#All],[Variable1_17]]))/(LOOKUP($J17,[1]!CMI[[#All],[CÓDIGO DE INDICADOR]],[1]!CMI[[#All],[Variable2_14]])+LOOKUP($J17,[1]!CMI[[#All],[CÓDIGO DE INDICADOR]],[1]!CMI[[#All],[Variable2_15]])+LOOKUP($J17,[1]!CMI[[#All],[CÓDIGO DE INDICADOR]],[1]!CMI[[#All],[Variable2_16]])+LOOKUP($J17,[1]!CMI[[#All],[CÓDIGO DE INDICADOR]],[1]!CMI[[#All],[Variable2_17]]))),IF(LOOKUP($J17,[1]!CMI[[#All],[CÓDIGO DE INDICADOR]],[1]!CMI[[#All],[TIPO DE FÓRMULA]])="Tasa de variación",LOOKUP($J17,[1]!CMI[[#All],[CÓDIGO DE INDICADOR]],[1]!CMI[[#All],[EjecuciónAcumulada_17]]),0)))</f>
        <v>0</v>
      </c>
      <c r="BL17" s="16">
        <f>IF(YEAR($M17)=2016,LOOKUP($J17,[1]!CMI[[#All],[CÓDIGO DE INDICADOR]],[1]!CMI[[#All],[ProgramadoAcumulado_1]]),IF(AND(YEAR($M17)=2017,MONTH($M17)&lt;=3),LOOKUP($J17,[1]!CMI[[#All],[CÓDIGO DE INDICADOR]],[1]!CMI[[#All],[ProgramadoAcumulado_2]]),IF(AND(YEAR($M17)=2017,MONTH($M17)&lt;=6),LOOKUP($J17,[1]!CMI[[#All],[CÓDIGO DE INDICADOR]],[1]!CMI[[#All],[ProgramadoAcumulado_3]]),IF(AND(YEAR($M17)=2017,MONTH($M17)&lt;=9),LOOKUP($J17,[1]!CMI[[#All],[CÓDIGO DE INDICADOR]],[1]!CMI[[#All],[ProgramadoAcumulado_4]]),IF(AND(YEAR($M17)=2017,MONTH($M17)&lt;=12),LOOKUP($J17,[1]!CMI[[#All],[CÓDIGO DE INDICADOR]],[1]!CMI[[#All],[ProgramadoAcumulado_5]]),IF(AND(YEAR($M17)=2018,MONTH($M17)&lt;=3),LOOKUP($J17,[1]!CMI[[#All],[CÓDIGO DE INDICADOR]],[1]!CMI[[#All],[ProgramadoAcumulado_6]]),IF(AND(YEAR($M17)=2018,MONTH($M17)&lt;=6),LOOKUP($J17,[1]!CMI[[#All],[CÓDIGO DE INDICADOR]],[1]!CMI[[#All],[ProgramadoAcumulado_7]]),IF(AND(YEAR($M17)=2018,MONTH($M17)&lt;=9),LOOKUP($J17,[1]!CMI[[#All],[CÓDIGO DE INDICADOR]],[1]!CMI[[#All],[ProgramadoAcumulado_8]]),IF(AND(YEAR($M17)=2018,MONTH($M17)&lt;=12),LOOKUP($J17,[1]!CMI[[#All],[CÓDIGO DE INDICADOR]],[1]!CMI[[#All],[ProgramadoAcumulado_9]]),IF(AND(YEAR($M17)=2019,MONTH($M17)&lt;=3),LOOKUP($J17,[1]!CMI[[#All],[CÓDIGO DE INDICADOR]],[1]!CMI[[#All],[ProgramadoAcumulado_10]]),IF(AND(YEAR($M17)=2019,MONTH($M17)&lt;=6),LOOKUP($J17,[1]!CMI[[#All],[CÓDIGO DE INDICADOR]],[1]!CMI[[#All],[ProgramadoAcumulado_11]]),IF(AND(YEAR($M17)=2019,MONTH($M17)&lt;=9),LOOKUP($J17,[1]!CMI[[#All],[CÓDIGO DE INDICADOR]],[1]!CMI[[#All],[ProgramadoAcumulado_12]]),IF(AND(YEAR($M17)=2019,MONTH($M17)&lt;=12),LOOKUP($J17,[1]!CMI[[#All],[CÓDIGO DE INDICADOR]],[1]!CMI[[#All],[ProgramadoAcumulado_13]]),IF(AND(YEAR($M17)=2020,MONTH($M17)&lt;=3),LOOKUP($J17,[1]!CMI[[#All],[CÓDIGO DE INDICADOR]],[1]!CMI[[#All],[ProgramadoAcumulado_14]]),IF(AND(YEAR($M17)=2020,MONTH($M17)&lt;=6),LOOKUP($J17,[1]!CMI[[#All],[CÓDIGO DE INDICADOR]],[1]!CMI[[#All],[ProgramadoAcumulado_15]]),IF(AND(YEAR($M17)=2020,MONTH($M17)&lt;=9),LOOKUP($J17,[1]!CMI[[#All],[CÓDIGO DE INDICADOR]],[1]!CMI[[#All],[ProgramadoAcumulado_16]]),IF(AND(YEAR($M17)=2020,MONTH($M17)&lt;=12),LOOKUP($J17,[1]!CMI[[#All],[CÓDIGO DE INDICADOR]],[1]!CMI[[#All],[ProgramadoAcumulado_17]]),"N.A")))))))))))))))))</f>
        <v>1</v>
      </c>
      <c r="BM17" s="16">
        <f>IF(YEAR($M17)=2016,LOOKUP($J17,[1]!CMI[[#All],[CÓDIGO DE INDICADOR]],[1]!CMI[[#All],[EjecuciónAcumulada_1]]),IF(AND(YEAR($M17)=2017,MONTH($M17)&lt;=3),LOOKUP($J17,[1]!CMI[[#All],[CÓDIGO DE INDICADOR]],[1]!CMI[[#All],[EjecuciónAcumulada_2]]),IF(AND(YEAR($M17)=2017,MONTH($M17)&lt;=6),LOOKUP($J17,[1]!CMI[[#All],[CÓDIGO DE INDICADOR]],[1]!CMI[[#All],[EjecuciónAcumulada_3]]),IF(AND(YEAR($M17)=2017,MONTH($M17)&lt;=9),LOOKUP($J17,[1]!CMI[[#All],[CÓDIGO DE INDICADOR]],[1]!CMI[[#All],[EjecuciónAcumulada_4]]),IF(AND(YEAR($M17)=2017,MONTH($M17)&lt;=12),LOOKUP($J17,[1]!CMI[[#All],[CÓDIGO DE INDICADOR]],[1]!CMI[[#All],[EjecuciónAcumulada_5]]),IF(AND(YEAR($M17)=2018,MONTH($M17)&lt;=3),LOOKUP($J17,[1]!CMI[[#All],[CÓDIGO DE INDICADOR]],[1]!CMI[[#All],[EjecuciónAcumulada_6]]),IF(AND(YEAR($M17)=2018,MONTH($M17)&lt;=6),LOOKUP($J17,[1]!CMI[[#All],[CÓDIGO DE INDICADOR]],[1]!CMI[[#All],[EjecuciónAcumulada_7]]),IF(AND(YEAR($M17)=2018,MONTH($M17)&lt;=9),LOOKUP($J17,[1]!CMI[[#All],[CÓDIGO DE INDICADOR]],[1]!CMI[[#All],[EjecuciónAcumulada_8]]),IF(AND(YEAR($M17)=2018,MONTH($M17)&lt;=12),LOOKUP($J17,[1]!CMI[[#All],[CÓDIGO DE INDICADOR]],[1]!CMI[[#All],[EjecuciónAcumulada_9]]),IF(AND(YEAR($M17)=2019,MONTH($M17)&lt;=3),LOOKUP($J17,[1]!CMI[[#All],[CÓDIGO DE INDICADOR]],[1]!CMI[[#All],[EjecuciónAcumulada_10]]),IF(AND(YEAR($M17)=2019,MONTH($M17)&lt;=6),LOOKUP($J17,[1]!CMI[[#All],[CÓDIGO DE INDICADOR]],[1]!CMI[[#All],[EjecuciónAcumulada_11]]),IF(AND(YEAR($M17)=2019,MONTH($M17)&lt;=9),LOOKUP($J17,[1]!CMI[[#All],[CÓDIGO DE INDICADOR]],[1]!CMI[[#All],[EjecuciónAcumulada_12]]),IF(AND(YEAR($M17)=2019,MONTH($M17)&lt;=12),LOOKUP($J17,[1]!CMI[[#All],[CÓDIGO DE INDICADOR]],[1]!CMI[[#All],[EjecuciónAcumulada_13]]),IF(AND(YEAR($M17)=2020,MONTH($M17)&lt;=3),LOOKUP($J17,[1]!CMI[[#All],[CÓDIGO DE INDICADOR]],[1]!CMI[[#All],[EjecuciónAcumulada_14]]),IF(AND(YEAR($M17)=2020,MONTH($M17)&lt;=6),LOOKUP($J17,[1]!CMI[[#All],[CÓDIGO DE INDICADOR]],[1]!CMI[[#All],[EjecuciónAcumulada_15]]),IF(AND(YEAR($M17)=2020,MONTH($M17)&lt;=9),LOOKUP($J17,[1]!CMI[[#All],[CÓDIGO DE INDICADOR]],[1]!CMI[[#All],[EjecuciónAcumulada_16]]),IF(AND(YEAR($M17)=2020,MONTH($M17)&lt;=12),LOOKUP($J17,[1]!CMI[[#All],[CÓDIGO DE INDICADOR]],[1]!CMI[[#All],[EjecuciónAcumulada_17]]),"N.A")))))))))))))))))</f>
        <v>1</v>
      </c>
      <c r="BN17" s="17">
        <f t="shared" si="7"/>
        <v>1</v>
      </c>
      <c r="BO17" s="16">
        <f t="shared" si="0"/>
        <v>3</v>
      </c>
      <c r="BP17" s="68">
        <f t="shared" si="8"/>
        <v>0.33333333333333331</v>
      </c>
    </row>
    <row r="18" spans="2:68" ht="122.25" customHeight="1">
      <c r="B18" s="135"/>
      <c r="C18" s="138" t="s">
        <v>102</v>
      </c>
      <c r="D18" s="11" t="str">
        <f>LOOKUP($J18,[1]!CMI[[#All],[CÓDIGO DE INDICADOR]],[1]!CMI[[#All],[NOMBRE DEL INDICADOR]])</f>
        <v>Personas sensibilizadas en prevención de la violencia contra la mujer </v>
      </c>
      <c r="E18" s="11" t="str">
        <f>LOOKUP($J18,[1]!CMI[[#All],[CÓDIGO DE INDICADOR]],[1]!CMI[[#All],[FÓRMULA DE CÁLCULO]])</f>
        <v>Número de personas sensibilizadas</v>
      </c>
      <c r="F18" s="12">
        <f>LOOKUP($J18,[1]!CMI[[#All],[CÓDIGO DE INDICADOR]],[1]!CMI[[#All],[VALOR PROGRAMADO TOTAL]])</f>
        <v>124000</v>
      </c>
      <c r="G18" s="10" t="s">
        <v>103</v>
      </c>
      <c r="H18" s="10" t="s">
        <v>105</v>
      </c>
      <c r="I18" s="11" t="str">
        <f>LOOKUP($J18,[1]!CMI[[#All],[CÓDIGO DE INDICADOR]],[1]!CMI[[#All],[DEPENDENCIA]])</f>
        <v>PERSONERÍA DELEGADA PARA LA COORDINACIÓN DEL MINISTERIO PÚBLICO Y DERECHOS HUMANOS</v>
      </c>
      <c r="J18" s="13" t="s">
        <v>107</v>
      </c>
      <c r="K18" s="11" t="str">
        <f>LOOKUP($J18,[1]!CMI[[#All],[CÓDIGO DE INDICADOR]],[1]!CMI[[#All],[CÁLCULO VALOR PROGRAMADO ACUMULADO]])</f>
        <v>Sumatoria</v>
      </c>
      <c r="L18" s="11" t="str">
        <f>LOOKUP($J18,[1]!CMI[[#All],[CÓDIGO DE INDICADOR]],[1]!CMI[[#All],[TENDENCIA DECRECIENTE]])</f>
        <v>No</v>
      </c>
      <c r="M18" s="14">
        <f>LOOKUP($J18,[1]!CMI[[#All],[CÓDIGO DE INDICADOR]],[1]!CMI[[#All],[FECHA DE CORTE]])</f>
        <v>43281</v>
      </c>
      <c r="N18" s="12">
        <v>0</v>
      </c>
      <c r="O18" s="12">
        <v>0</v>
      </c>
      <c r="P18" s="12">
        <v>0</v>
      </c>
      <c r="Q18" s="15">
        <v>0</v>
      </c>
      <c r="R18" s="15">
        <v>0</v>
      </c>
      <c r="S18" s="15">
        <v>0</v>
      </c>
      <c r="T18" s="15">
        <f>LOOKUP($J18,[1]!CMI[[#All],[CÓDIGO DE INDICADOR]],[1]!CMI[[#All],[Programado_1]])</f>
        <v>0</v>
      </c>
      <c r="U18" s="15">
        <f>IF(LOOKUP($J18,[1]!CMI[[#All],[CÓDIGO DE INDICADOR]],[1]!CMI[[#All],[Ejecutado_1]])="-",0,LOOKUP($J18,[1]!CMI[[#All],[CÓDIGO DE INDICADOR]],[1]!CMI[[#All],[Ejecutado_1]]))</f>
        <v>0</v>
      </c>
      <c r="V18" s="16">
        <f t="shared" si="1"/>
        <v>0</v>
      </c>
      <c r="W18" s="16">
        <f t="shared" si="2"/>
        <v>0</v>
      </c>
      <c r="X18" s="12">
        <f>LOOKUP($J18,[1]!CMI[[#All],[CÓDIGO DE INDICADOR]],[1]!CMI[[#All],[Programado_2]])</f>
        <v>0</v>
      </c>
      <c r="Y18" s="12">
        <f>IF(LOOKUP($J18,[1]!CMI[[#All],[CÓDIGO DE INDICADOR]],[1]!CMI[[#All],[Ejecutado_2]])="-",0,LOOKUP($J18,[1]!CMI[[#All],[CÓDIGO DE INDICADOR]],[1]!CMI[[#All],[Ejecutado_2]]))</f>
        <v>3467</v>
      </c>
      <c r="Z18" s="12">
        <f>LOOKUP($J18,[1]!CMI[[#All],[CÓDIGO DE INDICADOR]],[1]!CMI[[#All],[Programado_3]])</f>
        <v>0</v>
      </c>
      <c r="AA18" s="15">
        <f>IF(LOOKUP($J18,[1]!CMI[[#All],[CÓDIGO DE INDICADOR]],[1]!CMI[[#All],[Ejecutado_3]])="-",0,LOOKUP($J18,[1]!CMI[[#All],[CÓDIGO DE INDICADOR]],[1]!CMI[[#All],[Ejecutado_3]]))</f>
        <v>9139</v>
      </c>
      <c r="AB18" s="15">
        <f>LOOKUP($J18,[1]!CMI[[#All],[CÓDIGO DE INDICADOR]],[1]!CMI[[#All],[Programado_4]])</f>
        <v>0</v>
      </c>
      <c r="AC18" s="15">
        <f>IF(LOOKUP($J18,[1]!CMI[[#All],[CÓDIGO DE INDICADOR]],[1]!CMI[[#All],[Ejecutado_4]])="-",0,LOOKUP($J18,[1]!CMI[[#All],[CÓDIGO DE INDICADOR]],[1]!CMI[[#All],[Ejecutado_4]]))</f>
        <v>22981</v>
      </c>
      <c r="AD18" s="15">
        <f>LOOKUP($J18,[1]!CMI[[#All],[CÓDIGO DE INDICADOR]],[1]!CMI[[#All],[Programado_5]])</f>
        <v>47000</v>
      </c>
      <c r="AE18" s="15">
        <f>IF(LOOKUP($J18,[1]!CMI[[#All],[CÓDIGO DE INDICADOR]],[1]!CMI[[#All],[Ejecutado_5]])="-",0,LOOKUP($J18,[1]!CMI[[#All],[CÓDIGO DE INDICADOR]],[1]!CMI[[#All],[Ejecutado_5]]))</f>
        <v>13891</v>
      </c>
      <c r="AF18" s="16">
        <f t="shared" si="3"/>
        <v>47000</v>
      </c>
      <c r="AG18" s="16">
        <f>IF(OR(LOOKUP($J18,[1]!CMI[[#All],[CÓDIGO DE INDICADOR]],[1]!CMI[[#All],[TIPO DE FÓRMULA]])="Valor absoluto",LOOKUP($J18,[1]!CMI[[#All],[CÓDIGO DE INDICADOR]],[1]!CMI[[#All],[TIPO DE FÓRMULA]])="Suma"),Y18+AA18+AC18+AE18,IF(OR(LOOKUP($J18,[1]!CMI[[#All],[CÓDIGO DE INDICADOR]],[1]!CMI[[#All],[TIPO DE FÓRMULA]])="Porcentaje",LOOKUP($J18,[1]!CMI[[#All],[CÓDIGO DE INDICADOR]],[1]!CMI[[#All],[TIPO DE FÓRMULA]])="División"),IF(LOOKUP($J18,[1]!CMI[[#All],[CÓDIGO DE INDICADOR]],[1]!CMI[[#All],[Variable2_2]])+LOOKUP($J18,[1]!CMI[[#All],[CÓDIGO DE INDICADOR]],[1]!CMI[[#All],[Variable2_3]])+LOOKUP($J18,[1]!CMI[[#All],[CÓDIGO DE INDICADOR]],[1]!CMI[[#All],[Variable2_4]])+LOOKUP($J18,[1]!CMI[[#All],[CÓDIGO DE INDICADOR]],[1]!CMI[[#All],[Variable2_5]])=0,0,(LOOKUP($J18,[1]!CMI[[#All],[CÓDIGO DE INDICADOR]],[1]!CMI[[#All],[Variable1_2]])+LOOKUP($J18,[1]!CMI[[#All],[CÓDIGO DE INDICADOR]],[1]!CMI[[#All],[Variable1_3]])+LOOKUP($J18,[1]!CMI[[#All],[CÓDIGO DE INDICADOR]],[1]!CMI[[#All],[Variable1_4]])+LOOKUP($J18,[1]!CMI[[#All],[CÓDIGO DE INDICADOR]],[1]!CMI[[#All],[Variable1_5]]))/(LOOKUP($J18,[1]!CMI[[#All],[CÓDIGO DE INDICADOR]],[1]!CMI[[#All],[Variable2_2]])+LOOKUP($J18,[1]!CMI[[#All],[CÓDIGO DE INDICADOR]],[1]!CMI[[#All],[Variable2_3]])+LOOKUP($J18,[1]!CMI[[#All],[CÓDIGO DE INDICADOR]],[1]!CMI[[#All],[Variable2_4]])+LOOKUP($J18,[1]!CMI[[#All],[CÓDIGO DE INDICADOR]],[1]!CMI[[#All],[Variable2_5]]))),IF(LOOKUP($J18,[1]!CMI[[#All],[CÓDIGO DE INDICADOR]],[1]!CMI[[#All],[TIPO DE FÓRMULA]])="Tasa de variación",LOOKUP($J18,[1]!CMI[[#All],[CÓDIGO DE INDICADOR]],[1]!CMI[[#All],[EjecuciónAcumulada_5]]),0)))</f>
        <v>49478</v>
      </c>
      <c r="AH18" s="12">
        <f>LOOKUP($J18,[1]!CMI[[#All],[CÓDIGO DE INDICADOR]],[1]!CMI[[#All],[Programado_6]])</f>
        <v>0</v>
      </c>
      <c r="AI18" s="12">
        <f>IF(LOOKUP($J18,[1]!CMI[[#All],[CÓDIGO DE INDICADOR]],[1]!CMI[[#All],[Ejecutado_6]])="-",0,LOOKUP($J18,[1]!CMI[[#All],[CÓDIGO DE INDICADOR]],[1]!CMI[[#All],[Ejecutado_6]]))</f>
        <v>16552</v>
      </c>
      <c r="AJ18" s="12">
        <f>LOOKUP($J18,[1]!CMI[[#All],[CÓDIGO DE INDICADOR]],[1]!CMI[[#All],[Programado_7]])</f>
        <v>0</v>
      </c>
      <c r="AK18" s="15">
        <f>IF(LOOKUP($J18,[1]!CMI[[#All],[CÓDIGO DE INDICADOR]],[1]!CMI[[#All],[Ejecutado_7]])="-",0,LOOKUP($J18,[1]!CMI[[#All],[CÓDIGO DE INDICADOR]],[1]!CMI[[#All],[Ejecutado_7]]))</f>
        <v>17617</v>
      </c>
      <c r="AL18" s="15">
        <f>LOOKUP($J18,[1]!CMI[[#All],[CÓDIGO DE INDICADOR]],[1]!CMI[[#All],[Programado_8]])</f>
        <v>0</v>
      </c>
      <c r="AM18" s="15">
        <f>IF(LOOKUP($J18,[1]!CMI[[#All],[CÓDIGO DE INDICADOR]],[1]!CMI[[#All],[Ejecutado_8]])="-",0,LOOKUP($J18,[1]!CMI[[#All],[CÓDIGO DE INDICADOR]],[1]!CMI[[#All],[Ejecutado_8]]))</f>
        <v>0</v>
      </c>
      <c r="AN18" s="15">
        <f>LOOKUP($J18,[1]!CMI[[#All],[CÓDIGO DE INDICADOR]],[1]!CMI[[#All],[Programado_9]])</f>
        <v>47000</v>
      </c>
      <c r="AO18" s="15">
        <f>IF(LOOKUP($J18,[1]!CMI[[#All],[CÓDIGO DE INDICADOR]],[1]!CMI[[#All],[Ejecutado_9]])="-",0,LOOKUP($J18,[1]!CMI[[#All],[CÓDIGO DE INDICADOR]],[1]!CMI[[#All],[Ejecutado_9]]))</f>
        <v>0</v>
      </c>
      <c r="AP18" s="16">
        <f t="shared" si="4"/>
        <v>47000</v>
      </c>
      <c r="AQ18" s="16">
        <f>IF(OR(LOOKUP($J18,[1]!CMI[[#All],[CÓDIGO DE INDICADOR]],[1]!CMI[[#All],[TIPO DE FÓRMULA]])="Valor absoluto",LOOKUP($J18,[1]!CMI[[#All],[CÓDIGO DE INDICADOR]],[1]!CMI[[#All],[TIPO DE FÓRMULA]])="Suma"),AI18+AK18+AM18+AO18,IF(OR(LOOKUP($J18,[1]!CMI[[#All],[CÓDIGO DE INDICADOR]],[1]!CMI[[#All],[TIPO DE FÓRMULA]])="Porcentaje",LOOKUP($J18,[1]!CMI[[#All],[CÓDIGO DE INDICADOR]],[1]!CMI[[#All],[TIPO DE FÓRMULA]])="División"),IF(LOOKUP($J18,[1]!CMI[[#All],[CÓDIGO DE INDICADOR]],[1]!CMI[[#All],[Variable2_6]])+LOOKUP($J18,[1]!CMI[[#All],[CÓDIGO DE INDICADOR]],[1]!CMI[[#All],[Variable2_7]])+LOOKUP($J18,[1]!CMI[[#All],[CÓDIGO DE INDICADOR]],[1]!CMI[[#All],[Variable2_8]])+LOOKUP($J18,[1]!CMI[[#All],[CÓDIGO DE INDICADOR]],[1]!CMI[[#All],[Variable2_9]])=0,0,(LOOKUP($J18,[1]!CMI[[#All],[CÓDIGO DE INDICADOR]],[1]!CMI[[#All],[Variable1_6]])+LOOKUP($J18,[1]!CMI[[#All],[CÓDIGO DE INDICADOR]],[1]!CMI[[#All],[Variable1_7]])+LOOKUP($J18,[1]!CMI[[#All],[CÓDIGO DE INDICADOR]],[1]!CMI[[#All],[Variable1_8]])+LOOKUP($J18,[1]!CMI[[#All],[CÓDIGO DE INDICADOR]],[1]!CMI[[#All],[Variable1_9]]))/(LOOKUP($J18,[1]!CMI[[#All],[CÓDIGO DE INDICADOR]],[1]!CMI[[#All],[Variable2_6]])+LOOKUP($J18,[1]!CMI[[#All],[CÓDIGO DE INDICADOR]],[1]!CMI[[#All],[Variable2_7]])+LOOKUP($J18,[1]!CMI[[#All],[CÓDIGO DE INDICADOR]],[1]!CMI[[#All],[Variable2_8]])+LOOKUP($J18,[1]!CMI[[#All],[CÓDIGO DE INDICADOR]],[1]!CMI[[#All],[Variable2_9]]))),IF(LOOKUP($J18,[1]!CMI[[#All],[CÓDIGO DE INDICADOR]],[1]!CMI[[#All],[TIPO DE FÓRMULA]])="Tasa de variación",LOOKUP($J18,[1]!CMI[[#All],[CÓDIGO DE INDICADOR]],[1]!CMI[[#All],[EjecuciónAcumulada_9]]),0)))</f>
        <v>34169</v>
      </c>
      <c r="AR18" s="12">
        <f>LOOKUP($J18,[1]!CMI[[#All],[CÓDIGO DE INDICADOR]],[1]!CMI[[#All],[Programado_10]])</f>
        <v>0</v>
      </c>
      <c r="AS18" s="12">
        <f>IF(LOOKUP($J18,[1]!CMI[[#All],[CÓDIGO DE INDICADOR]],[1]!CMI[[#All],[Ejecutado_10]])="-",0,LOOKUP($J18,[1]!CMI[[#All],[CÓDIGO DE INDICADOR]],[1]!CMI[[#All],[Ejecutado_10]]))</f>
        <v>0</v>
      </c>
      <c r="AT18" s="12">
        <f>LOOKUP($J18,[1]!CMI[[#All],[CÓDIGO DE INDICADOR]],[1]!CMI[[#All],[Programado_11]])</f>
        <v>0</v>
      </c>
      <c r="AU18" s="15">
        <f>IF(LOOKUP($J18,[1]!CMI[[#All],[CÓDIGO DE INDICADOR]],[1]!CMI[[#All],[Ejecutado_11]])="-",0,LOOKUP($J18,[1]!CMI[[#All],[CÓDIGO DE INDICADOR]],[1]!CMI[[#All],[Ejecutado_11]]))</f>
        <v>0</v>
      </c>
      <c r="AV18" s="15">
        <f>LOOKUP($J18,[1]!CMI[[#All],[CÓDIGO DE INDICADOR]],[1]!CMI[[#All],[Programado_12]])</f>
        <v>0</v>
      </c>
      <c r="AW18" s="15">
        <f>IF(LOOKUP($J18,[1]!CMI[[#All],[CÓDIGO DE INDICADOR]],[1]!CMI[[#All],[Ejecutado_12]])="-",0,LOOKUP($J18,[1]!CMI[[#All],[CÓDIGO DE INDICADOR]],[1]!CMI[[#All],[Ejecutado_12]]))</f>
        <v>0</v>
      </c>
      <c r="AX18" s="15">
        <f>LOOKUP($J18,[1]!CMI[[#All],[CÓDIGO DE INDICADOR]],[1]!CMI[[#All],[Programado_13]])</f>
        <v>25000</v>
      </c>
      <c r="AY18" s="15">
        <f>IF(LOOKUP($J18,[1]!CMI[[#All],[CÓDIGO DE INDICADOR]],[1]!CMI[[#All],[Ejecutado_13]])="-",0,LOOKUP($J18,[1]!CMI[[#All],[CÓDIGO DE INDICADOR]],[1]!CMI[[#All],[Ejecutado_13]]))</f>
        <v>0</v>
      </c>
      <c r="AZ18" s="16">
        <f t="shared" si="5"/>
        <v>25000</v>
      </c>
      <c r="BA18" s="16">
        <f>IF(OR(LOOKUP($J18,[1]!CMI[[#All],[CÓDIGO DE INDICADOR]],[1]!CMI[[#All],[TIPO DE FÓRMULA]])="Valor absoluto",LOOKUP($J18,[1]!CMI[[#All],[CÓDIGO DE INDICADOR]],[1]!CMI[[#All],[TIPO DE FÓRMULA]])="Suma"),AS18+AU18+AW18+AY18,IF(OR(LOOKUP($J18,[1]!CMI[[#All],[CÓDIGO DE INDICADOR]],[1]!CMI[[#All],[TIPO DE FÓRMULA]])="Porcentaje",LOOKUP($J18,[1]!CMI[[#All],[CÓDIGO DE INDICADOR]],[1]!CMI[[#All],[TIPO DE FÓRMULA]])="División"),IF(LOOKUP($J18,[1]!CMI[[#All],[CÓDIGO DE INDICADOR]],[1]!CMI[[#All],[Variable2_10]])+LOOKUP($J18,[1]!CMI[[#All],[CÓDIGO DE INDICADOR]],[1]!CMI[[#All],[Variable2_11]])+LOOKUP($J18,[1]!CMI[[#All],[CÓDIGO DE INDICADOR]],[1]!CMI[[#All],[Variable2_12]])+LOOKUP($J18,[1]!CMI[[#All],[CÓDIGO DE INDICADOR]],[1]!CMI[[#All],[Variable2_13]])=0,0,(LOOKUP($J18,[1]!CMI[[#All],[CÓDIGO DE INDICADOR]],[1]!CMI[[#All],[Variable1_10]])+LOOKUP($J18,[1]!CMI[[#All],[CÓDIGO DE INDICADOR]],[1]!CMI[[#All],[Variable1_11]])+LOOKUP($J18,[1]!CMI[[#All],[CÓDIGO DE INDICADOR]],[1]!CMI[[#All],[Variable1_12]])+LOOKUP($J18,[1]!CMI[[#All],[CÓDIGO DE INDICADOR]],[1]!CMI[[#All],[Variable1_13]]))/(LOOKUP($J18,[1]!CMI[[#All],[CÓDIGO DE INDICADOR]],[1]!CMI[[#All],[Variable2_10]])+LOOKUP($J18,[1]!CMI[[#All],[CÓDIGO DE INDICADOR]],[1]!CMI[[#All],[Variable2_11]])+LOOKUP($J18,[1]!CMI[[#All],[CÓDIGO DE INDICADOR]],[1]!CMI[[#All],[Variable2_12]])+LOOKUP($J18,[1]!CMI[[#All],[CÓDIGO DE INDICADOR]],[1]!CMI[[#All],[Variable2_13]]))),IF(LOOKUP($J18,[1]!CMI[[#All],[CÓDIGO DE INDICADOR]],[1]!CMI[[#All],[TIPO DE FÓRMULA]])="Tasa de variación",LOOKUP($J18,[1]!CMI[[#All],[CÓDIGO DE INDICADOR]],[1]!CMI[[#All],[EjecuciónAcumulada_13]]),0)))</f>
        <v>0</v>
      </c>
      <c r="BB18" s="12">
        <f>LOOKUP($J18,[1]!CMI[[#All],[CÓDIGO DE INDICADOR]],[1]!CMI[[#All],[Programado_14]])</f>
        <v>5000</v>
      </c>
      <c r="BC18" s="12">
        <f>IF(LOOKUP($J18,[1]!CMI[[#All],[CÓDIGO DE INDICADOR]],[1]!CMI[[#All],[Ejecutado_14]])="-",0,LOOKUP($J18,[1]!CMI[[#All],[CÓDIGO DE INDICADOR]],[1]!CMI[[#All],[Ejecutado_14]]))</f>
        <v>0</v>
      </c>
      <c r="BD18" s="12">
        <f>LOOKUP($J18,[1]!CMI[[#All],[CÓDIGO DE INDICADOR]],[1]!CMI[[#All],[Programado_15]])</f>
        <v>0</v>
      </c>
      <c r="BE18" s="15">
        <f>IF(LOOKUP($J18,[1]!CMI[[#All],[CÓDIGO DE INDICADOR]],[1]!CMI[[#All],[Ejecutado_15]])="-",0,LOOKUP($J18,[1]!CMI[[#All],[CÓDIGO DE INDICADOR]],[1]!CMI[[#All],[Ejecutado_15]]))</f>
        <v>0</v>
      </c>
      <c r="BF18" s="15">
        <f>LOOKUP($J18,[1]!CMI[[#All],[CÓDIGO DE INDICADOR]],[1]!CMI[[#All],[Programado_16]])</f>
        <v>0</v>
      </c>
      <c r="BG18" s="15">
        <f>IF(LOOKUP($J18,[1]!CMI[[#All],[CÓDIGO DE INDICADOR]],[1]!CMI[[#All],[Ejecutado_16]])="-",0,LOOKUP($J18,[1]!CMI[[#All],[CÓDIGO DE INDICADOR]],[1]!CMI[[#All],[Ejecutado_16]]))</f>
        <v>0</v>
      </c>
      <c r="BH18" s="15">
        <f>LOOKUP($J18,[1]!CMI[[#All],[CÓDIGO DE INDICADOR]],[1]!CMI[[#All],[Programado_17]])</f>
        <v>0</v>
      </c>
      <c r="BI18" s="15">
        <f>IF(LOOKUP($J18,[1]!CMI[[#All],[CÓDIGO DE INDICADOR]],[1]!CMI[[#All],[Ejecutado_17]])="-",0,LOOKUP($J18,[1]!CMI[[#All],[CÓDIGO DE INDICADOR]],[1]!CMI[[#All],[Ejecutado_17]]))</f>
        <v>0</v>
      </c>
      <c r="BJ18" s="16">
        <f t="shared" si="6"/>
        <v>5000</v>
      </c>
      <c r="BK18" s="16">
        <f>IF(OR(LOOKUP($J18,[1]!CMI[[#All],[CÓDIGO DE INDICADOR]],[1]!CMI[[#All],[TIPO DE FÓRMULA]])="Valor absoluto",LOOKUP($J18,[1]!CMI[[#All],[CÓDIGO DE INDICADOR]],[1]!CMI[[#All],[TIPO DE FÓRMULA]])="Suma"),BC18+BE18+BG18+BI18,IF(OR(LOOKUP($J18,[1]!CMI[[#All],[CÓDIGO DE INDICADOR]],[1]!CMI[[#All],[TIPO DE FÓRMULA]])="Porcentaje",LOOKUP($J18,[1]!CMI[[#All],[CÓDIGO DE INDICADOR]],[1]!CMI[[#All],[TIPO DE FÓRMULA]])="División"),IF(LOOKUP($J18,[1]!CMI[[#All],[CÓDIGO DE INDICADOR]],[1]!CMI[[#All],[Variable2_14]])+LOOKUP($J18,[1]!CMI[[#All],[CÓDIGO DE INDICADOR]],[1]!CMI[[#All],[Variable2_15]])+LOOKUP($J18,[1]!CMI[[#All],[CÓDIGO DE INDICADOR]],[1]!CMI[[#All],[Variable2_16]])+LOOKUP($J18,[1]!CMI[[#All],[CÓDIGO DE INDICADOR]],[1]!CMI[[#All],[Variable2_17]])=0,0,(LOOKUP($J18,[1]!CMI[[#All],[CÓDIGO DE INDICADOR]],[1]!CMI[[#All],[Variable1_14]])+LOOKUP($J18,[1]!CMI[[#All],[CÓDIGO DE INDICADOR]],[1]!CMI[[#All],[Variable1_15]])+LOOKUP($J18,[1]!CMI[[#All],[CÓDIGO DE INDICADOR]],[1]!CMI[[#All],[Variable1_16]])+LOOKUP($J18,[1]!CMI[[#All],[CÓDIGO DE INDICADOR]],[1]!CMI[[#All],[Variable1_17]]))/(LOOKUP($J18,[1]!CMI[[#All],[CÓDIGO DE INDICADOR]],[1]!CMI[[#All],[Variable2_14]])+LOOKUP($J18,[1]!CMI[[#All],[CÓDIGO DE INDICADOR]],[1]!CMI[[#All],[Variable2_15]])+LOOKUP($J18,[1]!CMI[[#All],[CÓDIGO DE INDICADOR]],[1]!CMI[[#All],[Variable2_16]])+LOOKUP($J18,[1]!CMI[[#All],[CÓDIGO DE INDICADOR]],[1]!CMI[[#All],[Variable2_17]]))),IF(LOOKUP($J18,[1]!CMI[[#All],[CÓDIGO DE INDICADOR]],[1]!CMI[[#All],[TIPO DE FÓRMULA]])="Tasa de variación",LOOKUP($J18,[1]!CMI[[#All],[CÓDIGO DE INDICADOR]],[1]!CMI[[#All],[EjecuciónAcumulada_17]]),0)))</f>
        <v>0</v>
      </c>
      <c r="BL18" s="16">
        <f>IF(YEAR($M18)=2016,LOOKUP($J18,[1]!CMI[[#All],[CÓDIGO DE INDICADOR]],[1]!CMI[[#All],[ProgramadoAcumulado_1]]),IF(AND(YEAR($M18)=2017,MONTH($M18)&lt;=3),LOOKUP($J18,[1]!CMI[[#All],[CÓDIGO DE INDICADOR]],[1]!CMI[[#All],[ProgramadoAcumulado_2]]),IF(AND(YEAR($M18)=2017,MONTH($M18)&lt;=6),LOOKUP($J18,[1]!CMI[[#All],[CÓDIGO DE INDICADOR]],[1]!CMI[[#All],[ProgramadoAcumulado_3]]),IF(AND(YEAR($M18)=2017,MONTH($M18)&lt;=9),LOOKUP($J18,[1]!CMI[[#All],[CÓDIGO DE INDICADOR]],[1]!CMI[[#All],[ProgramadoAcumulado_4]]),IF(AND(YEAR($M18)=2017,MONTH($M18)&lt;=12),LOOKUP($J18,[1]!CMI[[#All],[CÓDIGO DE INDICADOR]],[1]!CMI[[#All],[ProgramadoAcumulado_5]]),IF(AND(YEAR($M18)=2018,MONTH($M18)&lt;=3),LOOKUP($J18,[1]!CMI[[#All],[CÓDIGO DE INDICADOR]],[1]!CMI[[#All],[ProgramadoAcumulado_6]]),IF(AND(YEAR($M18)=2018,MONTH($M18)&lt;=6),LOOKUP($J18,[1]!CMI[[#All],[CÓDIGO DE INDICADOR]],[1]!CMI[[#All],[ProgramadoAcumulado_7]]),IF(AND(YEAR($M18)=2018,MONTH($M18)&lt;=9),LOOKUP($J18,[1]!CMI[[#All],[CÓDIGO DE INDICADOR]],[1]!CMI[[#All],[ProgramadoAcumulado_8]]),IF(AND(YEAR($M18)=2018,MONTH($M18)&lt;=12),LOOKUP($J18,[1]!CMI[[#All],[CÓDIGO DE INDICADOR]],[1]!CMI[[#All],[ProgramadoAcumulado_9]]),IF(AND(YEAR($M18)=2019,MONTH($M18)&lt;=3),LOOKUP($J18,[1]!CMI[[#All],[CÓDIGO DE INDICADOR]],[1]!CMI[[#All],[ProgramadoAcumulado_10]]),IF(AND(YEAR($M18)=2019,MONTH($M18)&lt;=6),LOOKUP($J18,[1]!CMI[[#All],[CÓDIGO DE INDICADOR]],[1]!CMI[[#All],[ProgramadoAcumulado_11]]),IF(AND(YEAR($M18)=2019,MONTH($M18)&lt;=9),LOOKUP($J18,[1]!CMI[[#All],[CÓDIGO DE INDICADOR]],[1]!CMI[[#All],[ProgramadoAcumulado_12]]),IF(AND(YEAR($M18)=2019,MONTH($M18)&lt;=12),LOOKUP($J18,[1]!CMI[[#All],[CÓDIGO DE INDICADOR]],[1]!CMI[[#All],[ProgramadoAcumulado_13]]),IF(AND(YEAR($M18)=2020,MONTH($M18)&lt;=3),LOOKUP($J18,[1]!CMI[[#All],[CÓDIGO DE INDICADOR]],[1]!CMI[[#All],[ProgramadoAcumulado_14]]),IF(AND(YEAR($M18)=2020,MONTH($M18)&lt;=6),LOOKUP($J18,[1]!CMI[[#All],[CÓDIGO DE INDICADOR]],[1]!CMI[[#All],[ProgramadoAcumulado_15]]),IF(AND(YEAR($M18)=2020,MONTH($M18)&lt;=9),LOOKUP($J18,[1]!CMI[[#All],[CÓDIGO DE INDICADOR]],[1]!CMI[[#All],[ProgramadoAcumulado_16]]),IF(AND(YEAR($M18)=2020,MONTH($M18)&lt;=12),LOOKUP($J18,[1]!CMI[[#All],[CÓDIGO DE INDICADOR]],[1]!CMI[[#All],[ProgramadoAcumulado_17]]),"N.A")))))))))))))))))</f>
        <v>47000</v>
      </c>
      <c r="BM18" s="16">
        <f>IF(YEAR($M18)=2016,LOOKUP($J18,[1]!CMI[[#All],[CÓDIGO DE INDICADOR]],[1]!CMI[[#All],[EjecuciónAcumulada_1]]),IF(AND(YEAR($M18)=2017,MONTH($M18)&lt;=3),LOOKUP($J18,[1]!CMI[[#All],[CÓDIGO DE INDICADOR]],[1]!CMI[[#All],[EjecuciónAcumulada_2]]),IF(AND(YEAR($M18)=2017,MONTH($M18)&lt;=6),LOOKUP($J18,[1]!CMI[[#All],[CÓDIGO DE INDICADOR]],[1]!CMI[[#All],[EjecuciónAcumulada_3]]),IF(AND(YEAR($M18)=2017,MONTH($M18)&lt;=9),LOOKUP($J18,[1]!CMI[[#All],[CÓDIGO DE INDICADOR]],[1]!CMI[[#All],[EjecuciónAcumulada_4]]),IF(AND(YEAR($M18)=2017,MONTH($M18)&lt;=12),LOOKUP($J18,[1]!CMI[[#All],[CÓDIGO DE INDICADOR]],[1]!CMI[[#All],[EjecuciónAcumulada_5]]),IF(AND(YEAR($M18)=2018,MONTH($M18)&lt;=3),LOOKUP($J18,[1]!CMI[[#All],[CÓDIGO DE INDICADOR]],[1]!CMI[[#All],[EjecuciónAcumulada_6]]),IF(AND(YEAR($M18)=2018,MONTH($M18)&lt;=6),LOOKUP($J18,[1]!CMI[[#All],[CÓDIGO DE INDICADOR]],[1]!CMI[[#All],[EjecuciónAcumulada_7]]),IF(AND(YEAR($M18)=2018,MONTH($M18)&lt;=9),LOOKUP($J18,[1]!CMI[[#All],[CÓDIGO DE INDICADOR]],[1]!CMI[[#All],[EjecuciónAcumulada_8]]),IF(AND(YEAR($M18)=2018,MONTH($M18)&lt;=12),LOOKUP($J18,[1]!CMI[[#All],[CÓDIGO DE INDICADOR]],[1]!CMI[[#All],[EjecuciónAcumulada_9]]),IF(AND(YEAR($M18)=2019,MONTH($M18)&lt;=3),LOOKUP($J18,[1]!CMI[[#All],[CÓDIGO DE INDICADOR]],[1]!CMI[[#All],[EjecuciónAcumulada_10]]),IF(AND(YEAR($M18)=2019,MONTH($M18)&lt;=6),LOOKUP($J18,[1]!CMI[[#All],[CÓDIGO DE INDICADOR]],[1]!CMI[[#All],[EjecuciónAcumulada_11]]),IF(AND(YEAR($M18)=2019,MONTH($M18)&lt;=9),LOOKUP($J18,[1]!CMI[[#All],[CÓDIGO DE INDICADOR]],[1]!CMI[[#All],[EjecuciónAcumulada_12]]),IF(AND(YEAR($M18)=2019,MONTH($M18)&lt;=12),LOOKUP($J18,[1]!CMI[[#All],[CÓDIGO DE INDICADOR]],[1]!CMI[[#All],[EjecuciónAcumulada_13]]),IF(AND(YEAR($M18)=2020,MONTH($M18)&lt;=3),LOOKUP($J18,[1]!CMI[[#All],[CÓDIGO DE INDICADOR]],[1]!CMI[[#All],[EjecuciónAcumulada_14]]),IF(AND(YEAR($M18)=2020,MONTH($M18)&lt;=6),LOOKUP($J18,[1]!CMI[[#All],[CÓDIGO DE INDICADOR]],[1]!CMI[[#All],[EjecuciónAcumulada_15]]),IF(AND(YEAR($M18)=2020,MONTH($M18)&lt;=9),LOOKUP($J18,[1]!CMI[[#All],[CÓDIGO DE INDICADOR]],[1]!CMI[[#All],[EjecuciónAcumulada_16]]),IF(AND(YEAR($M18)=2020,MONTH($M18)&lt;=12),LOOKUP($J18,[1]!CMI[[#All],[CÓDIGO DE INDICADOR]],[1]!CMI[[#All],[EjecuciónAcumulada_17]]),"N.A")))))))))))))))))</f>
        <v>83647</v>
      </c>
      <c r="BN18" s="17">
        <f t="shared" si="7"/>
        <v>1.7797234042553192</v>
      </c>
      <c r="BO18" s="16">
        <f t="shared" si="0"/>
        <v>124000</v>
      </c>
      <c r="BP18" s="68">
        <f t="shared" si="8"/>
        <v>0.67457258064516123</v>
      </c>
    </row>
    <row r="19" spans="2:68" ht="165.75" customHeight="1">
      <c r="B19" s="135"/>
      <c r="C19" s="138"/>
      <c r="D19" s="11" t="str">
        <f>LOOKUP($J19,[1]!CMI[[#All],[CÓDIGO DE INDICADOR]],[1]!CMI[[#All],[NOMBRE DEL INDICADOR]])</f>
        <v>Personas sensibilizadas en prevención de la violencia contra la mujer (Locales)</v>
      </c>
      <c r="E19" s="11" t="str">
        <f>LOOKUP($J19,[1]!CMI[[#All],[CÓDIGO DE INDICADOR]],[1]!CMI[[#All],[FÓRMULA DE CÁLCULO]])</f>
        <v>Numero de personas sensibilizadas</v>
      </c>
      <c r="F19" s="12">
        <f>LOOKUP($J19,[1]!CMI[[#All],[CÓDIGO DE INDICADOR]],[1]!CMI[[#All],[VALOR PROGRAMADO TOTAL]])</f>
        <v>15000</v>
      </c>
      <c r="G19" s="10" t="s">
        <v>104</v>
      </c>
      <c r="H19" s="10" t="s">
        <v>106</v>
      </c>
      <c r="I19" s="11" t="str">
        <f>LOOKUP($J19,[1]!CMI[[#All],[CÓDIGO DE INDICADOR]],[1]!CMI[[#All],[DEPENDENCIA]])</f>
        <v>PERSONERÍA DELEGADA PARA LA COORDINACIÓN DE PERSONERÍAS LOCALES</v>
      </c>
      <c r="J19" s="13" t="s">
        <v>248</v>
      </c>
      <c r="K19" s="11" t="str">
        <f>LOOKUP($J19,[1]!CMI[[#All],[CÓDIGO DE INDICADOR]],[1]!CMI[[#All],[CÁLCULO VALOR PROGRAMADO ACUMULADO]])</f>
        <v>Sumatoria</v>
      </c>
      <c r="L19" s="11" t="str">
        <f>LOOKUP($J19,[1]!CMI[[#All],[CÓDIGO DE INDICADOR]],[1]!CMI[[#All],[TENDENCIA DECRECIENTE]])</f>
        <v>No</v>
      </c>
      <c r="M19" s="14">
        <f>LOOKUP($J19,[1]!CMI[[#All],[CÓDIGO DE INDICADOR]],[1]!CMI[[#All],[FECHA DE CORTE]])</f>
        <v>43281</v>
      </c>
      <c r="N19" s="12">
        <v>0</v>
      </c>
      <c r="O19" s="12">
        <v>0</v>
      </c>
      <c r="P19" s="12">
        <v>0</v>
      </c>
      <c r="Q19" s="15">
        <v>0</v>
      </c>
      <c r="R19" s="15">
        <v>0</v>
      </c>
      <c r="S19" s="15">
        <v>0</v>
      </c>
      <c r="T19" s="15">
        <f>LOOKUP($J19,[1]!CMI[[#All],[CÓDIGO DE INDICADOR]],[1]!CMI[[#All],[Programado_1]])</f>
        <v>0</v>
      </c>
      <c r="U19" s="15">
        <f>IF(LOOKUP($J19,[1]!CMI[[#All],[CÓDIGO DE INDICADOR]],[1]!CMI[[#All],[Ejecutado_1]])="-",0,LOOKUP($J19,[1]!CMI[[#All],[CÓDIGO DE INDICADOR]],[1]!CMI[[#All],[Ejecutado_1]]))</f>
        <v>0</v>
      </c>
      <c r="V19" s="16">
        <f t="shared" si="1"/>
        <v>0</v>
      </c>
      <c r="W19" s="16">
        <f t="shared" si="2"/>
        <v>0</v>
      </c>
      <c r="X19" s="12">
        <f>LOOKUP($J19,[1]!CMI[[#All],[CÓDIGO DE INDICADOR]],[1]!CMI[[#All],[Programado_2]])</f>
        <v>0</v>
      </c>
      <c r="Y19" s="12">
        <f>IF(LOOKUP($J19,[1]!CMI[[#All],[CÓDIGO DE INDICADOR]],[1]!CMI[[#All],[Ejecutado_2]])="-",0,LOOKUP($J19,[1]!CMI[[#All],[CÓDIGO DE INDICADOR]],[1]!CMI[[#All],[Ejecutado_2]]))</f>
        <v>0</v>
      </c>
      <c r="Z19" s="12">
        <f>LOOKUP($J19,[1]!CMI[[#All],[CÓDIGO DE INDICADOR]],[1]!CMI[[#All],[Programado_3]])</f>
        <v>0</v>
      </c>
      <c r="AA19" s="15">
        <f>IF(LOOKUP($J19,[1]!CMI[[#All],[CÓDIGO DE INDICADOR]],[1]!CMI[[#All],[Ejecutado_3]])="-",0,LOOKUP($J19,[1]!CMI[[#All],[CÓDIGO DE INDICADOR]],[1]!CMI[[#All],[Ejecutado_3]]))</f>
        <v>0</v>
      </c>
      <c r="AB19" s="15">
        <f>LOOKUP($J19,[1]!CMI[[#All],[CÓDIGO DE INDICADOR]],[1]!CMI[[#All],[Programado_4]])</f>
        <v>0</v>
      </c>
      <c r="AC19" s="15">
        <f>IF(LOOKUP($J19,[1]!CMI[[#All],[CÓDIGO DE INDICADOR]],[1]!CMI[[#All],[Ejecutado_4]])="-",0,LOOKUP($J19,[1]!CMI[[#All],[CÓDIGO DE INDICADOR]],[1]!CMI[[#All],[Ejecutado_4]]))</f>
        <v>328</v>
      </c>
      <c r="AD19" s="15">
        <f>LOOKUP($J19,[1]!CMI[[#All],[CÓDIGO DE INDICADOR]],[1]!CMI[[#All],[Programado_5]])</f>
        <v>0</v>
      </c>
      <c r="AE19" s="15">
        <f>IF(LOOKUP($J19,[1]!CMI[[#All],[CÓDIGO DE INDICADOR]],[1]!CMI[[#All],[Ejecutado_5]])="-",0,LOOKUP($J19,[1]!CMI[[#All],[CÓDIGO DE INDICADOR]],[1]!CMI[[#All],[Ejecutado_5]]))</f>
        <v>437</v>
      </c>
      <c r="AF19" s="16">
        <f t="shared" si="3"/>
        <v>0</v>
      </c>
      <c r="AG19" s="16">
        <f>IF(OR(LOOKUP($J19,[1]!CMI[[#All],[CÓDIGO DE INDICADOR]],[1]!CMI[[#All],[TIPO DE FÓRMULA]])="Valor absoluto",LOOKUP($J19,[1]!CMI[[#All],[CÓDIGO DE INDICADOR]],[1]!CMI[[#All],[TIPO DE FÓRMULA]])="Suma"),Y19+AA19+AC19+AE19,IF(OR(LOOKUP($J19,[1]!CMI[[#All],[CÓDIGO DE INDICADOR]],[1]!CMI[[#All],[TIPO DE FÓRMULA]])="Porcentaje",LOOKUP($J19,[1]!CMI[[#All],[CÓDIGO DE INDICADOR]],[1]!CMI[[#All],[TIPO DE FÓRMULA]])="División"),IF(LOOKUP($J19,[1]!CMI[[#All],[CÓDIGO DE INDICADOR]],[1]!CMI[[#All],[Variable2_2]])+LOOKUP($J19,[1]!CMI[[#All],[CÓDIGO DE INDICADOR]],[1]!CMI[[#All],[Variable2_3]])+LOOKUP($J19,[1]!CMI[[#All],[CÓDIGO DE INDICADOR]],[1]!CMI[[#All],[Variable2_4]])+LOOKUP($J19,[1]!CMI[[#All],[CÓDIGO DE INDICADOR]],[1]!CMI[[#All],[Variable2_5]])=0,0,(LOOKUP($J19,[1]!CMI[[#All],[CÓDIGO DE INDICADOR]],[1]!CMI[[#All],[Variable1_2]])+LOOKUP($J19,[1]!CMI[[#All],[CÓDIGO DE INDICADOR]],[1]!CMI[[#All],[Variable1_3]])+LOOKUP($J19,[1]!CMI[[#All],[CÓDIGO DE INDICADOR]],[1]!CMI[[#All],[Variable1_4]])+LOOKUP($J19,[1]!CMI[[#All],[CÓDIGO DE INDICADOR]],[1]!CMI[[#All],[Variable1_5]]))/(LOOKUP($J19,[1]!CMI[[#All],[CÓDIGO DE INDICADOR]],[1]!CMI[[#All],[Variable2_2]])+LOOKUP($J19,[1]!CMI[[#All],[CÓDIGO DE INDICADOR]],[1]!CMI[[#All],[Variable2_3]])+LOOKUP($J19,[1]!CMI[[#All],[CÓDIGO DE INDICADOR]],[1]!CMI[[#All],[Variable2_4]])+LOOKUP($J19,[1]!CMI[[#All],[CÓDIGO DE INDICADOR]],[1]!CMI[[#All],[Variable2_5]]))),IF(LOOKUP($J19,[1]!CMI[[#All],[CÓDIGO DE INDICADOR]],[1]!CMI[[#All],[TIPO DE FÓRMULA]])="Tasa de variación",LOOKUP($J19,[1]!CMI[[#All],[CÓDIGO DE INDICADOR]],[1]!CMI[[#All],[EjecuciónAcumulada_5]]),0)))</f>
        <v>765</v>
      </c>
      <c r="AH19" s="12">
        <f>LOOKUP($J19,[1]!CMI[[#All],[CÓDIGO DE INDICADOR]],[1]!CMI[[#All],[Programado_6]])</f>
        <v>1200</v>
      </c>
      <c r="AI19" s="12">
        <f>IF(LOOKUP($J19,[1]!CMI[[#All],[CÓDIGO DE INDICADOR]],[1]!CMI[[#All],[Ejecutado_6]])="-",0,LOOKUP($J19,[1]!CMI[[#All],[CÓDIGO DE INDICADOR]],[1]!CMI[[#All],[Ejecutado_6]]))</f>
        <v>72</v>
      </c>
      <c r="AJ19" s="12">
        <f>LOOKUP($J19,[1]!CMI[[#All],[CÓDIGO DE INDICADOR]],[1]!CMI[[#All],[Programado_7]])</f>
        <v>1200</v>
      </c>
      <c r="AK19" s="15">
        <f>IF(LOOKUP($J19,[1]!CMI[[#All],[CÓDIGO DE INDICADOR]],[1]!CMI[[#All],[Ejecutado_7]])="-",0,LOOKUP($J19,[1]!CMI[[#All],[CÓDIGO DE INDICADOR]],[1]!CMI[[#All],[Ejecutado_7]]))</f>
        <v>1021</v>
      </c>
      <c r="AL19" s="15">
        <f>LOOKUP($J19,[1]!CMI[[#All],[CÓDIGO DE INDICADOR]],[1]!CMI[[#All],[Programado_8]])</f>
        <v>1200</v>
      </c>
      <c r="AM19" s="15">
        <f>IF(LOOKUP($J19,[1]!CMI[[#All],[CÓDIGO DE INDICADOR]],[1]!CMI[[#All],[Ejecutado_8]])="-",0,LOOKUP($J19,[1]!CMI[[#All],[CÓDIGO DE INDICADOR]],[1]!CMI[[#All],[Ejecutado_8]]))</f>
        <v>0</v>
      </c>
      <c r="AN19" s="15">
        <f>LOOKUP($J19,[1]!CMI[[#All],[CÓDIGO DE INDICADOR]],[1]!CMI[[#All],[Programado_9]])</f>
        <v>1200</v>
      </c>
      <c r="AO19" s="15">
        <f>IF(LOOKUP($J19,[1]!CMI[[#All],[CÓDIGO DE INDICADOR]],[1]!CMI[[#All],[Ejecutado_9]])="-",0,LOOKUP($J19,[1]!CMI[[#All],[CÓDIGO DE INDICADOR]],[1]!CMI[[#All],[Ejecutado_9]]))</f>
        <v>0</v>
      </c>
      <c r="AP19" s="16">
        <f t="shared" si="4"/>
        <v>4800</v>
      </c>
      <c r="AQ19" s="16">
        <f>IF(OR(LOOKUP($J19,[1]!CMI[[#All],[CÓDIGO DE INDICADOR]],[1]!CMI[[#All],[TIPO DE FÓRMULA]])="Valor absoluto",LOOKUP($J19,[1]!CMI[[#All],[CÓDIGO DE INDICADOR]],[1]!CMI[[#All],[TIPO DE FÓRMULA]])="Suma"),AI19+AK19+AM19+AO19,IF(OR(LOOKUP($J19,[1]!CMI[[#All],[CÓDIGO DE INDICADOR]],[1]!CMI[[#All],[TIPO DE FÓRMULA]])="Porcentaje",LOOKUP($J19,[1]!CMI[[#All],[CÓDIGO DE INDICADOR]],[1]!CMI[[#All],[TIPO DE FÓRMULA]])="División"),IF(LOOKUP($J19,[1]!CMI[[#All],[CÓDIGO DE INDICADOR]],[1]!CMI[[#All],[Variable2_6]])+LOOKUP($J19,[1]!CMI[[#All],[CÓDIGO DE INDICADOR]],[1]!CMI[[#All],[Variable2_7]])+LOOKUP($J19,[1]!CMI[[#All],[CÓDIGO DE INDICADOR]],[1]!CMI[[#All],[Variable2_8]])+LOOKUP($J19,[1]!CMI[[#All],[CÓDIGO DE INDICADOR]],[1]!CMI[[#All],[Variable2_9]])=0,0,(LOOKUP($J19,[1]!CMI[[#All],[CÓDIGO DE INDICADOR]],[1]!CMI[[#All],[Variable1_6]])+LOOKUP($J19,[1]!CMI[[#All],[CÓDIGO DE INDICADOR]],[1]!CMI[[#All],[Variable1_7]])+LOOKUP($J19,[1]!CMI[[#All],[CÓDIGO DE INDICADOR]],[1]!CMI[[#All],[Variable1_8]])+LOOKUP($J19,[1]!CMI[[#All],[CÓDIGO DE INDICADOR]],[1]!CMI[[#All],[Variable1_9]]))/(LOOKUP($J19,[1]!CMI[[#All],[CÓDIGO DE INDICADOR]],[1]!CMI[[#All],[Variable2_6]])+LOOKUP($J19,[1]!CMI[[#All],[CÓDIGO DE INDICADOR]],[1]!CMI[[#All],[Variable2_7]])+LOOKUP($J19,[1]!CMI[[#All],[CÓDIGO DE INDICADOR]],[1]!CMI[[#All],[Variable2_8]])+LOOKUP($J19,[1]!CMI[[#All],[CÓDIGO DE INDICADOR]],[1]!CMI[[#All],[Variable2_9]]))),IF(LOOKUP($J19,[1]!CMI[[#All],[CÓDIGO DE INDICADOR]],[1]!CMI[[#All],[TIPO DE FÓRMULA]])="Tasa de variación",LOOKUP($J19,[1]!CMI[[#All],[CÓDIGO DE INDICADOR]],[1]!CMI[[#All],[EjecuciónAcumulada_9]]),0)))</f>
        <v>1093</v>
      </c>
      <c r="AR19" s="12">
        <f>LOOKUP($J19,[1]!CMI[[#All],[CÓDIGO DE INDICADOR]],[1]!CMI[[#All],[Programado_10]])</f>
        <v>1200</v>
      </c>
      <c r="AS19" s="12">
        <f>IF(LOOKUP($J19,[1]!CMI[[#All],[CÓDIGO DE INDICADOR]],[1]!CMI[[#All],[Ejecutado_10]])="-",0,LOOKUP($J19,[1]!CMI[[#All],[CÓDIGO DE INDICADOR]],[1]!CMI[[#All],[Ejecutado_10]]))</f>
        <v>0</v>
      </c>
      <c r="AT19" s="12">
        <f>LOOKUP($J19,[1]!CMI[[#All],[CÓDIGO DE INDICADOR]],[1]!CMI[[#All],[Programado_11]])</f>
        <v>1200</v>
      </c>
      <c r="AU19" s="15">
        <f>IF(LOOKUP($J19,[1]!CMI[[#All],[CÓDIGO DE INDICADOR]],[1]!CMI[[#All],[Ejecutado_11]])="-",0,LOOKUP($J19,[1]!CMI[[#All],[CÓDIGO DE INDICADOR]],[1]!CMI[[#All],[Ejecutado_11]]))</f>
        <v>0</v>
      </c>
      <c r="AV19" s="15">
        <f>LOOKUP($J19,[1]!CMI[[#All],[CÓDIGO DE INDICADOR]],[1]!CMI[[#All],[Programado_12]])</f>
        <v>1200</v>
      </c>
      <c r="AW19" s="15">
        <f>IF(LOOKUP($J19,[1]!CMI[[#All],[CÓDIGO DE INDICADOR]],[1]!CMI[[#All],[Ejecutado_12]])="-",0,LOOKUP($J19,[1]!CMI[[#All],[CÓDIGO DE INDICADOR]],[1]!CMI[[#All],[Ejecutado_12]]))</f>
        <v>0</v>
      </c>
      <c r="AX19" s="15">
        <f>LOOKUP($J19,[1]!CMI[[#All],[CÓDIGO DE INDICADOR]],[1]!CMI[[#All],[Programado_13]])</f>
        <v>1200</v>
      </c>
      <c r="AY19" s="15">
        <f>IF(LOOKUP($J19,[1]!CMI[[#All],[CÓDIGO DE INDICADOR]],[1]!CMI[[#All],[Ejecutado_13]])="-",0,LOOKUP($J19,[1]!CMI[[#All],[CÓDIGO DE INDICADOR]],[1]!CMI[[#All],[Ejecutado_13]]))</f>
        <v>0</v>
      </c>
      <c r="AZ19" s="16">
        <f t="shared" si="5"/>
        <v>4800</v>
      </c>
      <c r="BA19" s="16">
        <f>IF(OR(LOOKUP($J19,[1]!CMI[[#All],[CÓDIGO DE INDICADOR]],[1]!CMI[[#All],[TIPO DE FÓRMULA]])="Valor absoluto",LOOKUP($J19,[1]!CMI[[#All],[CÓDIGO DE INDICADOR]],[1]!CMI[[#All],[TIPO DE FÓRMULA]])="Suma"),AS19+AU19+AW19+AY19,IF(OR(LOOKUP($J19,[1]!CMI[[#All],[CÓDIGO DE INDICADOR]],[1]!CMI[[#All],[TIPO DE FÓRMULA]])="Porcentaje",LOOKUP($J19,[1]!CMI[[#All],[CÓDIGO DE INDICADOR]],[1]!CMI[[#All],[TIPO DE FÓRMULA]])="División"),IF(LOOKUP($J19,[1]!CMI[[#All],[CÓDIGO DE INDICADOR]],[1]!CMI[[#All],[Variable2_10]])+LOOKUP($J19,[1]!CMI[[#All],[CÓDIGO DE INDICADOR]],[1]!CMI[[#All],[Variable2_11]])+LOOKUP($J19,[1]!CMI[[#All],[CÓDIGO DE INDICADOR]],[1]!CMI[[#All],[Variable2_12]])+LOOKUP($J19,[1]!CMI[[#All],[CÓDIGO DE INDICADOR]],[1]!CMI[[#All],[Variable2_13]])=0,0,(LOOKUP($J19,[1]!CMI[[#All],[CÓDIGO DE INDICADOR]],[1]!CMI[[#All],[Variable1_10]])+LOOKUP($J19,[1]!CMI[[#All],[CÓDIGO DE INDICADOR]],[1]!CMI[[#All],[Variable1_11]])+LOOKUP($J19,[1]!CMI[[#All],[CÓDIGO DE INDICADOR]],[1]!CMI[[#All],[Variable1_12]])+LOOKUP($J19,[1]!CMI[[#All],[CÓDIGO DE INDICADOR]],[1]!CMI[[#All],[Variable1_13]]))/(LOOKUP($J19,[1]!CMI[[#All],[CÓDIGO DE INDICADOR]],[1]!CMI[[#All],[Variable2_10]])+LOOKUP($J19,[1]!CMI[[#All],[CÓDIGO DE INDICADOR]],[1]!CMI[[#All],[Variable2_11]])+LOOKUP($J19,[1]!CMI[[#All],[CÓDIGO DE INDICADOR]],[1]!CMI[[#All],[Variable2_12]])+LOOKUP($J19,[1]!CMI[[#All],[CÓDIGO DE INDICADOR]],[1]!CMI[[#All],[Variable2_13]]))),IF(LOOKUP($J19,[1]!CMI[[#All],[CÓDIGO DE INDICADOR]],[1]!CMI[[#All],[TIPO DE FÓRMULA]])="Tasa de variación",LOOKUP($J19,[1]!CMI[[#All],[CÓDIGO DE INDICADOR]],[1]!CMI[[#All],[EjecuciónAcumulada_13]]),0)))</f>
        <v>0</v>
      </c>
      <c r="BB19" s="12">
        <f>LOOKUP($J19,[1]!CMI[[#All],[CÓDIGO DE INDICADOR]],[1]!CMI[[#All],[Programado_14]])</f>
        <v>1800</v>
      </c>
      <c r="BC19" s="12">
        <f>IF(LOOKUP($J19,[1]!CMI[[#All],[CÓDIGO DE INDICADOR]],[1]!CMI[[#All],[Ejecutado_14]])="-",0,LOOKUP($J19,[1]!CMI[[#All],[CÓDIGO DE INDICADOR]],[1]!CMI[[#All],[Ejecutado_14]]))</f>
        <v>0</v>
      </c>
      <c r="BD19" s="12">
        <f>LOOKUP($J19,[1]!CMI[[#All],[CÓDIGO DE INDICADOR]],[1]!CMI[[#All],[Programado_15]])</f>
        <v>1200</v>
      </c>
      <c r="BE19" s="15">
        <f>IF(LOOKUP($J19,[1]!CMI[[#All],[CÓDIGO DE INDICADOR]],[1]!CMI[[#All],[Ejecutado_15]])="-",0,LOOKUP($J19,[1]!CMI[[#All],[CÓDIGO DE INDICADOR]],[1]!CMI[[#All],[Ejecutado_15]]))</f>
        <v>0</v>
      </c>
      <c r="BF19" s="15">
        <f>LOOKUP($J19,[1]!CMI[[#All],[CÓDIGO DE INDICADOR]],[1]!CMI[[#All],[Programado_16]])</f>
        <v>1200</v>
      </c>
      <c r="BG19" s="15">
        <f>IF(LOOKUP($J19,[1]!CMI[[#All],[CÓDIGO DE INDICADOR]],[1]!CMI[[#All],[Ejecutado_16]])="-",0,LOOKUP($J19,[1]!CMI[[#All],[CÓDIGO DE INDICADOR]],[1]!CMI[[#All],[Ejecutado_16]]))</f>
        <v>0</v>
      </c>
      <c r="BH19" s="15">
        <f>LOOKUP($J19,[1]!CMI[[#All],[CÓDIGO DE INDICADOR]],[1]!CMI[[#All],[Programado_17]])</f>
        <v>1200</v>
      </c>
      <c r="BI19" s="15">
        <f>IF(LOOKUP($J19,[1]!CMI[[#All],[CÓDIGO DE INDICADOR]],[1]!CMI[[#All],[Ejecutado_17]])="-",0,LOOKUP($J19,[1]!CMI[[#All],[CÓDIGO DE INDICADOR]],[1]!CMI[[#All],[Ejecutado_17]]))</f>
        <v>0</v>
      </c>
      <c r="BJ19" s="16">
        <f t="shared" si="6"/>
        <v>5400</v>
      </c>
      <c r="BK19" s="16">
        <f>IF(OR(LOOKUP($J19,[1]!CMI[[#All],[CÓDIGO DE INDICADOR]],[1]!CMI[[#All],[TIPO DE FÓRMULA]])="Valor absoluto",LOOKUP($J19,[1]!CMI[[#All],[CÓDIGO DE INDICADOR]],[1]!CMI[[#All],[TIPO DE FÓRMULA]])="Suma"),BC19+BE19+BG19+BI19,IF(OR(LOOKUP($J19,[1]!CMI[[#All],[CÓDIGO DE INDICADOR]],[1]!CMI[[#All],[TIPO DE FÓRMULA]])="Porcentaje",LOOKUP($J19,[1]!CMI[[#All],[CÓDIGO DE INDICADOR]],[1]!CMI[[#All],[TIPO DE FÓRMULA]])="División"),IF(LOOKUP($J19,[1]!CMI[[#All],[CÓDIGO DE INDICADOR]],[1]!CMI[[#All],[Variable2_14]])+LOOKUP($J19,[1]!CMI[[#All],[CÓDIGO DE INDICADOR]],[1]!CMI[[#All],[Variable2_15]])+LOOKUP($J19,[1]!CMI[[#All],[CÓDIGO DE INDICADOR]],[1]!CMI[[#All],[Variable2_16]])+LOOKUP($J19,[1]!CMI[[#All],[CÓDIGO DE INDICADOR]],[1]!CMI[[#All],[Variable2_17]])=0,0,(LOOKUP($J19,[1]!CMI[[#All],[CÓDIGO DE INDICADOR]],[1]!CMI[[#All],[Variable1_14]])+LOOKUP($J19,[1]!CMI[[#All],[CÓDIGO DE INDICADOR]],[1]!CMI[[#All],[Variable1_15]])+LOOKUP($J19,[1]!CMI[[#All],[CÓDIGO DE INDICADOR]],[1]!CMI[[#All],[Variable1_16]])+LOOKUP($J19,[1]!CMI[[#All],[CÓDIGO DE INDICADOR]],[1]!CMI[[#All],[Variable1_17]]))/(LOOKUP($J19,[1]!CMI[[#All],[CÓDIGO DE INDICADOR]],[1]!CMI[[#All],[Variable2_14]])+LOOKUP($J19,[1]!CMI[[#All],[CÓDIGO DE INDICADOR]],[1]!CMI[[#All],[Variable2_15]])+LOOKUP($J19,[1]!CMI[[#All],[CÓDIGO DE INDICADOR]],[1]!CMI[[#All],[Variable2_16]])+LOOKUP($J19,[1]!CMI[[#All],[CÓDIGO DE INDICADOR]],[1]!CMI[[#All],[Variable2_17]]))),IF(LOOKUP($J19,[1]!CMI[[#All],[CÓDIGO DE INDICADOR]],[1]!CMI[[#All],[TIPO DE FÓRMULA]])="Tasa de variación",LOOKUP($J19,[1]!CMI[[#All],[CÓDIGO DE INDICADOR]],[1]!CMI[[#All],[EjecuciónAcumulada_17]]),0)))</f>
        <v>0</v>
      </c>
      <c r="BL19" s="16">
        <f>IF(YEAR($M19)=2016,LOOKUP($J19,[1]!CMI[[#All],[CÓDIGO DE INDICADOR]],[1]!CMI[[#All],[ProgramadoAcumulado_1]]),IF(AND(YEAR($M19)=2017,MONTH($M19)&lt;=3),LOOKUP($J19,[1]!CMI[[#All],[CÓDIGO DE INDICADOR]],[1]!CMI[[#All],[ProgramadoAcumulado_2]]),IF(AND(YEAR($M19)=2017,MONTH($M19)&lt;=6),LOOKUP($J19,[1]!CMI[[#All],[CÓDIGO DE INDICADOR]],[1]!CMI[[#All],[ProgramadoAcumulado_3]]),IF(AND(YEAR($M19)=2017,MONTH($M19)&lt;=9),LOOKUP($J19,[1]!CMI[[#All],[CÓDIGO DE INDICADOR]],[1]!CMI[[#All],[ProgramadoAcumulado_4]]),IF(AND(YEAR($M19)=2017,MONTH($M19)&lt;=12),LOOKUP($J19,[1]!CMI[[#All],[CÓDIGO DE INDICADOR]],[1]!CMI[[#All],[ProgramadoAcumulado_5]]),IF(AND(YEAR($M19)=2018,MONTH($M19)&lt;=3),LOOKUP($J19,[1]!CMI[[#All],[CÓDIGO DE INDICADOR]],[1]!CMI[[#All],[ProgramadoAcumulado_6]]),IF(AND(YEAR($M19)=2018,MONTH($M19)&lt;=6),LOOKUP($J19,[1]!CMI[[#All],[CÓDIGO DE INDICADOR]],[1]!CMI[[#All],[ProgramadoAcumulado_7]]),IF(AND(YEAR($M19)=2018,MONTH($M19)&lt;=9),LOOKUP($J19,[1]!CMI[[#All],[CÓDIGO DE INDICADOR]],[1]!CMI[[#All],[ProgramadoAcumulado_8]]),IF(AND(YEAR($M19)=2018,MONTH($M19)&lt;=12),LOOKUP($J19,[1]!CMI[[#All],[CÓDIGO DE INDICADOR]],[1]!CMI[[#All],[ProgramadoAcumulado_9]]),IF(AND(YEAR($M19)=2019,MONTH($M19)&lt;=3),LOOKUP($J19,[1]!CMI[[#All],[CÓDIGO DE INDICADOR]],[1]!CMI[[#All],[ProgramadoAcumulado_10]]),IF(AND(YEAR($M19)=2019,MONTH($M19)&lt;=6),LOOKUP($J19,[1]!CMI[[#All],[CÓDIGO DE INDICADOR]],[1]!CMI[[#All],[ProgramadoAcumulado_11]]),IF(AND(YEAR($M19)=2019,MONTH($M19)&lt;=9),LOOKUP($J19,[1]!CMI[[#All],[CÓDIGO DE INDICADOR]],[1]!CMI[[#All],[ProgramadoAcumulado_12]]),IF(AND(YEAR($M19)=2019,MONTH($M19)&lt;=12),LOOKUP($J19,[1]!CMI[[#All],[CÓDIGO DE INDICADOR]],[1]!CMI[[#All],[ProgramadoAcumulado_13]]),IF(AND(YEAR($M19)=2020,MONTH($M19)&lt;=3),LOOKUP($J19,[1]!CMI[[#All],[CÓDIGO DE INDICADOR]],[1]!CMI[[#All],[ProgramadoAcumulado_14]]),IF(AND(YEAR($M19)=2020,MONTH($M19)&lt;=6),LOOKUP($J19,[1]!CMI[[#All],[CÓDIGO DE INDICADOR]],[1]!CMI[[#All],[ProgramadoAcumulado_15]]),IF(AND(YEAR($M19)=2020,MONTH($M19)&lt;=9),LOOKUP($J19,[1]!CMI[[#All],[CÓDIGO DE INDICADOR]],[1]!CMI[[#All],[ProgramadoAcumulado_16]]),IF(AND(YEAR($M19)=2020,MONTH($M19)&lt;=12),LOOKUP($J19,[1]!CMI[[#All],[CÓDIGO DE INDICADOR]],[1]!CMI[[#All],[ProgramadoAcumulado_17]]),"N.A")))))))))))))))))</f>
        <v>2400</v>
      </c>
      <c r="BM19" s="16">
        <f>IF(YEAR($M19)=2016,LOOKUP($J19,[1]!CMI[[#All],[CÓDIGO DE INDICADOR]],[1]!CMI[[#All],[EjecuciónAcumulada_1]]),IF(AND(YEAR($M19)=2017,MONTH($M19)&lt;=3),LOOKUP($J19,[1]!CMI[[#All],[CÓDIGO DE INDICADOR]],[1]!CMI[[#All],[EjecuciónAcumulada_2]]),IF(AND(YEAR($M19)=2017,MONTH($M19)&lt;=6),LOOKUP($J19,[1]!CMI[[#All],[CÓDIGO DE INDICADOR]],[1]!CMI[[#All],[EjecuciónAcumulada_3]]),IF(AND(YEAR($M19)=2017,MONTH($M19)&lt;=9),LOOKUP($J19,[1]!CMI[[#All],[CÓDIGO DE INDICADOR]],[1]!CMI[[#All],[EjecuciónAcumulada_4]]),IF(AND(YEAR($M19)=2017,MONTH($M19)&lt;=12),LOOKUP($J19,[1]!CMI[[#All],[CÓDIGO DE INDICADOR]],[1]!CMI[[#All],[EjecuciónAcumulada_5]]),IF(AND(YEAR($M19)=2018,MONTH($M19)&lt;=3),LOOKUP($J19,[1]!CMI[[#All],[CÓDIGO DE INDICADOR]],[1]!CMI[[#All],[EjecuciónAcumulada_6]]),IF(AND(YEAR($M19)=2018,MONTH($M19)&lt;=6),LOOKUP($J19,[1]!CMI[[#All],[CÓDIGO DE INDICADOR]],[1]!CMI[[#All],[EjecuciónAcumulada_7]]),IF(AND(YEAR($M19)=2018,MONTH($M19)&lt;=9),LOOKUP($J19,[1]!CMI[[#All],[CÓDIGO DE INDICADOR]],[1]!CMI[[#All],[EjecuciónAcumulada_8]]),IF(AND(YEAR($M19)=2018,MONTH($M19)&lt;=12),LOOKUP($J19,[1]!CMI[[#All],[CÓDIGO DE INDICADOR]],[1]!CMI[[#All],[EjecuciónAcumulada_9]]),IF(AND(YEAR($M19)=2019,MONTH($M19)&lt;=3),LOOKUP($J19,[1]!CMI[[#All],[CÓDIGO DE INDICADOR]],[1]!CMI[[#All],[EjecuciónAcumulada_10]]),IF(AND(YEAR($M19)=2019,MONTH($M19)&lt;=6),LOOKUP($J19,[1]!CMI[[#All],[CÓDIGO DE INDICADOR]],[1]!CMI[[#All],[EjecuciónAcumulada_11]]),IF(AND(YEAR($M19)=2019,MONTH($M19)&lt;=9),LOOKUP($J19,[1]!CMI[[#All],[CÓDIGO DE INDICADOR]],[1]!CMI[[#All],[EjecuciónAcumulada_12]]),IF(AND(YEAR($M19)=2019,MONTH($M19)&lt;=12),LOOKUP($J19,[1]!CMI[[#All],[CÓDIGO DE INDICADOR]],[1]!CMI[[#All],[EjecuciónAcumulada_13]]),IF(AND(YEAR($M19)=2020,MONTH($M19)&lt;=3),LOOKUP($J19,[1]!CMI[[#All],[CÓDIGO DE INDICADOR]],[1]!CMI[[#All],[EjecuciónAcumulada_14]]),IF(AND(YEAR($M19)=2020,MONTH($M19)&lt;=6),LOOKUP($J19,[1]!CMI[[#All],[CÓDIGO DE INDICADOR]],[1]!CMI[[#All],[EjecuciónAcumulada_15]]),IF(AND(YEAR($M19)=2020,MONTH($M19)&lt;=9),LOOKUP($J19,[1]!CMI[[#All],[CÓDIGO DE INDICADOR]],[1]!CMI[[#All],[EjecuciónAcumulada_16]]),IF(AND(YEAR($M19)=2020,MONTH($M19)&lt;=12),LOOKUP($J19,[1]!CMI[[#All],[CÓDIGO DE INDICADOR]],[1]!CMI[[#All],[EjecuciónAcumulada_17]]),"N.A")))))))))))))))))</f>
        <v>1858</v>
      </c>
      <c r="BN19" s="17">
        <f t="shared" si="7"/>
        <v>0.77416666666666667</v>
      </c>
      <c r="BO19" s="16">
        <f t="shared" si="0"/>
        <v>15000</v>
      </c>
      <c r="BP19" s="68">
        <f t="shared" si="8"/>
        <v>0.12386666666666667</v>
      </c>
    </row>
    <row r="20" spans="2:68" ht="140.25" customHeight="1">
      <c r="B20" s="74" t="s">
        <v>108</v>
      </c>
      <c r="C20" s="10" t="s">
        <v>109</v>
      </c>
      <c r="D20" s="11" t="str">
        <f>LOOKUP($J20,[1]!CMI[[#All],[CÓDIGO DE INDICADOR]],[1]!CMI[[#All],[NOMBRE DEL INDICADOR]])</f>
        <v>Informes de seguimiento a las revisiones de impacto a la gestión pública Distrital</v>
      </c>
      <c r="E20" s="11" t="str">
        <f>LOOKUP($J20,[1]!CMI[[#All],[CÓDIGO DE INDICADOR]],[1]!CMI[[#All],[FÓRMULA DE CÁLCULO]])</f>
        <v>Numero de informes elaborados</v>
      </c>
      <c r="F20" s="12">
        <f>LOOKUP($J20,[1]!CMI[[#All],[CÓDIGO DE INDICADOR]],[1]!CMI[[#All],[VALOR PROGRAMADO TOTAL]])</f>
        <v>54</v>
      </c>
      <c r="G20" s="10" t="s">
        <v>110</v>
      </c>
      <c r="H20" s="10" t="s">
        <v>111</v>
      </c>
      <c r="I20" s="11" t="str">
        <f>LOOKUP($J20,[1]!CMI[[#All],[CÓDIGO DE INDICADOR]],[1]!CMI[[#All],[DEPENDENCIA]])</f>
        <v>PERSONERÍA DELEGADA PARA LA COORDINACIÓN DE VEEDURÍAS</v>
      </c>
      <c r="J20" s="13" t="s">
        <v>112</v>
      </c>
      <c r="K20" s="11" t="str">
        <f>LOOKUP($J20,[1]!CMI[[#All],[CÓDIGO DE INDICADOR]],[1]!CMI[[#All],[CÁLCULO VALOR PROGRAMADO ACUMULADO]])</f>
        <v>Sumatoria</v>
      </c>
      <c r="L20" s="11" t="str">
        <f>LOOKUP($J20,[1]!CMI[[#All],[CÓDIGO DE INDICADOR]],[1]!CMI[[#All],[TENDENCIA DECRECIENTE]])</f>
        <v>No</v>
      </c>
      <c r="M20" s="14">
        <f>LOOKUP($J20,[1]!CMI[[#All],[CÓDIGO DE INDICADOR]],[1]!CMI[[#All],[FECHA DE CORTE]])</f>
        <v>43281</v>
      </c>
      <c r="N20" s="12">
        <v>0</v>
      </c>
      <c r="O20" s="12">
        <v>0</v>
      </c>
      <c r="P20" s="12">
        <v>0</v>
      </c>
      <c r="Q20" s="15">
        <v>0</v>
      </c>
      <c r="R20" s="15">
        <v>0</v>
      </c>
      <c r="S20" s="15">
        <v>0</v>
      </c>
      <c r="T20" s="15">
        <f>LOOKUP($J20,[1]!CMI[[#All],[CÓDIGO DE INDICADOR]],[1]!CMI[[#All],[Programado_1]])</f>
        <v>0</v>
      </c>
      <c r="U20" s="15">
        <f>IF(LOOKUP($J20,[1]!CMI[[#All],[CÓDIGO DE INDICADOR]],[1]!CMI[[#All],[Ejecutado_1]])="-",0,LOOKUP($J20,[1]!CMI[[#All],[CÓDIGO DE INDICADOR]],[1]!CMI[[#All],[Ejecutado_1]]))</f>
        <v>0</v>
      </c>
      <c r="V20" s="16">
        <f t="shared" si="1"/>
        <v>0</v>
      </c>
      <c r="W20" s="16">
        <f t="shared" si="2"/>
        <v>0</v>
      </c>
      <c r="X20" s="12">
        <f>LOOKUP($J20,[1]!CMI[[#All],[CÓDIGO DE INDICADOR]],[1]!CMI[[#All],[Programado_2]])</f>
        <v>0</v>
      </c>
      <c r="Y20" s="12">
        <f>IF(LOOKUP($J20,[1]!CMI[[#All],[CÓDIGO DE INDICADOR]],[1]!CMI[[#All],[Ejecutado_2]])="-",0,LOOKUP($J20,[1]!CMI[[#All],[CÓDIGO DE INDICADOR]],[1]!CMI[[#All],[Ejecutado_2]]))</f>
        <v>0</v>
      </c>
      <c r="Z20" s="12">
        <f>LOOKUP($J20,[1]!CMI[[#All],[CÓDIGO DE INDICADOR]],[1]!CMI[[#All],[Programado_3]])</f>
        <v>6</v>
      </c>
      <c r="AA20" s="15">
        <f>IF(LOOKUP($J20,[1]!CMI[[#All],[CÓDIGO DE INDICADOR]],[1]!CMI[[#All],[Ejecutado_3]])="-",0,LOOKUP($J20,[1]!CMI[[#All],[CÓDIGO DE INDICADOR]],[1]!CMI[[#All],[Ejecutado_3]]))</f>
        <v>6</v>
      </c>
      <c r="AB20" s="15">
        <f>LOOKUP($J20,[1]!CMI[[#All],[CÓDIGO DE INDICADOR]],[1]!CMI[[#All],[Programado_4]])</f>
        <v>3</v>
      </c>
      <c r="AC20" s="15">
        <f>IF(LOOKUP($J20,[1]!CMI[[#All],[CÓDIGO DE INDICADOR]],[1]!CMI[[#All],[Ejecutado_4]])="-",0,LOOKUP($J20,[1]!CMI[[#All],[CÓDIGO DE INDICADOR]],[1]!CMI[[#All],[Ejecutado_4]]))</f>
        <v>4</v>
      </c>
      <c r="AD20" s="15">
        <f>LOOKUP($J20,[1]!CMI[[#All],[CÓDIGO DE INDICADOR]],[1]!CMI[[#All],[Programado_5]])</f>
        <v>3</v>
      </c>
      <c r="AE20" s="15">
        <f>IF(LOOKUP($J20,[1]!CMI[[#All],[CÓDIGO DE INDICADOR]],[1]!CMI[[#All],[Ejecutado_5]])="-",0,LOOKUP($J20,[1]!CMI[[#All],[CÓDIGO DE INDICADOR]],[1]!CMI[[#All],[Ejecutado_5]]))</f>
        <v>4</v>
      </c>
      <c r="AF20" s="16">
        <f t="shared" si="3"/>
        <v>12</v>
      </c>
      <c r="AG20" s="16">
        <f>IF(OR(LOOKUP($J20,[1]!CMI[[#All],[CÓDIGO DE INDICADOR]],[1]!CMI[[#All],[TIPO DE FÓRMULA]])="Valor absoluto",LOOKUP($J20,[1]!CMI[[#All],[CÓDIGO DE INDICADOR]],[1]!CMI[[#All],[TIPO DE FÓRMULA]])="Suma"),Y20+AA20+AC20+AE20,IF(OR(LOOKUP($J20,[1]!CMI[[#All],[CÓDIGO DE INDICADOR]],[1]!CMI[[#All],[TIPO DE FÓRMULA]])="Porcentaje",LOOKUP($J20,[1]!CMI[[#All],[CÓDIGO DE INDICADOR]],[1]!CMI[[#All],[TIPO DE FÓRMULA]])="División"),IF(LOOKUP($J20,[1]!CMI[[#All],[CÓDIGO DE INDICADOR]],[1]!CMI[[#All],[Variable2_2]])+LOOKUP($J20,[1]!CMI[[#All],[CÓDIGO DE INDICADOR]],[1]!CMI[[#All],[Variable2_3]])+LOOKUP($J20,[1]!CMI[[#All],[CÓDIGO DE INDICADOR]],[1]!CMI[[#All],[Variable2_4]])+LOOKUP($J20,[1]!CMI[[#All],[CÓDIGO DE INDICADOR]],[1]!CMI[[#All],[Variable2_5]])=0,0,(LOOKUP($J20,[1]!CMI[[#All],[CÓDIGO DE INDICADOR]],[1]!CMI[[#All],[Variable1_2]])+LOOKUP($J20,[1]!CMI[[#All],[CÓDIGO DE INDICADOR]],[1]!CMI[[#All],[Variable1_3]])+LOOKUP($J20,[1]!CMI[[#All],[CÓDIGO DE INDICADOR]],[1]!CMI[[#All],[Variable1_4]])+LOOKUP($J20,[1]!CMI[[#All],[CÓDIGO DE INDICADOR]],[1]!CMI[[#All],[Variable1_5]]))/(LOOKUP($J20,[1]!CMI[[#All],[CÓDIGO DE INDICADOR]],[1]!CMI[[#All],[Variable2_2]])+LOOKUP($J20,[1]!CMI[[#All],[CÓDIGO DE INDICADOR]],[1]!CMI[[#All],[Variable2_3]])+LOOKUP($J20,[1]!CMI[[#All],[CÓDIGO DE INDICADOR]],[1]!CMI[[#All],[Variable2_4]])+LOOKUP($J20,[1]!CMI[[#All],[CÓDIGO DE INDICADOR]],[1]!CMI[[#All],[Variable2_5]]))),IF(LOOKUP($J20,[1]!CMI[[#All],[CÓDIGO DE INDICADOR]],[1]!CMI[[#All],[TIPO DE FÓRMULA]])="Tasa de variación",LOOKUP($J20,[1]!CMI[[#All],[CÓDIGO DE INDICADOR]],[1]!CMI[[#All],[EjecuciónAcumulada_5]]),0)))</f>
        <v>14</v>
      </c>
      <c r="AH20" s="12">
        <f>LOOKUP($J20,[1]!CMI[[#All],[CÓDIGO DE INDICADOR]],[1]!CMI[[#All],[Programado_6]])</f>
        <v>0</v>
      </c>
      <c r="AI20" s="12">
        <f>IF(LOOKUP($J20,[1]!CMI[[#All],[CÓDIGO DE INDICADOR]],[1]!CMI[[#All],[Ejecutado_6]])="-",0,LOOKUP($J20,[1]!CMI[[#All],[CÓDIGO DE INDICADOR]],[1]!CMI[[#All],[Ejecutado_6]]))</f>
        <v>0</v>
      </c>
      <c r="AJ20" s="12">
        <f>LOOKUP($J20,[1]!CMI[[#All],[CÓDIGO DE INDICADOR]],[1]!CMI[[#All],[Programado_7]])</f>
        <v>6</v>
      </c>
      <c r="AK20" s="15">
        <f>IF(LOOKUP($J20,[1]!CMI[[#All],[CÓDIGO DE INDICADOR]],[1]!CMI[[#All],[Ejecutado_7]])="-",0,LOOKUP($J20,[1]!CMI[[#All],[CÓDIGO DE INDICADOR]],[1]!CMI[[#All],[Ejecutado_7]]))</f>
        <v>9</v>
      </c>
      <c r="AL20" s="15">
        <f>LOOKUP($J20,[1]!CMI[[#All],[CÓDIGO DE INDICADOR]],[1]!CMI[[#All],[Programado_8]])</f>
        <v>4</v>
      </c>
      <c r="AM20" s="15">
        <f>IF(LOOKUP($J20,[1]!CMI[[#All],[CÓDIGO DE INDICADOR]],[1]!CMI[[#All],[Ejecutado_8]])="-",0,LOOKUP($J20,[1]!CMI[[#All],[CÓDIGO DE INDICADOR]],[1]!CMI[[#All],[Ejecutado_8]]))</f>
        <v>0</v>
      </c>
      <c r="AN20" s="15">
        <f>LOOKUP($J20,[1]!CMI[[#All],[CÓDIGO DE INDICADOR]],[1]!CMI[[#All],[Programado_9]])</f>
        <v>4</v>
      </c>
      <c r="AO20" s="15">
        <f>IF(LOOKUP($J20,[1]!CMI[[#All],[CÓDIGO DE INDICADOR]],[1]!CMI[[#All],[Ejecutado_9]])="-",0,LOOKUP($J20,[1]!CMI[[#All],[CÓDIGO DE INDICADOR]],[1]!CMI[[#All],[Ejecutado_9]]))</f>
        <v>0</v>
      </c>
      <c r="AP20" s="16">
        <f t="shared" si="4"/>
        <v>14</v>
      </c>
      <c r="AQ20" s="16">
        <f>IF(OR(LOOKUP($J20,[1]!CMI[[#All],[CÓDIGO DE INDICADOR]],[1]!CMI[[#All],[TIPO DE FÓRMULA]])="Valor absoluto",LOOKUP($J20,[1]!CMI[[#All],[CÓDIGO DE INDICADOR]],[1]!CMI[[#All],[TIPO DE FÓRMULA]])="Suma"),AI20+AK20+AM20+AO20,IF(OR(LOOKUP($J20,[1]!CMI[[#All],[CÓDIGO DE INDICADOR]],[1]!CMI[[#All],[TIPO DE FÓRMULA]])="Porcentaje",LOOKUP($J20,[1]!CMI[[#All],[CÓDIGO DE INDICADOR]],[1]!CMI[[#All],[TIPO DE FÓRMULA]])="División"),IF(LOOKUP($J20,[1]!CMI[[#All],[CÓDIGO DE INDICADOR]],[1]!CMI[[#All],[Variable2_6]])+LOOKUP($J20,[1]!CMI[[#All],[CÓDIGO DE INDICADOR]],[1]!CMI[[#All],[Variable2_7]])+LOOKUP($J20,[1]!CMI[[#All],[CÓDIGO DE INDICADOR]],[1]!CMI[[#All],[Variable2_8]])+LOOKUP($J20,[1]!CMI[[#All],[CÓDIGO DE INDICADOR]],[1]!CMI[[#All],[Variable2_9]])=0,0,(LOOKUP($J20,[1]!CMI[[#All],[CÓDIGO DE INDICADOR]],[1]!CMI[[#All],[Variable1_6]])+LOOKUP($J20,[1]!CMI[[#All],[CÓDIGO DE INDICADOR]],[1]!CMI[[#All],[Variable1_7]])+LOOKUP($J20,[1]!CMI[[#All],[CÓDIGO DE INDICADOR]],[1]!CMI[[#All],[Variable1_8]])+LOOKUP($J20,[1]!CMI[[#All],[CÓDIGO DE INDICADOR]],[1]!CMI[[#All],[Variable1_9]]))/(LOOKUP($J20,[1]!CMI[[#All],[CÓDIGO DE INDICADOR]],[1]!CMI[[#All],[Variable2_6]])+LOOKUP($J20,[1]!CMI[[#All],[CÓDIGO DE INDICADOR]],[1]!CMI[[#All],[Variable2_7]])+LOOKUP($J20,[1]!CMI[[#All],[CÓDIGO DE INDICADOR]],[1]!CMI[[#All],[Variable2_8]])+LOOKUP($J20,[1]!CMI[[#All],[CÓDIGO DE INDICADOR]],[1]!CMI[[#All],[Variable2_9]]))),IF(LOOKUP($J20,[1]!CMI[[#All],[CÓDIGO DE INDICADOR]],[1]!CMI[[#All],[TIPO DE FÓRMULA]])="Tasa de variación",LOOKUP($J20,[1]!CMI[[#All],[CÓDIGO DE INDICADOR]],[1]!CMI[[#All],[EjecuciónAcumulada_9]]),0)))</f>
        <v>9</v>
      </c>
      <c r="AR20" s="12">
        <f>LOOKUP($J20,[1]!CMI[[#All],[CÓDIGO DE INDICADOR]],[1]!CMI[[#All],[Programado_10]])</f>
        <v>0</v>
      </c>
      <c r="AS20" s="12">
        <f>IF(LOOKUP($J20,[1]!CMI[[#All],[CÓDIGO DE INDICADOR]],[1]!CMI[[#All],[Ejecutado_10]])="-",0,LOOKUP($J20,[1]!CMI[[#All],[CÓDIGO DE INDICADOR]],[1]!CMI[[#All],[Ejecutado_10]]))</f>
        <v>0</v>
      </c>
      <c r="AT20" s="12">
        <f>LOOKUP($J20,[1]!CMI[[#All],[CÓDIGO DE INDICADOR]],[1]!CMI[[#All],[Programado_11]])</f>
        <v>6</v>
      </c>
      <c r="AU20" s="15">
        <f>IF(LOOKUP($J20,[1]!CMI[[#All],[CÓDIGO DE INDICADOR]],[1]!CMI[[#All],[Ejecutado_11]])="-",0,LOOKUP($J20,[1]!CMI[[#All],[CÓDIGO DE INDICADOR]],[1]!CMI[[#All],[Ejecutado_11]]))</f>
        <v>0</v>
      </c>
      <c r="AV20" s="15">
        <f>LOOKUP($J20,[1]!CMI[[#All],[CÓDIGO DE INDICADOR]],[1]!CMI[[#All],[Programado_12]])</f>
        <v>4</v>
      </c>
      <c r="AW20" s="15">
        <f>IF(LOOKUP($J20,[1]!CMI[[#All],[CÓDIGO DE INDICADOR]],[1]!CMI[[#All],[Ejecutado_12]])="-",0,LOOKUP($J20,[1]!CMI[[#All],[CÓDIGO DE INDICADOR]],[1]!CMI[[#All],[Ejecutado_12]]))</f>
        <v>0</v>
      </c>
      <c r="AX20" s="15">
        <f>LOOKUP($J20,[1]!CMI[[#All],[CÓDIGO DE INDICADOR]],[1]!CMI[[#All],[Programado_13]])</f>
        <v>4</v>
      </c>
      <c r="AY20" s="15">
        <f>IF(LOOKUP($J20,[1]!CMI[[#All],[CÓDIGO DE INDICADOR]],[1]!CMI[[#All],[Ejecutado_13]])="-",0,LOOKUP($J20,[1]!CMI[[#All],[CÓDIGO DE INDICADOR]],[1]!CMI[[#All],[Ejecutado_13]]))</f>
        <v>0</v>
      </c>
      <c r="AZ20" s="16">
        <f t="shared" si="5"/>
        <v>14</v>
      </c>
      <c r="BA20" s="16">
        <f>IF(OR(LOOKUP($J20,[1]!CMI[[#All],[CÓDIGO DE INDICADOR]],[1]!CMI[[#All],[TIPO DE FÓRMULA]])="Valor absoluto",LOOKUP($J20,[1]!CMI[[#All],[CÓDIGO DE INDICADOR]],[1]!CMI[[#All],[TIPO DE FÓRMULA]])="Suma"),AS20+AU20+AW20+AY20,IF(OR(LOOKUP($J20,[1]!CMI[[#All],[CÓDIGO DE INDICADOR]],[1]!CMI[[#All],[TIPO DE FÓRMULA]])="Porcentaje",LOOKUP($J20,[1]!CMI[[#All],[CÓDIGO DE INDICADOR]],[1]!CMI[[#All],[TIPO DE FÓRMULA]])="División"),IF(LOOKUP($J20,[1]!CMI[[#All],[CÓDIGO DE INDICADOR]],[1]!CMI[[#All],[Variable2_10]])+LOOKUP($J20,[1]!CMI[[#All],[CÓDIGO DE INDICADOR]],[1]!CMI[[#All],[Variable2_11]])+LOOKUP($J20,[1]!CMI[[#All],[CÓDIGO DE INDICADOR]],[1]!CMI[[#All],[Variable2_12]])+LOOKUP($J20,[1]!CMI[[#All],[CÓDIGO DE INDICADOR]],[1]!CMI[[#All],[Variable2_13]])=0,0,(LOOKUP($J20,[1]!CMI[[#All],[CÓDIGO DE INDICADOR]],[1]!CMI[[#All],[Variable1_10]])+LOOKUP($J20,[1]!CMI[[#All],[CÓDIGO DE INDICADOR]],[1]!CMI[[#All],[Variable1_11]])+LOOKUP($J20,[1]!CMI[[#All],[CÓDIGO DE INDICADOR]],[1]!CMI[[#All],[Variable1_12]])+LOOKUP($J20,[1]!CMI[[#All],[CÓDIGO DE INDICADOR]],[1]!CMI[[#All],[Variable1_13]]))/(LOOKUP($J20,[1]!CMI[[#All],[CÓDIGO DE INDICADOR]],[1]!CMI[[#All],[Variable2_10]])+LOOKUP($J20,[1]!CMI[[#All],[CÓDIGO DE INDICADOR]],[1]!CMI[[#All],[Variable2_11]])+LOOKUP($J20,[1]!CMI[[#All],[CÓDIGO DE INDICADOR]],[1]!CMI[[#All],[Variable2_12]])+LOOKUP($J20,[1]!CMI[[#All],[CÓDIGO DE INDICADOR]],[1]!CMI[[#All],[Variable2_13]]))),IF(LOOKUP($J20,[1]!CMI[[#All],[CÓDIGO DE INDICADOR]],[1]!CMI[[#All],[TIPO DE FÓRMULA]])="Tasa de variación",LOOKUP($J20,[1]!CMI[[#All],[CÓDIGO DE INDICADOR]],[1]!CMI[[#All],[EjecuciónAcumulada_13]]),0)))</f>
        <v>0</v>
      </c>
      <c r="BB20" s="12">
        <f>LOOKUP($J20,[1]!CMI[[#All],[CÓDIGO DE INDICADOR]],[1]!CMI[[#All],[Programado_14]])</f>
        <v>0</v>
      </c>
      <c r="BC20" s="12">
        <f>IF(LOOKUP($J20,[1]!CMI[[#All],[CÓDIGO DE INDICADOR]],[1]!CMI[[#All],[Ejecutado_14]])="-",0,LOOKUP($J20,[1]!CMI[[#All],[CÓDIGO DE INDICADOR]],[1]!CMI[[#All],[Ejecutado_14]]))</f>
        <v>0</v>
      </c>
      <c r="BD20" s="12">
        <f>LOOKUP($J20,[1]!CMI[[#All],[CÓDIGO DE INDICADOR]],[1]!CMI[[#All],[Programado_15]])</f>
        <v>6</v>
      </c>
      <c r="BE20" s="15">
        <f>IF(LOOKUP($J20,[1]!CMI[[#All],[CÓDIGO DE INDICADOR]],[1]!CMI[[#All],[Ejecutado_15]])="-",0,LOOKUP($J20,[1]!CMI[[#All],[CÓDIGO DE INDICADOR]],[1]!CMI[[#All],[Ejecutado_15]]))</f>
        <v>0</v>
      </c>
      <c r="BF20" s="15">
        <f>LOOKUP($J20,[1]!CMI[[#All],[CÓDIGO DE INDICADOR]],[1]!CMI[[#All],[Programado_16]])</f>
        <v>4</v>
      </c>
      <c r="BG20" s="15">
        <f>IF(LOOKUP($J20,[1]!CMI[[#All],[CÓDIGO DE INDICADOR]],[1]!CMI[[#All],[Ejecutado_16]])="-",0,LOOKUP($J20,[1]!CMI[[#All],[CÓDIGO DE INDICADOR]],[1]!CMI[[#All],[Ejecutado_16]]))</f>
        <v>0</v>
      </c>
      <c r="BH20" s="15">
        <f>LOOKUP($J20,[1]!CMI[[#All],[CÓDIGO DE INDICADOR]],[1]!CMI[[#All],[Programado_17]])</f>
        <v>4</v>
      </c>
      <c r="BI20" s="15">
        <f>IF(LOOKUP($J20,[1]!CMI[[#All],[CÓDIGO DE INDICADOR]],[1]!CMI[[#All],[Ejecutado_17]])="-",0,LOOKUP($J20,[1]!CMI[[#All],[CÓDIGO DE INDICADOR]],[1]!CMI[[#All],[Ejecutado_17]]))</f>
        <v>0</v>
      </c>
      <c r="BJ20" s="16">
        <f t="shared" si="6"/>
        <v>14</v>
      </c>
      <c r="BK20" s="16">
        <f>IF(OR(LOOKUP($J20,[1]!CMI[[#All],[CÓDIGO DE INDICADOR]],[1]!CMI[[#All],[TIPO DE FÓRMULA]])="Valor absoluto",LOOKUP($J20,[1]!CMI[[#All],[CÓDIGO DE INDICADOR]],[1]!CMI[[#All],[TIPO DE FÓRMULA]])="Suma"),BC20+BE20+BG20+BI20,IF(OR(LOOKUP($J20,[1]!CMI[[#All],[CÓDIGO DE INDICADOR]],[1]!CMI[[#All],[TIPO DE FÓRMULA]])="Porcentaje",LOOKUP($J20,[1]!CMI[[#All],[CÓDIGO DE INDICADOR]],[1]!CMI[[#All],[TIPO DE FÓRMULA]])="División"),IF(LOOKUP($J20,[1]!CMI[[#All],[CÓDIGO DE INDICADOR]],[1]!CMI[[#All],[Variable2_14]])+LOOKUP($J20,[1]!CMI[[#All],[CÓDIGO DE INDICADOR]],[1]!CMI[[#All],[Variable2_15]])+LOOKUP($J20,[1]!CMI[[#All],[CÓDIGO DE INDICADOR]],[1]!CMI[[#All],[Variable2_16]])+LOOKUP($J20,[1]!CMI[[#All],[CÓDIGO DE INDICADOR]],[1]!CMI[[#All],[Variable2_17]])=0,0,(LOOKUP($J20,[1]!CMI[[#All],[CÓDIGO DE INDICADOR]],[1]!CMI[[#All],[Variable1_14]])+LOOKUP($J20,[1]!CMI[[#All],[CÓDIGO DE INDICADOR]],[1]!CMI[[#All],[Variable1_15]])+LOOKUP($J20,[1]!CMI[[#All],[CÓDIGO DE INDICADOR]],[1]!CMI[[#All],[Variable1_16]])+LOOKUP($J20,[1]!CMI[[#All],[CÓDIGO DE INDICADOR]],[1]!CMI[[#All],[Variable1_17]]))/(LOOKUP($J20,[1]!CMI[[#All],[CÓDIGO DE INDICADOR]],[1]!CMI[[#All],[Variable2_14]])+LOOKUP($J20,[1]!CMI[[#All],[CÓDIGO DE INDICADOR]],[1]!CMI[[#All],[Variable2_15]])+LOOKUP($J20,[1]!CMI[[#All],[CÓDIGO DE INDICADOR]],[1]!CMI[[#All],[Variable2_16]])+LOOKUP($J20,[1]!CMI[[#All],[CÓDIGO DE INDICADOR]],[1]!CMI[[#All],[Variable2_17]]))),IF(LOOKUP($J20,[1]!CMI[[#All],[CÓDIGO DE INDICADOR]],[1]!CMI[[#All],[TIPO DE FÓRMULA]])="Tasa de variación",LOOKUP($J20,[1]!CMI[[#All],[CÓDIGO DE INDICADOR]],[1]!CMI[[#All],[EjecuciónAcumulada_17]]),0)))</f>
        <v>0</v>
      </c>
      <c r="BL20" s="16">
        <f>IF(YEAR($M20)=2016,LOOKUP($J20,[1]!CMI[[#All],[CÓDIGO DE INDICADOR]],[1]!CMI[[#All],[ProgramadoAcumulado_1]]),IF(AND(YEAR($M20)=2017,MONTH($M20)&lt;=3),LOOKUP($J20,[1]!CMI[[#All],[CÓDIGO DE INDICADOR]],[1]!CMI[[#All],[ProgramadoAcumulado_2]]),IF(AND(YEAR($M20)=2017,MONTH($M20)&lt;=6),LOOKUP($J20,[1]!CMI[[#All],[CÓDIGO DE INDICADOR]],[1]!CMI[[#All],[ProgramadoAcumulado_3]]),IF(AND(YEAR($M20)=2017,MONTH($M20)&lt;=9),LOOKUP($J20,[1]!CMI[[#All],[CÓDIGO DE INDICADOR]],[1]!CMI[[#All],[ProgramadoAcumulado_4]]),IF(AND(YEAR($M20)=2017,MONTH($M20)&lt;=12),LOOKUP($J20,[1]!CMI[[#All],[CÓDIGO DE INDICADOR]],[1]!CMI[[#All],[ProgramadoAcumulado_5]]),IF(AND(YEAR($M20)=2018,MONTH($M20)&lt;=3),LOOKUP($J20,[1]!CMI[[#All],[CÓDIGO DE INDICADOR]],[1]!CMI[[#All],[ProgramadoAcumulado_6]]),IF(AND(YEAR($M20)=2018,MONTH($M20)&lt;=6),LOOKUP($J20,[1]!CMI[[#All],[CÓDIGO DE INDICADOR]],[1]!CMI[[#All],[ProgramadoAcumulado_7]]),IF(AND(YEAR($M20)=2018,MONTH($M20)&lt;=9),LOOKUP($J20,[1]!CMI[[#All],[CÓDIGO DE INDICADOR]],[1]!CMI[[#All],[ProgramadoAcumulado_8]]),IF(AND(YEAR($M20)=2018,MONTH($M20)&lt;=12),LOOKUP($J20,[1]!CMI[[#All],[CÓDIGO DE INDICADOR]],[1]!CMI[[#All],[ProgramadoAcumulado_9]]),IF(AND(YEAR($M20)=2019,MONTH($M20)&lt;=3),LOOKUP($J20,[1]!CMI[[#All],[CÓDIGO DE INDICADOR]],[1]!CMI[[#All],[ProgramadoAcumulado_10]]),IF(AND(YEAR($M20)=2019,MONTH($M20)&lt;=6),LOOKUP($J20,[1]!CMI[[#All],[CÓDIGO DE INDICADOR]],[1]!CMI[[#All],[ProgramadoAcumulado_11]]),IF(AND(YEAR($M20)=2019,MONTH($M20)&lt;=9),LOOKUP($J20,[1]!CMI[[#All],[CÓDIGO DE INDICADOR]],[1]!CMI[[#All],[ProgramadoAcumulado_12]]),IF(AND(YEAR($M20)=2019,MONTH($M20)&lt;=12),LOOKUP($J20,[1]!CMI[[#All],[CÓDIGO DE INDICADOR]],[1]!CMI[[#All],[ProgramadoAcumulado_13]]),IF(AND(YEAR($M20)=2020,MONTH($M20)&lt;=3),LOOKUP($J20,[1]!CMI[[#All],[CÓDIGO DE INDICADOR]],[1]!CMI[[#All],[ProgramadoAcumulado_14]]),IF(AND(YEAR($M20)=2020,MONTH($M20)&lt;=6),LOOKUP($J20,[1]!CMI[[#All],[CÓDIGO DE INDICADOR]],[1]!CMI[[#All],[ProgramadoAcumulado_15]]),IF(AND(YEAR($M20)=2020,MONTH($M20)&lt;=9),LOOKUP($J20,[1]!CMI[[#All],[CÓDIGO DE INDICADOR]],[1]!CMI[[#All],[ProgramadoAcumulado_16]]),IF(AND(YEAR($M20)=2020,MONTH($M20)&lt;=12),LOOKUP($J20,[1]!CMI[[#All],[CÓDIGO DE INDICADOR]],[1]!CMI[[#All],[ProgramadoAcumulado_17]]),"N.A")))))))))))))))))</f>
        <v>18</v>
      </c>
      <c r="BM20" s="16">
        <f>IF(YEAR($M20)=2016,LOOKUP($J20,[1]!CMI[[#All],[CÓDIGO DE INDICADOR]],[1]!CMI[[#All],[EjecuciónAcumulada_1]]),IF(AND(YEAR($M20)=2017,MONTH($M20)&lt;=3),LOOKUP($J20,[1]!CMI[[#All],[CÓDIGO DE INDICADOR]],[1]!CMI[[#All],[EjecuciónAcumulada_2]]),IF(AND(YEAR($M20)=2017,MONTH($M20)&lt;=6),LOOKUP($J20,[1]!CMI[[#All],[CÓDIGO DE INDICADOR]],[1]!CMI[[#All],[EjecuciónAcumulada_3]]),IF(AND(YEAR($M20)=2017,MONTH($M20)&lt;=9),LOOKUP($J20,[1]!CMI[[#All],[CÓDIGO DE INDICADOR]],[1]!CMI[[#All],[EjecuciónAcumulada_4]]),IF(AND(YEAR($M20)=2017,MONTH($M20)&lt;=12),LOOKUP($J20,[1]!CMI[[#All],[CÓDIGO DE INDICADOR]],[1]!CMI[[#All],[EjecuciónAcumulada_5]]),IF(AND(YEAR($M20)=2018,MONTH($M20)&lt;=3),LOOKUP($J20,[1]!CMI[[#All],[CÓDIGO DE INDICADOR]],[1]!CMI[[#All],[EjecuciónAcumulada_6]]),IF(AND(YEAR($M20)=2018,MONTH($M20)&lt;=6),LOOKUP($J20,[1]!CMI[[#All],[CÓDIGO DE INDICADOR]],[1]!CMI[[#All],[EjecuciónAcumulada_7]]),IF(AND(YEAR($M20)=2018,MONTH($M20)&lt;=9),LOOKUP($J20,[1]!CMI[[#All],[CÓDIGO DE INDICADOR]],[1]!CMI[[#All],[EjecuciónAcumulada_8]]),IF(AND(YEAR($M20)=2018,MONTH($M20)&lt;=12),LOOKUP($J20,[1]!CMI[[#All],[CÓDIGO DE INDICADOR]],[1]!CMI[[#All],[EjecuciónAcumulada_9]]),IF(AND(YEAR($M20)=2019,MONTH($M20)&lt;=3),LOOKUP($J20,[1]!CMI[[#All],[CÓDIGO DE INDICADOR]],[1]!CMI[[#All],[EjecuciónAcumulada_10]]),IF(AND(YEAR($M20)=2019,MONTH($M20)&lt;=6),LOOKUP($J20,[1]!CMI[[#All],[CÓDIGO DE INDICADOR]],[1]!CMI[[#All],[EjecuciónAcumulada_11]]),IF(AND(YEAR($M20)=2019,MONTH($M20)&lt;=9),LOOKUP($J20,[1]!CMI[[#All],[CÓDIGO DE INDICADOR]],[1]!CMI[[#All],[EjecuciónAcumulada_12]]),IF(AND(YEAR($M20)=2019,MONTH($M20)&lt;=12),LOOKUP($J20,[1]!CMI[[#All],[CÓDIGO DE INDICADOR]],[1]!CMI[[#All],[EjecuciónAcumulada_13]]),IF(AND(YEAR($M20)=2020,MONTH($M20)&lt;=3),LOOKUP($J20,[1]!CMI[[#All],[CÓDIGO DE INDICADOR]],[1]!CMI[[#All],[EjecuciónAcumulada_14]]),IF(AND(YEAR($M20)=2020,MONTH($M20)&lt;=6),LOOKUP($J20,[1]!CMI[[#All],[CÓDIGO DE INDICADOR]],[1]!CMI[[#All],[EjecuciónAcumulada_15]]),IF(AND(YEAR($M20)=2020,MONTH($M20)&lt;=9),LOOKUP($J20,[1]!CMI[[#All],[CÓDIGO DE INDICADOR]],[1]!CMI[[#All],[EjecuciónAcumulada_16]]),IF(AND(YEAR($M20)=2020,MONTH($M20)&lt;=12),LOOKUP($J20,[1]!CMI[[#All],[CÓDIGO DE INDICADOR]],[1]!CMI[[#All],[EjecuciónAcumulada_17]]),"N.A")))))))))))))))))</f>
        <v>23</v>
      </c>
      <c r="BN20" s="17">
        <f t="shared" si="7"/>
        <v>1.2777777777777777</v>
      </c>
      <c r="BO20" s="16">
        <f t="shared" si="0"/>
        <v>54</v>
      </c>
      <c r="BP20" s="68">
        <f t="shared" si="8"/>
        <v>0.42592592592592593</v>
      </c>
    </row>
    <row r="21" spans="2:68" ht="409.6" customHeight="1">
      <c r="B21" s="76" t="s">
        <v>113</v>
      </c>
      <c r="C21" s="10" t="s">
        <v>114</v>
      </c>
      <c r="D21" s="11" t="str">
        <f>LOOKUP($J21,[1]!CMI[[#All],[CÓDIGO DE INDICADOR]],[1]!CMI[[#All],[NOMBRE DEL INDICADOR]])</f>
        <v>Mecanismos de difusión en Derecho Disciplinario Generados</v>
      </c>
      <c r="E21" s="11" t="str">
        <f>LOOKUP($J21,[1]!CMI[[#All],[CÓDIGO DE INDICADOR]],[1]!CMI[[#All],[FÓRMULA DE CÁLCULO]])</f>
        <v xml:space="preserve">No. de espacios y escenarios de difusión adelantados </v>
      </c>
      <c r="F21" s="12">
        <f>LOOKUP($J21,[1]!CMI[[#All],[CÓDIGO DE INDICADOR]],[1]!CMI[[#All],[VALOR PROGRAMADO TOTAL]])</f>
        <v>18</v>
      </c>
      <c r="G21" s="10" t="s">
        <v>115</v>
      </c>
      <c r="H21" s="10" t="s">
        <v>116</v>
      </c>
      <c r="I21" s="11" t="str">
        <f>LOOKUP($J21,[1]!CMI[[#All],[CÓDIGO DE INDICADOR]],[1]!CMI[[#All],[DEPENDENCIA]])</f>
        <v>Personería Delegada para la Coordinación de Asuntos Disciplinarios</v>
      </c>
      <c r="J21" s="13" t="s">
        <v>249</v>
      </c>
      <c r="K21" s="11" t="str">
        <f>LOOKUP($J21,[1]!CMI[[#All],[CÓDIGO DE INDICADOR]],[1]!CMI[[#All],[CÁLCULO VALOR PROGRAMADO ACUMULADO]])</f>
        <v>Sumatoria</v>
      </c>
      <c r="L21" s="11" t="str">
        <f>LOOKUP($J21,[1]!CMI[[#All],[CÓDIGO DE INDICADOR]],[1]!CMI[[#All],[TENDENCIA DECRECIENTE]])</f>
        <v>No</v>
      </c>
      <c r="M21" s="14">
        <f>LOOKUP($J21,[1]!CMI[[#All],[CÓDIGO DE INDICADOR]],[1]!CMI[[#All],[FECHA DE CORTE]])</f>
        <v>43281</v>
      </c>
      <c r="N21" s="12">
        <v>0</v>
      </c>
      <c r="O21" s="12">
        <v>0</v>
      </c>
      <c r="P21" s="12">
        <v>0</v>
      </c>
      <c r="Q21" s="15">
        <v>0</v>
      </c>
      <c r="R21" s="15">
        <v>0</v>
      </c>
      <c r="S21" s="15">
        <v>0</v>
      </c>
      <c r="T21" s="15">
        <f>LOOKUP($J21,[1]!CMI[[#All],[CÓDIGO DE INDICADOR]],[1]!CMI[[#All],[Programado_1]])</f>
        <v>1</v>
      </c>
      <c r="U21" s="15">
        <f>IF(LOOKUP($J21,[1]!CMI[[#All],[CÓDIGO DE INDICADOR]],[1]!CMI[[#All],[Ejecutado_1]])="-",0,LOOKUP($J21,[1]!CMI[[#All],[CÓDIGO DE INDICADOR]],[1]!CMI[[#All],[Ejecutado_1]]))</f>
        <v>1</v>
      </c>
      <c r="V21" s="16">
        <f t="shared" si="1"/>
        <v>1</v>
      </c>
      <c r="W21" s="16">
        <f t="shared" si="2"/>
        <v>1</v>
      </c>
      <c r="X21" s="12">
        <f>LOOKUP($J21,[1]!CMI[[#All],[CÓDIGO DE INDICADOR]],[1]!CMI[[#All],[Programado_2]])</f>
        <v>1</v>
      </c>
      <c r="Y21" s="12">
        <f>IF(LOOKUP($J21,[1]!CMI[[#All],[CÓDIGO DE INDICADOR]],[1]!CMI[[#All],[Ejecutado_2]])="-",0,LOOKUP($J21,[1]!CMI[[#All],[CÓDIGO DE INDICADOR]],[1]!CMI[[#All],[Ejecutado_2]]))</f>
        <v>1</v>
      </c>
      <c r="Z21" s="12">
        <f>LOOKUP($J21,[1]!CMI[[#All],[CÓDIGO DE INDICADOR]],[1]!CMI[[#All],[Programado_3]])</f>
        <v>1</v>
      </c>
      <c r="AA21" s="15">
        <f>IF(LOOKUP($J21,[1]!CMI[[#All],[CÓDIGO DE INDICADOR]],[1]!CMI[[#All],[Ejecutado_3]])="-",0,LOOKUP($J21,[1]!CMI[[#All],[CÓDIGO DE INDICADOR]],[1]!CMI[[#All],[Ejecutado_3]]))</f>
        <v>1</v>
      </c>
      <c r="AB21" s="15">
        <f>LOOKUP($J21,[1]!CMI[[#All],[CÓDIGO DE INDICADOR]],[1]!CMI[[#All],[Programado_4]])</f>
        <v>1</v>
      </c>
      <c r="AC21" s="15">
        <f>IF(LOOKUP($J21,[1]!CMI[[#All],[CÓDIGO DE INDICADOR]],[1]!CMI[[#All],[Ejecutado_4]])="-",0,LOOKUP($J21,[1]!CMI[[#All],[CÓDIGO DE INDICADOR]],[1]!CMI[[#All],[Ejecutado_4]]))</f>
        <v>1</v>
      </c>
      <c r="AD21" s="15">
        <f>LOOKUP($J21,[1]!CMI[[#All],[CÓDIGO DE INDICADOR]],[1]!CMI[[#All],[Programado_5]])</f>
        <v>0</v>
      </c>
      <c r="AE21" s="15">
        <f>IF(LOOKUP($J21,[1]!CMI[[#All],[CÓDIGO DE INDICADOR]],[1]!CMI[[#All],[Ejecutado_5]])="-",0,LOOKUP($J21,[1]!CMI[[#All],[CÓDIGO DE INDICADOR]],[1]!CMI[[#All],[Ejecutado_5]]))</f>
        <v>0</v>
      </c>
      <c r="AF21" s="16">
        <f t="shared" si="3"/>
        <v>3</v>
      </c>
      <c r="AG21" s="16">
        <f>IF(OR(LOOKUP($J21,[1]!CMI[[#All],[CÓDIGO DE INDICADOR]],[1]!CMI[[#All],[TIPO DE FÓRMULA]])="Valor absoluto",LOOKUP($J21,[1]!CMI[[#All],[CÓDIGO DE INDICADOR]],[1]!CMI[[#All],[TIPO DE FÓRMULA]])="Suma"),Y21+AA21+AC21+AE21,IF(OR(LOOKUP($J21,[1]!CMI[[#All],[CÓDIGO DE INDICADOR]],[1]!CMI[[#All],[TIPO DE FÓRMULA]])="Porcentaje",LOOKUP($J21,[1]!CMI[[#All],[CÓDIGO DE INDICADOR]],[1]!CMI[[#All],[TIPO DE FÓRMULA]])="División"),IF(LOOKUP($J21,[1]!CMI[[#All],[CÓDIGO DE INDICADOR]],[1]!CMI[[#All],[Variable2_2]])+LOOKUP($J21,[1]!CMI[[#All],[CÓDIGO DE INDICADOR]],[1]!CMI[[#All],[Variable2_3]])+LOOKUP($J21,[1]!CMI[[#All],[CÓDIGO DE INDICADOR]],[1]!CMI[[#All],[Variable2_4]])+LOOKUP($J21,[1]!CMI[[#All],[CÓDIGO DE INDICADOR]],[1]!CMI[[#All],[Variable2_5]])=0,0,(LOOKUP($J21,[1]!CMI[[#All],[CÓDIGO DE INDICADOR]],[1]!CMI[[#All],[Variable1_2]])+LOOKUP($J21,[1]!CMI[[#All],[CÓDIGO DE INDICADOR]],[1]!CMI[[#All],[Variable1_3]])+LOOKUP($J21,[1]!CMI[[#All],[CÓDIGO DE INDICADOR]],[1]!CMI[[#All],[Variable1_4]])+LOOKUP($J21,[1]!CMI[[#All],[CÓDIGO DE INDICADOR]],[1]!CMI[[#All],[Variable1_5]]))/(LOOKUP($J21,[1]!CMI[[#All],[CÓDIGO DE INDICADOR]],[1]!CMI[[#All],[Variable2_2]])+LOOKUP($J21,[1]!CMI[[#All],[CÓDIGO DE INDICADOR]],[1]!CMI[[#All],[Variable2_3]])+LOOKUP($J21,[1]!CMI[[#All],[CÓDIGO DE INDICADOR]],[1]!CMI[[#All],[Variable2_4]])+LOOKUP($J21,[1]!CMI[[#All],[CÓDIGO DE INDICADOR]],[1]!CMI[[#All],[Variable2_5]]))),IF(LOOKUP($J21,[1]!CMI[[#All],[CÓDIGO DE INDICADOR]],[1]!CMI[[#All],[TIPO DE FÓRMULA]])="Tasa de variación",LOOKUP($J21,[1]!CMI[[#All],[CÓDIGO DE INDICADOR]],[1]!CMI[[#All],[EjecuciónAcumulada_5]]),0)))</f>
        <v>3</v>
      </c>
      <c r="AH21" s="12">
        <f>LOOKUP($J21,[1]!CMI[[#All],[CÓDIGO DE INDICADOR]],[1]!CMI[[#All],[Programado_6]])</f>
        <v>0</v>
      </c>
      <c r="AI21" s="12">
        <f>IF(LOOKUP($J21,[1]!CMI[[#All],[CÓDIGO DE INDICADOR]],[1]!CMI[[#All],[Ejecutado_6]])="-",0,LOOKUP($J21,[1]!CMI[[#All],[CÓDIGO DE INDICADOR]],[1]!CMI[[#All],[Ejecutado_6]]))</f>
        <v>0</v>
      </c>
      <c r="AJ21" s="12">
        <f>LOOKUP($J21,[1]!CMI[[#All],[CÓDIGO DE INDICADOR]],[1]!CMI[[#All],[Programado_7]])</f>
        <v>3</v>
      </c>
      <c r="AK21" s="15">
        <f>IF(LOOKUP($J21,[1]!CMI[[#All],[CÓDIGO DE INDICADOR]],[1]!CMI[[#All],[Ejecutado_7]])="-",0,LOOKUP($J21,[1]!CMI[[#All],[CÓDIGO DE INDICADOR]],[1]!CMI[[#All],[Ejecutado_7]]))</f>
        <v>2</v>
      </c>
      <c r="AL21" s="15">
        <f>LOOKUP($J21,[1]!CMI[[#All],[CÓDIGO DE INDICADOR]],[1]!CMI[[#All],[Programado_8]])</f>
        <v>2</v>
      </c>
      <c r="AM21" s="15">
        <f>IF(LOOKUP($J21,[1]!CMI[[#All],[CÓDIGO DE INDICADOR]],[1]!CMI[[#All],[Ejecutado_8]])="-",0,LOOKUP($J21,[1]!CMI[[#All],[CÓDIGO DE INDICADOR]],[1]!CMI[[#All],[Ejecutado_8]]))</f>
        <v>0</v>
      </c>
      <c r="AN21" s="15">
        <f>LOOKUP($J21,[1]!CMI[[#All],[CÓDIGO DE INDICADOR]],[1]!CMI[[#All],[Programado_9]])</f>
        <v>1</v>
      </c>
      <c r="AO21" s="15">
        <f>IF(LOOKUP($J21,[1]!CMI[[#All],[CÓDIGO DE INDICADOR]],[1]!CMI[[#All],[Ejecutado_9]])="-",0,LOOKUP($J21,[1]!CMI[[#All],[CÓDIGO DE INDICADOR]],[1]!CMI[[#All],[Ejecutado_9]]))</f>
        <v>0</v>
      </c>
      <c r="AP21" s="16">
        <f t="shared" si="4"/>
        <v>6</v>
      </c>
      <c r="AQ21" s="16">
        <f>IF(OR(LOOKUP($J21,[1]!CMI[[#All],[CÓDIGO DE INDICADOR]],[1]!CMI[[#All],[TIPO DE FÓRMULA]])="Valor absoluto",LOOKUP($J21,[1]!CMI[[#All],[CÓDIGO DE INDICADOR]],[1]!CMI[[#All],[TIPO DE FÓRMULA]])="Suma"),AI21+AK21+AM21+AO21,IF(OR(LOOKUP($J21,[1]!CMI[[#All],[CÓDIGO DE INDICADOR]],[1]!CMI[[#All],[TIPO DE FÓRMULA]])="Porcentaje",LOOKUP($J21,[1]!CMI[[#All],[CÓDIGO DE INDICADOR]],[1]!CMI[[#All],[TIPO DE FÓRMULA]])="División"),IF(LOOKUP($J21,[1]!CMI[[#All],[CÓDIGO DE INDICADOR]],[1]!CMI[[#All],[Variable2_6]])+LOOKUP($J21,[1]!CMI[[#All],[CÓDIGO DE INDICADOR]],[1]!CMI[[#All],[Variable2_7]])+LOOKUP($J21,[1]!CMI[[#All],[CÓDIGO DE INDICADOR]],[1]!CMI[[#All],[Variable2_8]])+LOOKUP($J21,[1]!CMI[[#All],[CÓDIGO DE INDICADOR]],[1]!CMI[[#All],[Variable2_9]])=0,0,(LOOKUP($J21,[1]!CMI[[#All],[CÓDIGO DE INDICADOR]],[1]!CMI[[#All],[Variable1_6]])+LOOKUP($J21,[1]!CMI[[#All],[CÓDIGO DE INDICADOR]],[1]!CMI[[#All],[Variable1_7]])+LOOKUP($J21,[1]!CMI[[#All],[CÓDIGO DE INDICADOR]],[1]!CMI[[#All],[Variable1_8]])+LOOKUP($J21,[1]!CMI[[#All],[CÓDIGO DE INDICADOR]],[1]!CMI[[#All],[Variable1_9]]))/(LOOKUP($J21,[1]!CMI[[#All],[CÓDIGO DE INDICADOR]],[1]!CMI[[#All],[Variable2_6]])+LOOKUP($J21,[1]!CMI[[#All],[CÓDIGO DE INDICADOR]],[1]!CMI[[#All],[Variable2_7]])+LOOKUP($J21,[1]!CMI[[#All],[CÓDIGO DE INDICADOR]],[1]!CMI[[#All],[Variable2_8]])+LOOKUP($J21,[1]!CMI[[#All],[CÓDIGO DE INDICADOR]],[1]!CMI[[#All],[Variable2_9]]))),IF(LOOKUP($J21,[1]!CMI[[#All],[CÓDIGO DE INDICADOR]],[1]!CMI[[#All],[TIPO DE FÓRMULA]])="Tasa de variación",LOOKUP($J21,[1]!CMI[[#All],[CÓDIGO DE INDICADOR]],[1]!CMI[[#All],[EjecuciónAcumulada_9]]),0)))</f>
        <v>2</v>
      </c>
      <c r="AR21" s="12">
        <f>LOOKUP($J21,[1]!CMI[[#All],[CÓDIGO DE INDICADOR]],[1]!CMI[[#All],[Programado_10]])</f>
        <v>1</v>
      </c>
      <c r="AS21" s="12">
        <f>IF(LOOKUP($J21,[1]!CMI[[#All],[CÓDIGO DE INDICADOR]],[1]!CMI[[#All],[Ejecutado_10]])="-",0,LOOKUP($J21,[1]!CMI[[#All],[CÓDIGO DE INDICADOR]],[1]!CMI[[#All],[Ejecutado_10]]))</f>
        <v>0</v>
      </c>
      <c r="AT21" s="12">
        <f>LOOKUP($J21,[1]!CMI[[#All],[CÓDIGO DE INDICADOR]],[1]!CMI[[#All],[Programado_11]])</f>
        <v>2</v>
      </c>
      <c r="AU21" s="15">
        <f>IF(LOOKUP($J21,[1]!CMI[[#All],[CÓDIGO DE INDICADOR]],[1]!CMI[[#All],[Ejecutado_11]])="-",0,LOOKUP($J21,[1]!CMI[[#All],[CÓDIGO DE INDICADOR]],[1]!CMI[[#All],[Ejecutado_11]]))</f>
        <v>0</v>
      </c>
      <c r="AV21" s="15">
        <f>LOOKUP($J21,[1]!CMI[[#All],[CÓDIGO DE INDICADOR]],[1]!CMI[[#All],[Programado_12]])</f>
        <v>2</v>
      </c>
      <c r="AW21" s="15">
        <f>IF(LOOKUP($J21,[1]!CMI[[#All],[CÓDIGO DE INDICADOR]],[1]!CMI[[#All],[Ejecutado_12]])="-",0,LOOKUP($J21,[1]!CMI[[#All],[CÓDIGO DE INDICADOR]],[1]!CMI[[#All],[Ejecutado_12]]))</f>
        <v>0</v>
      </c>
      <c r="AX21" s="15">
        <f>LOOKUP($J21,[1]!CMI[[#All],[CÓDIGO DE INDICADOR]],[1]!CMI[[#All],[Programado_13]])</f>
        <v>1</v>
      </c>
      <c r="AY21" s="15">
        <f>IF(LOOKUP($J21,[1]!CMI[[#All],[CÓDIGO DE INDICADOR]],[1]!CMI[[#All],[Ejecutado_13]])="-",0,LOOKUP($J21,[1]!CMI[[#All],[CÓDIGO DE INDICADOR]],[1]!CMI[[#All],[Ejecutado_13]]))</f>
        <v>0</v>
      </c>
      <c r="AZ21" s="16">
        <f t="shared" si="5"/>
        <v>6</v>
      </c>
      <c r="BA21" s="16">
        <f>IF(OR(LOOKUP($J21,[1]!CMI[[#All],[CÓDIGO DE INDICADOR]],[1]!CMI[[#All],[TIPO DE FÓRMULA]])="Valor absoluto",LOOKUP($J21,[1]!CMI[[#All],[CÓDIGO DE INDICADOR]],[1]!CMI[[#All],[TIPO DE FÓRMULA]])="Suma"),AS21+AU21+AW21+AY21,IF(OR(LOOKUP($J21,[1]!CMI[[#All],[CÓDIGO DE INDICADOR]],[1]!CMI[[#All],[TIPO DE FÓRMULA]])="Porcentaje",LOOKUP($J21,[1]!CMI[[#All],[CÓDIGO DE INDICADOR]],[1]!CMI[[#All],[TIPO DE FÓRMULA]])="División"),IF(LOOKUP($J21,[1]!CMI[[#All],[CÓDIGO DE INDICADOR]],[1]!CMI[[#All],[Variable2_10]])+LOOKUP($J21,[1]!CMI[[#All],[CÓDIGO DE INDICADOR]],[1]!CMI[[#All],[Variable2_11]])+LOOKUP($J21,[1]!CMI[[#All],[CÓDIGO DE INDICADOR]],[1]!CMI[[#All],[Variable2_12]])+LOOKUP($J21,[1]!CMI[[#All],[CÓDIGO DE INDICADOR]],[1]!CMI[[#All],[Variable2_13]])=0,0,(LOOKUP($J21,[1]!CMI[[#All],[CÓDIGO DE INDICADOR]],[1]!CMI[[#All],[Variable1_10]])+LOOKUP($J21,[1]!CMI[[#All],[CÓDIGO DE INDICADOR]],[1]!CMI[[#All],[Variable1_11]])+LOOKUP($J21,[1]!CMI[[#All],[CÓDIGO DE INDICADOR]],[1]!CMI[[#All],[Variable1_12]])+LOOKUP($J21,[1]!CMI[[#All],[CÓDIGO DE INDICADOR]],[1]!CMI[[#All],[Variable1_13]]))/(LOOKUP($J21,[1]!CMI[[#All],[CÓDIGO DE INDICADOR]],[1]!CMI[[#All],[Variable2_10]])+LOOKUP($J21,[1]!CMI[[#All],[CÓDIGO DE INDICADOR]],[1]!CMI[[#All],[Variable2_11]])+LOOKUP($J21,[1]!CMI[[#All],[CÓDIGO DE INDICADOR]],[1]!CMI[[#All],[Variable2_12]])+LOOKUP($J21,[1]!CMI[[#All],[CÓDIGO DE INDICADOR]],[1]!CMI[[#All],[Variable2_13]]))),IF(LOOKUP($J21,[1]!CMI[[#All],[CÓDIGO DE INDICADOR]],[1]!CMI[[#All],[TIPO DE FÓRMULA]])="Tasa de variación",LOOKUP($J21,[1]!CMI[[#All],[CÓDIGO DE INDICADOR]],[1]!CMI[[#All],[EjecuciónAcumulada_13]]),0)))</f>
        <v>0</v>
      </c>
      <c r="BB21" s="12">
        <f>LOOKUP($J21,[1]!CMI[[#All],[CÓDIGO DE INDICADOR]],[1]!CMI[[#All],[Programado_14]])</f>
        <v>0</v>
      </c>
      <c r="BC21" s="12">
        <f>IF(LOOKUP($J21,[1]!CMI[[#All],[CÓDIGO DE INDICADOR]],[1]!CMI[[#All],[Ejecutado_14]])="-",0,LOOKUP($J21,[1]!CMI[[#All],[CÓDIGO DE INDICADOR]],[1]!CMI[[#All],[Ejecutado_14]]))</f>
        <v>0</v>
      </c>
      <c r="BD21" s="12">
        <f>LOOKUP($J21,[1]!CMI[[#All],[CÓDIGO DE INDICADOR]],[1]!CMI[[#All],[Programado_15]])</f>
        <v>1</v>
      </c>
      <c r="BE21" s="15">
        <f>IF(LOOKUP($J21,[1]!CMI[[#All],[CÓDIGO DE INDICADOR]],[1]!CMI[[#All],[Ejecutado_15]])="-",0,LOOKUP($J21,[1]!CMI[[#All],[CÓDIGO DE INDICADOR]],[1]!CMI[[#All],[Ejecutado_15]]))</f>
        <v>0</v>
      </c>
      <c r="BF21" s="15">
        <f>LOOKUP($J21,[1]!CMI[[#All],[CÓDIGO DE INDICADOR]],[1]!CMI[[#All],[Programado_16]])</f>
        <v>1</v>
      </c>
      <c r="BG21" s="15">
        <f>IF(LOOKUP($J21,[1]!CMI[[#All],[CÓDIGO DE INDICADOR]],[1]!CMI[[#All],[Ejecutado_16]])="-",0,LOOKUP($J21,[1]!CMI[[#All],[CÓDIGO DE INDICADOR]],[1]!CMI[[#All],[Ejecutado_16]]))</f>
        <v>0</v>
      </c>
      <c r="BH21" s="15">
        <f>LOOKUP($J21,[1]!CMI[[#All],[CÓDIGO DE INDICADOR]],[1]!CMI[[#All],[Programado_17]])</f>
        <v>0</v>
      </c>
      <c r="BI21" s="15">
        <f>IF(LOOKUP($J21,[1]!CMI[[#All],[CÓDIGO DE INDICADOR]],[1]!CMI[[#All],[Ejecutado_17]])="-",0,LOOKUP($J21,[1]!CMI[[#All],[CÓDIGO DE INDICADOR]],[1]!CMI[[#All],[Ejecutado_17]]))</f>
        <v>0</v>
      </c>
      <c r="BJ21" s="16">
        <f t="shared" si="6"/>
        <v>2</v>
      </c>
      <c r="BK21" s="16">
        <f>IF(OR(LOOKUP($J21,[1]!CMI[[#All],[CÓDIGO DE INDICADOR]],[1]!CMI[[#All],[TIPO DE FÓRMULA]])="Valor absoluto",LOOKUP($J21,[1]!CMI[[#All],[CÓDIGO DE INDICADOR]],[1]!CMI[[#All],[TIPO DE FÓRMULA]])="Suma"),BC21+BE21+BG21+BI21,IF(OR(LOOKUP($J21,[1]!CMI[[#All],[CÓDIGO DE INDICADOR]],[1]!CMI[[#All],[TIPO DE FÓRMULA]])="Porcentaje",LOOKUP($J21,[1]!CMI[[#All],[CÓDIGO DE INDICADOR]],[1]!CMI[[#All],[TIPO DE FÓRMULA]])="División"),IF(LOOKUP($J21,[1]!CMI[[#All],[CÓDIGO DE INDICADOR]],[1]!CMI[[#All],[Variable2_14]])+LOOKUP($J21,[1]!CMI[[#All],[CÓDIGO DE INDICADOR]],[1]!CMI[[#All],[Variable2_15]])+LOOKUP($J21,[1]!CMI[[#All],[CÓDIGO DE INDICADOR]],[1]!CMI[[#All],[Variable2_16]])+LOOKUP($J21,[1]!CMI[[#All],[CÓDIGO DE INDICADOR]],[1]!CMI[[#All],[Variable2_17]])=0,0,(LOOKUP($J21,[1]!CMI[[#All],[CÓDIGO DE INDICADOR]],[1]!CMI[[#All],[Variable1_14]])+LOOKUP($J21,[1]!CMI[[#All],[CÓDIGO DE INDICADOR]],[1]!CMI[[#All],[Variable1_15]])+LOOKUP($J21,[1]!CMI[[#All],[CÓDIGO DE INDICADOR]],[1]!CMI[[#All],[Variable1_16]])+LOOKUP($J21,[1]!CMI[[#All],[CÓDIGO DE INDICADOR]],[1]!CMI[[#All],[Variable1_17]]))/(LOOKUP($J21,[1]!CMI[[#All],[CÓDIGO DE INDICADOR]],[1]!CMI[[#All],[Variable2_14]])+LOOKUP($J21,[1]!CMI[[#All],[CÓDIGO DE INDICADOR]],[1]!CMI[[#All],[Variable2_15]])+LOOKUP($J21,[1]!CMI[[#All],[CÓDIGO DE INDICADOR]],[1]!CMI[[#All],[Variable2_16]])+LOOKUP($J21,[1]!CMI[[#All],[CÓDIGO DE INDICADOR]],[1]!CMI[[#All],[Variable2_17]]))),IF(LOOKUP($J21,[1]!CMI[[#All],[CÓDIGO DE INDICADOR]],[1]!CMI[[#All],[TIPO DE FÓRMULA]])="Tasa de variación",LOOKUP($J21,[1]!CMI[[#All],[CÓDIGO DE INDICADOR]],[1]!CMI[[#All],[EjecuciónAcumulada_17]]),0)))</f>
        <v>0</v>
      </c>
      <c r="BL21" s="16">
        <f>IF(YEAR($M21)=2016,LOOKUP($J21,[1]!CMI[[#All],[CÓDIGO DE INDICADOR]],[1]!CMI[[#All],[ProgramadoAcumulado_1]]),IF(AND(YEAR($M21)=2017,MONTH($M21)&lt;=3),LOOKUP($J21,[1]!CMI[[#All],[CÓDIGO DE INDICADOR]],[1]!CMI[[#All],[ProgramadoAcumulado_2]]),IF(AND(YEAR($M21)=2017,MONTH($M21)&lt;=6),LOOKUP($J21,[1]!CMI[[#All],[CÓDIGO DE INDICADOR]],[1]!CMI[[#All],[ProgramadoAcumulado_3]]),IF(AND(YEAR($M21)=2017,MONTH($M21)&lt;=9),LOOKUP($J21,[1]!CMI[[#All],[CÓDIGO DE INDICADOR]],[1]!CMI[[#All],[ProgramadoAcumulado_4]]),IF(AND(YEAR($M21)=2017,MONTH($M21)&lt;=12),LOOKUP($J21,[1]!CMI[[#All],[CÓDIGO DE INDICADOR]],[1]!CMI[[#All],[ProgramadoAcumulado_5]]),IF(AND(YEAR($M21)=2018,MONTH($M21)&lt;=3),LOOKUP($J21,[1]!CMI[[#All],[CÓDIGO DE INDICADOR]],[1]!CMI[[#All],[ProgramadoAcumulado_6]]),IF(AND(YEAR($M21)=2018,MONTH($M21)&lt;=6),LOOKUP($J21,[1]!CMI[[#All],[CÓDIGO DE INDICADOR]],[1]!CMI[[#All],[ProgramadoAcumulado_7]]),IF(AND(YEAR($M21)=2018,MONTH($M21)&lt;=9),LOOKUP($J21,[1]!CMI[[#All],[CÓDIGO DE INDICADOR]],[1]!CMI[[#All],[ProgramadoAcumulado_8]]),IF(AND(YEAR($M21)=2018,MONTH($M21)&lt;=12),LOOKUP($J21,[1]!CMI[[#All],[CÓDIGO DE INDICADOR]],[1]!CMI[[#All],[ProgramadoAcumulado_9]]),IF(AND(YEAR($M21)=2019,MONTH($M21)&lt;=3),LOOKUP($J21,[1]!CMI[[#All],[CÓDIGO DE INDICADOR]],[1]!CMI[[#All],[ProgramadoAcumulado_10]]),IF(AND(YEAR($M21)=2019,MONTH($M21)&lt;=6),LOOKUP($J21,[1]!CMI[[#All],[CÓDIGO DE INDICADOR]],[1]!CMI[[#All],[ProgramadoAcumulado_11]]),IF(AND(YEAR($M21)=2019,MONTH($M21)&lt;=9),LOOKUP($J21,[1]!CMI[[#All],[CÓDIGO DE INDICADOR]],[1]!CMI[[#All],[ProgramadoAcumulado_12]]),IF(AND(YEAR($M21)=2019,MONTH($M21)&lt;=12),LOOKUP($J21,[1]!CMI[[#All],[CÓDIGO DE INDICADOR]],[1]!CMI[[#All],[ProgramadoAcumulado_13]]),IF(AND(YEAR($M21)=2020,MONTH($M21)&lt;=3),LOOKUP($J21,[1]!CMI[[#All],[CÓDIGO DE INDICADOR]],[1]!CMI[[#All],[ProgramadoAcumulado_14]]),IF(AND(YEAR($M21)=2020,MONTH($M21)&lt;=6),LOOKUP($J21,[1]!CMI[[#All],[CÓDIGO DE INDICADOR]],[1]!CMI[[#All],[ProgramadoAcumulado_15]]),IF(AND(YEAR($M21)=2020,MONTH($M21)&lt;=9),LOOKUP($J21,[1]!CMI[[#All],[CÓDIGO DE INDICADOR]],[1]!CMI[[#All],[ProgramadoAcumulado_16]]),IF(AND(YEAR($M21)=2020,MONTH($M21)&lt;=12),LOOKUP($J21,[1]!CMI[[#All],[CÓDIGO DE INDICADOR]],[1]!CMI[[#All],[ProgramadoAcumulado_17]]),"N.A")))))))))))))))))</f>
        <v>7</v>
      </c>
      <c r="BM21" s="16">
        <f>IF(YEAR($M21)=2016,LOOKUP($J21,[1]!CMI[[#All],[CÓDIGO DE INDICADOR]],[1]!CMI[[#All],[EjecuciónAcumulada_1]]),IF(AND(YEAR($M21)=2017,MONTH($M21)&lt;=3),LOOKUP($J21,[1]!CMI[[#All],[CÓDIGO DE INDICADOR]],[1]!CMI[[#All],[EjecuciónAcumulada_2]]),IF(AND(YEAR($M21)=2017,MONTH($M21)&lt;=6),LOOKUP($J21,[1]!CMI[[#All],[CÓDIGO DE INDICADOR]],[1]!CMI[[#All],[EjecuciónAcumulada_3]]),IF(AND(YEAR($M21)=2017,MONTH($M21)&lt;=9),LOOKUP($J21,[1]!CMI[[#All],[CÓDIGO DE INDICADOR]],[1]!CMI[[#All],[EjecuciónAcumulada_4]]),IF(AND(YEAR($M21)=2017,MONTH($M21)&lt;=12),LOOKUP($J21,[1]!CMI[[#All],[CÓDIGO DE INDICADOR]],[1]!CMI[[#All],[EjecuciónAcumulada_5]]),IF(AND(YEAR($M21)=2018,MONTH($M21)&lt;=3),LOOKUP($J21,[1]!CMI[[#All],[CÓDIGO DE INDICADOR]],[1]!CMI[[#All],[EjecuciónAcumulada_6]]),IF(AND(YEAR($M21)=2018,MONTH($M21)&lt;=6),LOOKUP($J21,[1]!CMI[[#All],[CÓDIGO DE INDICADOR]],[1]!CMI[[#All],[EjecuciónAcumulada_7]]),IF(AND(YEAR($M21)=2018,MONTH($M21)&lt;=9),LOOKUP($J21,[1]!CMI[[#All],[CÓDIGO DE INDICADOR]],[1]!CMI[[#All],[EjecuciónAcumulada_8]]),IF(AND(YEAR($M21)=2018,MONTH($M21)&lt;=12),LOOKUP($J21,[1]!CMI[[#All],[CÓDIGO DE INDICADOR]],[1]!CMI[[#All],[EjecuciónAcumulada_9]]),IF(AND(YEAR($M21)=2019,MONTH($M21)&lt;=3),LOOKUP($J21,[1]!CMI[[#All],[CÓDIGO DE INDICADOR]],[1]!CMI[[#All],[EjecuciónAcumulada_10]]),IF(AND(YEAR($M21)=2019,MONTH($M21)&lt;=6),LOOKUP($J21,[1]!CMI[[#All],[CÓDIGO DE INDICADOR]],[1]!CMI[[#All],[EjecuciónAcumulada_11]]),IF(AND(YEAR($M21)=2019,MONTH($M21)&lt;=9),LOOKUP($J21,[1]!CMI[[#All],[CÓDIGO DE INDICADOR]],[1]!CMI[[#All],[EjecuciónAcumulada_12]]),IF(AND(YEAR($M21)=2019,MONTH($M21)&lt;=12),LOOKUP($J21,[1]!CMI[[#All],[CÓDIGO DE INDICADOR]],[1]!CMI[[#All],[EjecuciónAcumulada_13]]),IF(AND(YEAR($M21)=2020,MONTH($M21)&lt;=3),LOOKUP($J21,[1]!CMI[[#All],[CÓDIGO DE INDICADOR]],[1]!CMI[[#All],[EjecuciónAcumulada_14]]),IF(AND(YEAR($M21)=2020,MONTH($M21)&lt;=6),LOOKUP($J21,[1]!CMI[[#All],[CÓDIGO DE INDICADOR]],[1]!CMI[[#All],[EjecuciónAcumulada_15]]),IF(AND(YEAR($M21)=2020,MONTH($M21)&lt;=9),LOOKUP($J21,[1]!CMI[[#All],[CÓDIGO DE INDICADOR]],[1]!CMI[[#All],[EjecuciónAcumulada_16]]),IF(AND(YEAR($M21)=2020,MONTH($M21)&lt;=12),LOOKUP($J21,[1]!CMI[[#All],[CÓDIGO DE INDICADOR]],[1]!CMI[[#All],[EjecuciónAcumulada_17]]),"N.A")))))))))))))))))</f>
        <v>6</v>
      </c>
      <c r="BN21" s="17">
        <f t="shared" si="7"/>
        <v>0.8571428571428571</v>
      </c>
      <c r="BO21" s="16">
        <f t="shared" si="0"/>
        <v>18</v>
      </c>
      <c r="BP21" s="68">
        <f t="shared" si="8"/>
        <v>0.33333333333333331</v>
      </c>
    </row>
    <row r="22" spans="2:68" ht="174" customHeight="1">
      <c r="B22" s="133" t="s">
        <v>117</v>
      </c>
      <c r="C22" s="10" t="s">
        <v>118</v>
      </c>
      <c r="D22" s="11" t="str">
        <f>LOOKUP($J22,[1]!CMI[[#All],[CÓDIGO DE INDICADOR]],[1]!CMI[[#All],[NOMBRE DEL INDICADOR]])</f>
        <v>Actuaciones efectivas del Ministerio Público en restitución de Espacio Publico.</v>
      </c>
      <c r="E22" s="11" t="str">
        <f>LOOKUP($J22,[1]!CMI[[#All],[CÓDIGO DE INDICADOR]],[1]!CMI[[#All],[FÓRMULA DE CÁLCULO]])</f>
        <v>No. de actuaciones  efectivas en la restitución de los derechos de las personas</v>
      </c>
      <c r="F22" s="12">
        <f>LOOKUP($J22,[1]!CMI[[#All],[CÓDIGO DE INDICADOR]],[1]!CMI[[#All],[VALOR PROGRAMADO TOTAL]])</f>
        <v>1500</v>
      </c>
      <c r="G22" s="10" t="s">
        <v>124</v>
      </c>
      <c r="H22" s="10" t="s">
        <v>125</v>
      </c>
      <c r="I22" s="11" t="str">
        <f>LOOKUP($J22,[1]!CMI[[#All],[CÓDIGO DE INDICADOR]],[1]!CMI[[#All],[DEPENDENCIA]])</f>
        <v>PERSONERÍA DELEGADA PARA LA COORDINACIÓN DE PERSONERÍAS LOCALES</v>
      </c>
      <c r="J22" s="13" t="s">
        <v>237</v>
      </c>
      <c r="K22" s="11" t="str">
        <f>LOOKUP($J22,[1]!CMI[[#All],[CÓDIGO DE INDICADOR]],[1]!CMI[[#All],[CÁLCULO VALOR PROGRAMADO ACUMULADO]])</f>
        <v>Sumatoria</v>
      </c>
      <c r="L22" s="11" t="str">
        <f>LOOKUP($J22,[1]!CMI[[#All],[CÓDIGO DE INDICADOR]],[1]!CMI[[#All],[TENDENCIA DECRECIENTE]])</f>
        <v>No</v>
      </c>
      <c r="M22" s="14">
        <f>LOOKUP($J22,[1]!CMI[[#All],[CÓDIGO DE INDICADOR]],[1]!CMI[[#All],[FECHA DE CORTE]])</f>
        <v>43281</v>
      </c>
      <c r="N22" s="12">
        <v>0</v>
      </c>
      <c r="O22" s="12">
        <v>0</v>
      </c>
      <c r="P22" s="12">
        <v>0</v>
      </c>
      <c r="Q22" s="15">
        <v>0</v>
      </c>
      <c r="R22" s="15">
        <v>0</v>
      </c>
      <c r="S22" s="15">
        <v>0</v>
      </c>
      <c r="T22" s="15">
        <f>LOOKUP($J22,[1]!CMI[[#All],[CÓDIGO DE INDICADOR]],[1]!CMI[[#All],[Programado_1]])</f>
        <v>0</v>
      </c>
      <c r="U22" s="15">
        <f>IF(LOOKUP($J22,[1]!CMI[[#All],[CÓDIGO DE INDICADOR]],[1]!CMI[[#All],[Ejecutado_1]])="-",0,LOOKUP($J22,[1]!CMI[[#All],[CÓDIGO DE INDICADOR]],[1]!CMI[[#All],[Ejecutado_1]]))</f>
        <v>0</v>
      </c>
      <c r="V22" s="16">
        <f t="shared" si="1"/>
        <v>0</v>
      </c>
      <c r="W22" s="16">
        <f t="shared" si="2"/>
        <v>0</v>
      </c>
      <c r="X22" s="12">
        <f>LOOKUP($J22,[1]!CMI[[#All],[CÓDIGO DE INDICADOR]],[1]!CMI[[#All],[Programado_2]])</f>
        <v>0</v>
      </c>
      <c r="Y22" s="12">
        <f>IF(LOOKUP($J22,[1]!CMI[[#All],[CÓDIGO DE INDICADOR]],[1]!CMI[[#All],[Ejecutado_2]])="-",0,LOOKUP($J22,[1]!CMI[[#All],[CÓDIGO DE INDICADOR]],[1]!CMI[[#All],[Ejecutado_2]]))</f>
        <v>265</v>
      </c>
      <c r="Z22" s="12">
        <f>LOOKUP($J22,[1]!CMI[[#All],[CÓDIGO DE INDICADOR]],[1]!CMI[[#All],[Programado_3]])</f>
        <v>100</v>
      </c>
      <c r="AA22" s="15">
        <f>IF(LOOKUP($J22,[1]!CMI[[#All],[CÓDIGO DE INDICADOR]],[1]!CMI[[#All],[Ejecutado_3]])="-",0,LOOKUP($J22,[1]!CMI[[#All],[CÓDIGO DE INDICADOR]],[1]!CMI[[#All],[Ejecutado_3]]))</f>
        <v>252</v>
      </c>
      <c r="AB22" s="15">
        <f>LOOKUP($J22,[1]!CMI[[#All],[CÓDIGO DE INDICADOR]],[1]!CMI[[#All],[Programado_4]])</f>
        <v>100</v>
      </c>
      <c r="AC22" s="15">
        <f>IF(LOOKUP($J22,[1]!CMI[[#All],[CÓDIGO DE INDICADOR]],[1]!CMI[[#All],[Ejecutado_4]])="-",0,LOOKUP($J22,[1]!CMI[[#All],[CÓDIGO DE INDICADOR]],[1]!CMI[[#All],[Ejecutado_4]]))</f>
        <v>-367</v>
      </c>
      <c r="AD22" s="15">
        <f>LOOKUP($J22,[1]!CMI[[#All],[CÓDIGO DE INDICADOR]],[1]!CMI[[#All],[Programado_5]])</f>
        <v>100</v>
      </c>
      <c r="AE22" s="15">
        <f>IF(LOOKUP($J22,[1]!CMI[[#All],[CÓDIGO DE INDICADOR]],[1]!CMI[[#All],[Ejecutado_5]])="-",0,LOOKUP($J22,[1]!CMI[[#All],[CÓDIGO DE INDICADOR]],[1]!CMI[[#All],[Ejecutado_5]]))</f>
        <v>46</v>
      </c>
      <c r="AF22" s="16">
        <f t="shared" si="3"/>
        <v>300</v>
      </c>
      <c r="AG22" s="16">
        <f>IF(OR(LOOKUP($J22,[1]!CMI[[#All],[CÓDIGO DE INDICADOR]],[1]!CMI[[#All],[TIPO DE FÓRMULA]])="Valor absoluto",LOOKUP($J22,[1]!CMI[[#All],[CÓDIGO DE INDICADOR]],[1]!CMI[[#All],[TIPO DE FÓRMULA]])="Suma"),Y22+AA22+AC22+AE22,IF(OR(LOOKUP($J22,[1]!CMI[[#All],[CÓDIGO DE INDICADOR]],[1]!CMI[[#All],[TIPO DE FÓRMULA]])="Porcentaje",LOOKUP($J22,[1]!CMI[[#All],[CÓDIGO DE INDICADOR]],[1]!CMI[[#All],[TIPO DE FÓRMULA]])="División"),IF(LOOKUP($J22,[1]!CMI[[#All],[CÓDIGO DE INDICADOR]],[1]!CMI[[#All],[Variable2_2]])+LOOKUP($J22,[1]!CMI[[#All],[CÓDIGO DE INDICADOR]],[1]!CMI[[#All],[Variable2_3]])+LOOKUP($J22,[1]!CMI[[#All],[CÓDIGO DE INDICADOR]],[1]!CMI[[#All],[Variable2_4]])+LOOKUP($J22,[1]!CMI[[#All],[CÓDIGO DE INDICADOR]],[1]!CMI[[#All],[Variable2_5]])=0,0,(LOOKUP($J22,[1]!CMI[[#All],[CÓDIGO DE INDICADOR]],[1]!CMI[[#All],[Variable1_2]])+LOOKUP($J22,[1]!CMI[[#All],[CÓDIGO DE INDICADOR]],[1]!CMI[[#All],[Variable1_3]])+LOOKUP($J22,[1]!CMI[[#All],[CÓDIGO DE INDICADOR]],[1]!CMI[[#All],[Variable1_4]])+LOOKUP($J22,[1]!CMI[[#All],[CÓDIGO DE INDICADOR]],[1]!CMI[[#All],[Variable1_5]]))/(LOOKUP($J22,[1]!CMI[[#All],[CÓDIGO DE INDICADOR]],[1]!CMI[[#All],[Variable2_2]])+LOOKUP($J22,[1]!CMI[[#All],[CÓDIGO DE INDICADOR]],[1]!CMI[[#All],[Variable2_3]])+LOOKUP($J22,[1]!CMI[[#All],[CÓDIGO DE INDICADOR]],[1]!CMI[[#All],[Variable2_4]])+LOOKUP($J22,[1]!CMI[[#All],[CÓDIGO DE INDICADOR]],[1]!CMI[[#All],[Variable2_5]]))),IF(LOOKUP($J22,[1]!CMI[[#All],[CÓDIGO DE INDICADOR]],[1]!CMI[[#All],[TIPO DE FÓRMULA]])="Tasa de variación",LOOKUP($J22,[1]!CMI[[#All],[CÓDIGO DE INDICADOR]],[1]!CMI[[#All],[EjecuciónAcumulada_5]]),0)))</f>
        <v>196</v>
      </c>
      <c r="AH22" s="12">
        <f>LOOKUP($J22,[1]!CMI[[#All],[CÓDIGO DE INDICADOR]],[1]!CMI[[#All],[Programado_6]])</f>
        <v>100</v>
      </c>
      <c r="AI22" s="12">
        <f>IF(LOOKUP($J22,[1]!CMI[[#All],[CÓDIGO DE INDICADOR]],[1]!CMI[[#All],[Ejecutado_6]])="-",0,LOOKUP($J22,[1]!CMI[[#All],[CÓDIGO DE INDICADOR]],[1]!CMI[[#All],[Ejecutado_6]]))</f>
        <v>32</v>
      </c>
      <c r="AJ22" s="12">
        <f>LOOKUP($J22,[1]!CMI[[#All],[CÓDIGO DE INDICADOR]],[1]!CMI[[#All],[Programado_7]])</f>
        <v>100</v>
      </c>
      <c r="AK22" s="15">
        <f>IF(LOOKUP($J22,[1]!CMI[[#All],[CÓDIGO DE INDICADOR]],[1]!CMI[[#All],[Ejecutado_7]])="-",0,LOOKUP($J22,[1]!CMI[[#All],[CÓDIGO DE INDICADOR]],[1]!CMI[[#All],[Ejecutado_7]]))</f>
        <v>85</v>
      </c>
      <c r="AL22" s="15">
        <f>LOOKUP($J22,[1]!CMI[[#All],[CÓDIGO DE INDICADOR]],[1]!CMI[[#All],[Programado_8]])</f>
        <v>100</v>
      </c>
      <c r="AM22" s="15">
        <f>IF(LOOKUP($J22,[1]!CMI[[#All],[CÓDIGO DE INDICADOR]],[1]!CMI[[#All],[Ejecutado_8]])="-",0,LOOKUP($J22,[1]!CMI[[#All],[CÓDIGO DE INDICADOR]],[1]!CMI[[#All],[Ejecutado_8]]))</f>
        <v>0</v>
      </c>
      <c r="AN22" s="15">
        <f>LOOKUP($J22,[1]!CMI[[#All],[CÓDIGO DE INDICADOR]],[1]!CMI[[#All],[Programado_9]])</f>
        <v>100</v>
      </c>
      <c r="AO22" s="15">
        <f>IF(LOOKUP($J22,[1]!CMI[[#All],[CÓDIGO DE INDICADOR]],[1]!CMI[[#All],[Ejecutado_9]])="-",0,LOOKUP($J22,[1]!CMI[[#All],[CÓDIGO DE INDICADOR]],[1]!CMI[[#All],[Ejecutado_9]]))</f>
        <v>0</v>
      </c>
      <c r="AP22" s="16">
        <f t="shared" si="4"/>
        <v>400</v>
      </c>
      <c r="AQ22" s="16">
        <f>IF(OR(LOOKUP($J22,[1]!CMI[[#All],[CÓDIGO DE INDICADOR]],[1]!CMI[[#All],[TIPO DE FÓRMULA]])="Valor absoluto",LOOKUP($J22,[1]!CMI[[#All],[CÓDIGO DE INDICADOR]],[1]!CMI[[#All],[TIPO DE FÓRMULA]])="Suma"),AI22+AK22+AM22+AO22,IF(OR(LOOKUP($J22,[1]!CMI[[#All],[CÓDIGO DE INDICADOR]],[1]!CMI[[#All],[TIPO DE FÓRMULA]])="Porcentaje",LOOKUP($J22,[1]!CMI[[#All],[CÓDIGO DE INDICADOR]],[1]!CMI[[#All],[TIPO DE FÓRMULA]])="División"),IF(LOOKUP($J22,[1]!CMI[[#All],[CÓDIGO DE INDICADOR]],[1]!CMI[[#All],[Variable2_6]])+LOOKUP($J22,[1]!CMI[[#All],[CÓDIGO DE INDICADOR]],[1]!CMI[[#All],[Variable2_7]])+LOOKUP($J22,[1]!CMI[[#All],[CÓDIGO DE INDICADOR]],[1]!CMI[[#All],[Variable2_8]])+LOOKUP($J22,[1]!CMI[[#All],[CÓDIGO DE INDICADOR]],[1]!CMI[[#All],[Variable2_9]])=0,0,(LOOKUP($J22,[1]!CMI[[#All],[CÓDIGO DE INDICADOR]],[1]!CMI[[#All],[Variable1_6]])+LOOKUP($J22,[1]!CMI[[#All],[CÓDIGO DE INDICADOR]],[1]!CMI[[#All],[Variable1_7]])+LOOKUP($J22,[1]!CMI[[#All],[CÓDIGO DE INDICADOR]],[1]!CMI[[#All],[Variable1_8]])+LOOKUP($J22,[1]!CMI[[#All],[CÓDIGO DE INDICADOR]],[1]!CMI[[#All],[Variable1_9]]))/(LOOKUP($J22,[1]!CMI[[#All],[CÓDIGO DE INDICADOR]],[1]!CMI[[#All],[Variable2_6]])+LOOKUP($J22,[1]!CMI[[#All],[CÓDIGO DE INDICADOR]],[1]!CMI[[#All],[Variable2_7]])+LOOKUP($J22,[1]!CMI[[#All],[CÓDIGO DE INDICADOR]],[1]!CMI[[#All],[Variable2_8]])+LOOKUP($J22,[1]!CMI[[#All],[CÓDIGO DE INDICADOR]],[1]!CMI[[#All],[Variable2_9]]))),IF(LOOKUP($J22,[1]!CMI[[#All],[CÓDIGO DE INDICADOR]],[1]!CMI[[#All],[TIPO DE FÓRMULA]])="Tasa de variación",LOOKUP($J22,[1]!CMI[[#All],[CÓDIGO DE INDICADOR]],[1]!CMI[[#All],[EjecuciónAcumulada_9]]),0)))</f>
        <v>117</v>
      </c>
      <c r="AR22" s="12">
        <f>LOOKUP($J22,[1]!CMI[[#All],[CÓDIGO DE INDICADOR]],[1]!CMI[[#All],[Programado_10]])</f>
        <v>100</v>
      </c>
      <c r="AS22" s="12">
        <f>IF(LOOKUP($J22,[1]!CMI[[#All],[CÓDIGO DE INDICADOR]],[1]!CMI[[#All],[Ejecutado_10]])="-",0,LOOKUP($J22,[1]!CMI[[#All],[CÓDIGO DE INDICADOR]],[1]!CMI[[#All],[Ejecutado_10]]))</f>
        <v>0</v>
      </c>
      <c r="AT22" s="12">
        <f>LOOKUP($J22,[1]!CMI[[#All],[CÓDIGO DE INDICADOR]],[1]!CMI[[#All],[Programado_11]])</f>
        <v>100</v>
      </c>
      <c r="AU22" s="15">
        <f>IF(LOOKUP($J22,[1]!CMI[[#All],[CÓDIGO DE INDICADOR]],[1]!CMI[[#All],[Ejecutado_11]])="-",0,LOOKUP($J22,[1]!CMI[[#All],[CÓDIGO DE INDICADOR]],[1]!CMI[[#All],[Ejecutado_11]]))</f>
        <v>0</v>
      </c>
      <c r="AV22" s="15">
        <f>LOOKUP($J22,[1]!CMI[[#All],[CÓDIGO DE INDICADOR]],[1]!CMI[[#All],[Programado_12]])</f>
        <v>100</v>
      </c>
      <c r="AW22" s="15">
        <f>IF(LOOKUP($J22,[1]!CMI[[#All],[CÓDIGO DE INDICADOR]],[1]!CMI[[#All],[Ejecutado_12]])="-",0,LOOKUP($J22,[1]!CMI[[#All],[CÓDIGO DE INDICADOR]],[1]!CMI[[#All],[Ejecutado_12]]))</f>
        <v>0</v>
      </c>
      <c r="AX22" s="15">
        <f>LOOKUP($J22,[1]!CMI[[#All],[CÓDIGO DE INDICADOR]],[1]!CMI[[#All],[Programado_13]])</f>
        <v>100</v>
      </c>
      <c r="AY22" s="15">
        <f>IF(LOOKUP($J22,[1]!CMI[[#All],[CÓDIGO DE INDICADOR]],[1]!CMI[[#All],[Ejecutado_13]])="-",0,LOOKUP($J22,[1]!CMI[[#All],[CÓDIGO DE INDICADOR]],[1]!CMI[[#All],[Ejecutado_13]]))</f>
        <v>0</v>
      </c>
      <c r="AZ22" s="16">
        <f t="shared" si="5"/>
        <v>400</v>
      </c>
      <c r="BA22" s="16">
        <f>IF(OR(LOOKUP($J22,[1]!CMI[[#All],[CÓDIGO DE INDICADOR]],[1]!CMI[[#All],[TIPO DE FÓRMULA]])="Valor absoluto",LOOKUP($J22,[1]!CMI[[#All],[CÓDIGO DE INDICADOR]],[1]!CMI[[#All],[TIPO DE FÓRMULA]])="Suma"),AS22+AU22+AW22+AY22,IF(OR(LOOKUP($J22,[1]!CMI[[#All],[CÓDIGO DE INDICADOR]],[1]!CMI[[#All],[TIPO DE FÓRMULA]])="Porcentaje",LOOKUP($J22,[1]!CMI[[#All],[CÓDIGO DE INDICADOR]],[1]!CMI[[#All],[TIPO DE FÓRMULA]])="División"),IF(LOOKUP($J22,[1]!CMI[[#All],[CÓDIGO DE INDICADOR]],[1]!CMI[[#All],[Variable2_10]])+LOOKUP($J22,[1]!CMI[[#All],[CÓDIGO DE INDICADOR]],[1]!CMI[[#All],[Variable2_11]])+LOOKUP($J22,[1]!CMI[[#All],[CÓDIGO DE INDICADOR]],[1]!CMI[[#All],[Variable2_12]])+LOOKUP($J22,[1]!CMI[[#All],[CÓDIGO DE INDICADOR]],[1]!CMI[[#All],[Variable2_13]])=0,0,(LOOKUP($J22,[1]!CMI[[#All],[CÓDIGO DE INDICADOR]],[1]!CMI[[#All],[Variable1_10]])+LOOKUP($J22,[1]!CMI[[#All],[CÓDIGO DE INDICADOR]],[1]!CMI[[#All],[Variable1_11]])+LOOKUP($J22,[1]!CMI[[#All],[CÓDIGO DE INDICADOR]],[1]!CMI[[#All],[Variable1_12]])+LOOKUP($J22,[1]!CMI[[#All],[CÓDIGO DE INDICADOR]],[1]!CMI[[#All],[Variable1_13]]))/(LOOKUP($J22,[1]!CMI[[#All],[CÓDIGO DE INDICADOR]],[1]!CMI[[#All],[Variable2_10]])+LOOKUP($J22,[1]!CMI[[#All],[CÓDIGO DE INDICADOR]],[1]!CMI[[#All],[Variable2_11]])+LOOKUP($J22,[1]!CMI[[#All],[CÓDIGO DE INDICADOR]],[1]!CMI[[#All],[Variable2_12]])+LOOKUP($J22,[1]!CMI[[#All],[CÓDIGO DE INDICADOR]],[1]!CMI[[#All],[Variable2_13]]))),IF(LOOKUP($J22,[1]!CMI[[#All],[CÓDIGO DE INDICADOR]],[1]!CMI[[#All],[TIPO DE FÓRMULA]])="Tasa de variación",LOOKUP($J22,[1]!CMI[[#All],[CÓDIGO DE INDICADOR]],[1]!CMI[[#All],[EjecuciónAcumulada_13]]),0)))</f>
        <v>0</v>
      </c>
      <c r="BB22" s="12">
        <f>LOOKUP($J22,[1]!CMI[[#All],[CÓDIGO DE INDICADOR]],[1]!CMI[[#All],[Programado_14]])</f>
        <v>100</v>
      </c>
      <c r="BC22" s="12">
        <f>IF(LOOKUP($J22,[1]!CMI[[#All],[CÓDIGO DE INDICADOR]],[1]!CMI[[#All],[Ejecutado_14]])="-",0,LOOKUP($J22,[1]!CMI[[#All],[CÓDIGO DE INDICADOR]],[1]!CMI[[#All],[Ejecutado_14]]))</f>
        <v>0</v>
      </c>
      <c r="BD22" s="12">
        <f>LOOKUP($J22,[1]!CMI[[#All],[CÓDIGO DE INDICADOR]],[1]!CMI[[#All],[Programado_15]])</f>
        <v>100</v>
      </c>
      <c r="BE22" s="15">
        <f>IF(LOOKUP($J22,[1]!CMI[[#All],[CÓDIGO DE INDICADOR]],[1]!CMI[[#All],[Ejecutado_15]])="-",0,LOOKUP($J22,[1]!CMI[[#All],[CÓDIGO DE INDICADOR]],[1]!CMI[[#All],[Ejecutado_15]]))</f>
        <v>0</v>
      </c>
      <c r="BF22" s="15">
        <f>LOOKUP($J22,[1]!CMI[[#All],[CÓDIGO DE INDICADOR]],[1]!CMI[[#All],[Programado_16]])</f>
        <v>100</v>
      </c>
      <c r="BG22" s="15">
        <f>IF(LOOKUP($J22,[1]!CMI[[#All],[CÓDIGO DE INDICADOR]],[1]!CMI[[#All],[Ejecutado_16]])="-",0,LOOKUP($J22,[1]!CMI[[#All],[CÓDIGO DE INDICADOR]],[1]!CMI[[#All],[Ejecutado_16]]))</f>
        <v>0</v>
      </c>
      <c r="BH22" s="15">
        <f>LOOKUP($J22,[1]!CMI[[#All],[CÓDIGO DE INDICADOR]],[1]!CMI[[#All],[Programado_17]])</f>
        <v>100</v>
      </c>
      <c r="BI22" s="15">
        <f>IF(LOOKUP($J22,[1]!CMI[[#All],[CÓDIGO DE INDICADOR]],[1]!CMI[[#All],[Ejecutado_17]])="-",0,LOOKUP($J22,[1]!CMI[[#All],[CÓDIGO DE INDICADOR]],[1]!CMI[[#All],[Ejecutado_17]]))</f>
        <v>0</v>
      </c>
      <c r="BJ22" s="16">
        <f t="shared" si="6"/>
        <v>400</v>
      </c>
      <c r="BK22" s="16">
        <f>IF(OR(LOOKUP($J22,[1]!CMI[[#All],[CÓDIGO DE INDICADOR]],[1]!CMI[[#All],[TIPO DE FÓRMULA]])="Valor absoluto",LOOKUP($J22,[1]!CMI[[#All],[CÓDIGO DE INDICADOR]],[1]!CMI[[#All],[TIPO DE FÓRMULA]])="Suma"),BC22+BE22+BG22+BI22,IF(OR(LOOKUP($J22,[1]!CMI[[#All],[CÓDIGO DE INDICADOR]],[1]!CMI[[#All],[TIPO DE FÓRMULA]])="Porcentaje",LOOKUP($J22,[1]!CMI[[#All],[CÓDIGO DE INDICADOR]],[1]!CMI[[#All],[TIPO DE FÓRMULA]])="División"),IF(LOOKUP($J22,[1]!CMI[[#All],[CÓDIGO DE INDICADOR]],[1]!CMI[[#All],[Variable2_14]])+LOOKUP($J22,[1]!CMI[[#All],[CÓDIGO DE INDICADOR]],[1]!CMI[[#All],[Variable2_15]])+LOOKUP($J22,[1]!CMI[[#All],[CÓDIGO DE INDICADOR]],[1]!CMI[[#All],[Variable2_16]])+LOOKUP($J22,[1]!CMI[[#All],[CÓDIGO DE INDICADOR]],[1]!CMI[[#All],[Variable2_17]])=0,0,(LOOKUP($J22,[1]!CMI[[#All],[CÓDIGO DE INDICADOR]],[1]!CMI[[#All],[Variable1_14]])+LOOKUP($J22,[1]!CMI[[#All],[CÓDIGO DE INDICADOR]],[1]!CMI[[#All],[Variable1_15]])+LOOKUP($J22,[1]!CMI[[#All],[CÓDIGO DE INDICADOR]],[1]!CMI[[#All],[Variable1_16]])+LOOKUP($J22,[1]!CMI[[#All],[CÓDIGO DE INDICADOR]],[1]!CMI[[#All],[Variable1_17]]))/(LOOKUP($J22,[1]!CMI[[#All],[CÓDIGO DE INDICADOR]],[1]!CMI[[#All],[Variable2_14]])+LOOKUP($J22,[1]!CMI[[#All],[CÓDIGO DE INDICADOR]],[1]!CMI[[#All],[Variable2_15]])+LOOKUP($J22,[1]!CMI[[#All],[CÓDIGO DE INDICADOR]],[1]!CMI[[#All],[Variable2_16]])+LOOKUP($J22,[1]!CMI[[#All],[CÓDIGO DE INDICADOR]],[1]!CMI[[#All],[Variable2_17]]))),IF(LOOKUP($J22,[1]!CMI[[#All],[CÓDIGO DE INDICADOR]],[1]!CMI[[#All],[TIPO DE FÓRMULA]])="Tasa de variación",LOOKUP($J22,[1]!CMI[[#All],[CÓDIGO DE INDICADOR]],[1]!CMI[[#All],[EjecuciónAcumulada_17]]),0)))</f>
        <v>0</v>
      </c>
      <c r="BL22" s="16">
        <f>IF(YEAR($M22)=2016,LOOKUP($J22,[1]!CMI[[#All],[CÓDIGO DE INDICADOR]],[1]!CMI[[#All],[ProgramadoAcumulado_1]]),IF(AND(YEAR($M22)=2017,MONTH($M22)&lt;=3),LOOKUP($J22,[1]!CMI[[#All],[CÓDIGO DE INDICADOR]],[1]!CMI[[#All],[ProgramadoAcumulado_2]]),IF(AND(YEAR($M22)=2017,MONTH($M22)&lt;=6),LOOKUP($J22,[1]!CMI[[#All],[CÓDIGO DE INDICADOR]],[1]!CMI[[#All],[ProgramadoAcumulado_3]]),IF(AND(YEAR($M22)=2017,MONTH($M22)&lt;=9),LOOKUP($J22,[1]!CMI[[#All],[CÓDIGO DE INDICADOR]],[1]!CMI[[#All],[ProgramadoAcumulado_4]]),IF(AND(YEAR($M22)=2017,MONTH($M22)&lt;=12),LOOKUP($J22,[1]!CMI[[#All],[CÓDIGO DE INDICADOR]],[1]!CMI[[#All],[ProgramadoAcumulado_5]]),IF(AND(YEAR($M22)=2018,MONTH($M22)&lt;=3),LOOKUP($J22,[1]!CMI[[#All],[CÓDIGO DE INDICADOR]],[1]!CMI[[#All],[ProgramadoAcumulado_6]]),IF(AND(YEAR($M22)=2018,MONTH($M22)&lt;=6),LOOKUP($J22,[1]!CMI[[#All],[CÓDIGO DE INDICADOR]],[1]!CMI[[#All],[ProgramadoAcumulado_7]]),IF(AND(YEAR($M22)=2018,MONTH($M22)&lt;=9),LOOKUP($J22,[1]!CMI[[#All],[CÓDIGO DE INDICADOR]],[1]!CMI[[#All],[ProgramadoAcumulado_8]]),IF(AND(YEAR($M22)=2018,MONTH($M22)&lt;=12),LOOKUP($J22,[1]!CMI[[#All],[CÓDIGO DE INDICADOR]],[1]!CMI[[#All],[ProgramadoAcumulado_9]]),IF(AND(YEAR($M22)=2019,MONTH($M22)&lt;=3),LOOKUP($J22,[1]!CMI[[#All],[CÓDIGO DE INDICADOR]],[1]!CMI[[#All],[ProgramadoAcumulado_10]]),IF(AND(YEAR($M22)=2019,MONTH($M22)&lt;=6),LOOKUP($J22,[1]!CMI[[#All],[CÓDIGO DE INDICADOR]],[1]!CMI[[#All],[ProgramadoAcumulado_11]]),IF(AND(YEAR($M22)=2019,MONTH($M22)&lt;=9),LOOKUP($J22,[1]!CMI[[#All],[CÓDIGO DE INDICADOR]],[1]!CMI[[#All],[ProgramadoAcumulado_12]]),IF(AND(YEAR($M22)=2019,MONTH($M22)&lt;=12),LOOKUP($J22,[1]!CMI[[#All],[CÓDIGO DE INDICADOR]],[1]!CMI[[#All],[ProgramadoAcumulado_13]]),IF(AND(YEAR($M22)=2020,MONTH($M22)&lt;=3),LOOKUP($J22,[1]!CMI[[#All],[CÓDIGO DE INDICADOR]],[1]!CMI[[#All],[ProgramadoAcumulado_14]]),IF(AND(YEAR($M22)=2020,MONTH($M22)&lt;=6),LOOKUP($J22,[1]!CMI[[#All],[CÓDIGO DE INDICADOR]],[1]!CMI[[#All],[ProgramadoAcumulado_15]]),IF(AND(YEAR($M22)=2020,MONTH($M22)&lt;=9),LOOKUP($J22,[1]!CMI[[#All],[CÓDIGO DE INDICADOR]],[1]!CMI[[#All],[ProgramadoAcumulado_16]]),IF(AND(YEAR($M22)=2020,MONTH($M22)&lt;=12),LOOKUP($J22,[1]!CMI[[#All],[CÓDIGO DE INDICADOR]],[1]!CMI[[#All],[ProgramadoAcumulado_17]]),"N.A")))))))))))))))))</f>
        <v>500</v>
      </c>
      <c r="BM22" s="16">
        <f>IF(YEAR($M22)=2016,LOOKUP($J22,[1]!CMI[[#All],[CÓDIGO DE INDICADOR]],[1]!CMI[[#All],[EjecuciónAcumulada_1]]),IF(AND(YEAR($M22)=2017,MONTH($M22)&lt;=3),LOOKUP($J22,[1]!CMI[[#All],[CÓDIGO DE INDICADOR]],[1]!CMI[[#All],[EjecuciónAcumulada_2]]),IF(AND(YEAR($M22)=2017,MONTH($M22)&lt;=6),LOOKUP($J22,[1]!CMI[[#All],[CÓDIGO DE INDICADOR]],[1]!CMI[[#All],[EjecuciónAcumulada_3]]),IF(AND(YEAR($M22)=2017,MONTH($M22)&lt;=9),LOOKUP($J22,[1]!CMI[[#All],[CÓDIGO DE INDICADOR]],[1]!CMI[[#All],[EjecuciónAcumulada_4]]),IF(AND(YEAR($M22)=2017,MONTH($M22)&lt;=12),LOOKUP($J22,[1]!CMI[[#All],[CÓDIGO DE INDICADOR]],[1]!CMI[[#All],[EjecuciónAcumulada_5]]),IF(AND(YEAR($M22)=2018,MONTH($M22)&lt;=3),LOOKUP($J22,[1]!CMI[[#All],[CÓDIGO DE INDICADOR]],[1]!CMI[[#All],[EjecuciónAcumulada_6]]),IF(AND(YEAR($M22)=2018,MONTH($M22)&lt;=6),LOOKUP($J22,[1]!CMI[[#All],[CÓDIGO DE INDICADOR]],[1]!CMI[[#All],[EjecuciónAcumulada_7]]),IF(AND(YEAR($M22)=2018,MONTH($M22)&lt;=9),LOOKUP($J22,[1]!CMI[[#All],[CÓDIGO DE INDICADOR]],[1]!CMI[[#All],[EjecuciónAcumulada_8]]),IF(AND(YEAR($M22)=2018,MONTH($M22)&lt;=12),LOOKUP($J22,[1]!CMI[[#All],[CÓDIGO DE INDICADOR]],[1]!CMI[[#All],[EjecuciónAcumulada_9]]),IF(AND(YEAR($M22)=2019,MONTH($M22)&lt;=3),LOOKUP($J22,[1]!CMI[[#All],[CÓDIGO DE INDICADOR]],[1]!CMI[[#All],[EjecuciónAcumulada_10]]),IF(AND(YEAR($M22)=2019,MONTH($M22)&lt;=6),LOOKUP($J22,[1]!CMI[[#All],[CÓDIGO DE INDICADOR]],[1]!CMI[[#All],[EjecuciónAcumulada_11]]),IF(AND(YEAR($M22)=2019,MONTH($M22)&lt;=9),LOOKUP($J22,[1]!CMI[[#All],[CÓDIGO DE INDICADOR]],[1]!CMI[[#All],[EjecuciónAcumulada_12]]),IF(AND(YEAR($M22)=2019,MONTH($M22)&lt;=12),LOOKUP($J22,[1]!CMI[[#All],[CÓDIGO DE INDICADOR]],[1]!CMI[[#All],[EjecuciónAcumulada_13]]),IF(AND(YEAR($M22)=2020,MONTH($M22)&lt;=3),LOOKUP($J22,[1]!CMI[[#All],[CÓDIGO DE INDICADOR]],[1]!CMI[[#All],[EjecuciónAcumulada_14]]),IF(AND(YEAR($M22)=2020,MONTH($M22)&lt;=6),LOOKUP($J22,[1]!CMI[[#All],[CÓDIGO DE INDICADOR]],[1]!CMI[[#All],[EjecuciónAcumulada_15]]),IF(AND(YEAR($M22)=2020,MONTH($M22)&lt;=9),LOOKUP($J22,[1]!CMI[[#All],[CÓDIGO DE INDICADOR]],[1]!CMI[[#All],[EjecuciónAcumulada_16]]),IF(AND(YEAR($M22)=2020,MONTH($M22)&lt;=12),LOOKUP($J22,[1]!CMI[[#All],[CÓDIGO DE INDICADOR]],[1]!CMI[[#All],[EjecuciónAcumulada_17]]),"N.A")))))))))))))))))</f>
        <v>313</v>
      </c>
      <c r="BN22" s="17">
        <f t="shared" si="7"/>
        <v>0.626</v>
      </c>
      <c r="BO22" s="16">
        <f t="shared" si="0"/>
        <v>1500</v>
      </c>
      <c r="BP22" s="68">
        <f t="shared" si="8"/>
        <v>0.20866666666666667</v>
      </c>
    </row>
    <row r="23" spans="2:68" ht="198.75" customHeight="1">
      <c r="B23" s="133"/>
      <c r="C23" s="10" t="s">
        <v>119</v>
      </c>
      <c r="D23" s="11" t="str">
        <f>LOOKUP($J23,[1]!CMI[[#All],[CÓDIGO DE INDICADOR]],[1]!CMI[[#All],[NOMBRE DEL INDICADOR]])</f>
        <v>Informes de seguimiento semestral a la ejecución de proyectos y/o iniciativas ciudadanas priorizadas del Plan de Desarrollo Local</v>
      </c>
      <c r="E23" s="11" t="str">
        <f>LOOKUP($J23,[1]!CMI[[#All],[CÓDIGO DE INDICADOR]],[1]!CMI[[#All],[FÓRMULA DE CÁLCULO]])</f>
        <v>No. de informes de seguimiento presentados</v>
      </c>
      <c r="F23" s="12">
        <f>LOOKUP($J23,[1]!CMI[[#All],[CÓDIGO DE INDICADOR]],[1]!CMI[[#All],[VALOR PROGRAMADO TOTAL]])</f>
        <v>140</v>
      </c>
      <c r="G23" s="10" t="s">
        <v>126</v>
      </c>
      <c r="H23" s="10" t="s">
        <v>127</v>
      </c>
      <c r="I23" s="11" t="str">
        <f>LOOKUP($J23,[1]!CMI[[#All],[CÓDIGO DE INDICADOR]],[1]!CMI[[#All],[DEPENDENCIA]])</f>
        <v>PERSONERÍA DELEGADA PARA LA COORDINACIÓN DE PERSONERÍAS LOCALES</v>
      </c>
      <c r="J23" s="13" t="s">
        <v>238</v>
      </c>
      <c r="K23" s="11" t="str">
        <f>LOOKUP($J23,[1]!CMI[[#All],[CÓDIGO DE INDICADOR]],[1]!CMI[[#All],[CÁLCULO VALOR PROGRAMADO ACUMULADO]])</f>
        <v>Sumatoria</v>
      </c>
      <c r="L23" s="11" t="str">
        <f>LOOKUP($J23,[1]!CMI[[#All],[CÓDIGO DE INDICADOR]],[1]!CMI[[#All],[TENDENCIA DECRECIENTE]])</f>
        <v>No</v>
      </c>
      <c r="M23" s="14">
        <f>LOOKUP($J23,[1]!CMI[[#All],[CÓDIGO DE INDICADOR]],[1]!CMI[[#All],[FECHA DE CORTE]])</f>
        <v>43281</v>
      </c>
      <c r="N23" s="12">
        <v>0</v>
      </c>
      <c r="O23" s="12">
        <v>0</v>
      </c>
      <c r="P23" s="12">
        <v>0</v>
      </c>
      <c r="Q23" s="15">
        <v>0</v>
      </c>
      <c r="R23" s="15">
        <v>0</v>
      </c>
      <c r="S23" s="15">
        <v>0</v>
      </c>
      <c r="T23" s="15">
        <f>LOOKUP($J23,[1]!CMI[[#All],[CÓDIGO DE INDICADOR]],[1]!CMI[[#All],[Programado_1]])</f>
        <v>0</v>
      </c>
      <c r="U23" s="15">
        <f>IF(LOOKUP($J23,[1]!CMI[[#All],[CÓDIGO DE INDICADOR]],[1]!CMI[[#All],[Ejecutado_1]])="-",0,LOOKUP($J23,[1]!CMI[[#All],[CÓDIGO DE INDICADOR]],[1]!CMI[[#All],[Ejecutado_1]]))</f>
        <v>0</v>
      </c>
      <c r="V23" s="16">
        <f t="shared" si="1"/>
        <v>0</v>
      </c>
      <c r="W23" s="16">
        <f t="shared" si="2"/>
        <v>0</v>
      </c>
      <c r="X23" s="12">
        <f>LOOKUP($J23,[1]!CMI[[#All],[CÓDIGO DE INDICADOR]],[1]!CMI[[#All],[Programado_2]])</f>
        <v>0</v>
      </c>
      <c r="Y23" s="12">
        <f>IF(LOOKUP($J23,[1]!CMI[[#All],[CÓDIGO DE INDICADOR]],[1]!CMI[[#All],[Ejecutado_2]])="-",0,LOOKUP($J23,[1]!CMI[[#All],[CÓDIGO DE INDICADOR]],[1]!CMI[[#All],[Ejecutado_2]]))</f>
        <v>0</v>
      </c>
      <c r="Z23" s="12">
        <f>LOOKUP($J23,[1]!CMI[[#All],[CÓDIGO DE INDICADOR]],[1]!CMI[[#All],[Programado_3]])</f>
        <v>0</v>
      </c>
      <c r="AA23" s="15">
        <f>IF(LOOKUP($J23,[1]!CMI[[#All],[CÓDIGO DE INDICADOR]],[1]!CMI[[#All],[Ejecutado_3]])="-",0,LOOKUP($J23,[1]!CMI[[#All],[CÓDIGO DE INDICADOR]],[1]!CMI[[#All],[Ejecutado_3]]))</f>
        <v>1</v>
      </c>
      <c r="AB23" s="15">
        <f>LOOKUP($J23,[1]!CMI[[#All],[CÓDIGO DE INDICADOR]],[1]!CMI[[#All],[Programado_4]])</f>
        <v>0</v>
      </c>
      <c r="AC23" s="15">
        <f>IF(LOOKUP($J23,[1]!CMI[[#All],[CÓDIGO DE INDICADOR]],[1]!CMI[[#All],[Ejecutado_4]])="-",0,LOOKUP($J23,[1]!CMI[[#All],[CÓDIGO DE INDICADOR]],[1]!CMI[[#All],[Ejecutado_4]]))</f>
        <v>4</v>
      </c>
      <c r="AD23" s="15">
        <f>LOOKUP($J23,[1]!CMI[[#All],[CÓDIGO DE INDICADOR]],[1]!CMI[[#All],[Programado_5]])</f>
        <v>20</v>
      </c>
      <c r="AE23" s="15">
        <f>IF(LOOKUP($J23,[1]!CMI[[#All],[CÓDIGO DE INDICADOR]],[1]!CMI[[#All],[Ejecutado_5]])="-",0,LOOKUP($J23,[1]!CMI[[#All],[CÓDIGO DE INDICADOR]],[1]!CMI[[#All],[Ejecutado_5]]))</f>
        <v>13</v>
      </c>
      <c r="AF23" s="16">
        <f t="shared" si="3"/>
        <v>20</v>
      </c>
      <c r="AG23" s="16">
        <f>IF(OR(LOOKUP($J23,[1]!CMI[[#All],[CÓDIGO DE INDICADOR]],[1]!CMI[[#All],[TIPO DE FÓRMULA]])="Valor absoluto",LOOKUP($J23,[1]!CMI[[#All],[CÓDIGO DE INDICADOR]],[1]!CMI[[#All],[TIPO DE FÓRMULA]])="Suma"),Y23+AA23+AC23+AE23,IF(OR(LOOKUP($J23,[1]!CMI[[#All],[CÓDIGO DE INDICADOR]],[1]!CMI[[#All],[TIPO DE FÓRMULA]])="Porcentaje",LOOKUP($J23,[1]!CMI[[#All],[CÓDIGO DE INDICADOR]],[1]!CMI[[#All],[TIPO DE FÓRMULA]])="División"),IF(LOOKUP($J23,[1]!CMI[[#All],[CÓDIGO DE INDICADOR]],[1]!CMI[[#All],[Variable2_2]])+LOOKUP($J23,[1]!CMI[[#All],[CÓDIGO DE INDICADOR]],[1]!CMI[[#All],[Variable2_3]])+LOOKUP($J23,[1]!CMI[[#All],[CÓDIGO DE INDICADOR]],[1]!CMI[[#All],[Variable2_4]])+LOOKUP($J23,[1]!CMI[[#All],[CÓDIGO DE INDICADOR]],[1]!CMI[[#All],[Variable2_5]])=0,0,(LOOKUP($J23,[1]!CMI[[#All],[CÓDIGO DE INDICADOR]],[1]!CMI[[#All],[Variable1_2]])+LOOKUP($J23,[1]!CMI[[#All],[CÓDIGO DE INDICADOR]],[1]!CMI[[#All],[Variable1_3]])+LOOKUP($J23,[1]!CMI[[#All],[CÓDIGO DE INDICADOR]],[1]!CMI[[#All],[Variable1_4]])+LOOKUP($J23,[1]!CMI[[#All],[CÓDIGO DE INDICADOR]],[1]!CMI[[#All],[Variable1_5]]))/(LOOKUP($J23,[1]!CMI[[#All],[CÓDIGO DE INDICADOR]],[1]!CMI[[#All],[Variable2_2]])+LOOKUP($J23,[1]!CMI[[#All],[CÓDIGO DE INDICADOR]],[1]!CMI[[#All],[Variable2_3]])+LOOKUP($J23,[1]!CMI[[#All],[CÓDIGO DE INDICADOR]],[1]!CMI[[#All],[Variable2_4]])+LOOKUP($J23,[1]!CMI[[#All],[CÓDIGO DE INDICADOR]],[1]!CMI[[#All],[Variable2_5]]))),IF(LOOKUP($J23,[1]!CMI[[#All],[CÓDIGO DE INDICADOR]],[1]!CMI[[#All],[TIPO DE FÓRMULA]])="Tasa de variación",LOOKUP($J23,[1]!CMI[[#All],[CÓDIGO DE INDICADOR]],[1]!CMI[[#All],[EjecuciónAcumulada_5]]),0)))</f>
        <v>18</v>
      </c>
      <c r="AH23" s="12">
        <f>LOOKUP($J23,[1]!CMI[[#All],[CÓDIGO DE INDICADOR]],[1]!CMI[[#All],[Programado_6]])</f>
        <v>20</v>
      </c>
      <c r="AI23" s="12">
        <f>IF(LOOKUP($J23,[1]!CMI[[#All],[CÓDIGO DE INDICADOR]],[1]!CMI[[#All],[Ejecutado_6]])="-",0,LOOKUP($J23,[1]!CMI[[#All],[CÓDIGO DE INDICADOR]],[1]!CMI[[#All],[Ejecutado_6]]))</f>
        <v>21</v>
      </c>
      <c r="AJ23" s="12">
        <f>LOOKUP($J23,[1]!CMI[[#All],[CÓDIGO DE INDICADOR]],[1]!CMI[[#All],[Programado_7]])</f>
        <v>0</v>
      </c>
      <c r="AK23" s="15">
        <f>IF(LOOKUP($J23,[1]!CMI[[#All],[CÓDIGO DE INDICADOR]],[1]!CMI[[#All],[Ejecutado_7]])="-",0,LOOKUP($J23,[1]!CMI[[#All],[CÓDIGO DE INDICADOR]],[1]!CMI[[#All],[Ejecutado_7]]))</f>
        <v>0</v>
      </c>
      <c r="AL23" s="15">
        <f>LOOKUP($J23,[1]!CMI[[#All],[CÓDIGO DE INDICADOR]],[1]!CMI[[#All],[Programado_8]])</f>
        <v>20</v>
      </c>
      <c r="AM23" s="15">
        <f>IF(LOOKUP($J23,[1]!CMI[[#All],[CÓDIGO DE INDICADOR]],[1]!CMI[[#All],[Ejecutado_8]])="-",0,LOOKUP($J23,[1]!CMI[[#All],[CÓDIGO DE INDICADOR]],[1]!CMI[[#All],[Ejecutado_8]]))</f>
        <v>0</v>
      </c>
      <c r="AN23" s="15">
        <f>LOOKUP($J23,[1]!CMI[[#All],[CÓDIGO DE INDICADOR]],[1]!CMI[[#All],[Programado_9]])</f>
        <v>0</v>
      </c>
      <c r="AO23" s="15">
        <f>IF(LOOKUP($J23,[1]!CMI[[#All],[CÓDIGO DE INDICADOR]],[1]!CMI[[#All],[Ejecutado_9]])="-",0,LOOKUP($J23,[1]!CMI[[#All],[CÓDIGO DE INDICADOR]],[1]!CMI[[#All],[Ejecutado_9]]))</f>
        <v>0</v>
      </c>
      <c r="AP23" s="16">
        <f t="shared" si="4"/>
        <v>40</v>
      </c>
      <c r="AQ23" s="16">
        <f>IF(OR(LOOKUP($J23,[1]!CMI[[#All],[CÓDIGO DE INDICADOR]],[1]!CMI[[#All],[TIPO DE FÓRMULA]])="Valor absoluto",LOOKUP($J23,[1]!CMI[[#All],[CÓDIGO DE INDICADOR]],[1]!CMI[[#All],[TIPO DE FÓRMULA]])="Suma"),AI23+AK23+AM23+AO23,IF(OR(LOOKUP($J23,[1]!CMI[[#All],[CÓDIGO DE INDICADOR]],[1]!CMI[[#All],[TIPO DE FÓRMULA]])="Porcentaje",LOOKUP($J23,[1]!CMI[[#All],[CÓDIGO DE INDICADOR]],[1]!CMI[[#All],[TIPO DE FÓRMULA]])="División"),IF(LOOKUP($J23,[1]!CMI[[#All],[CÓDIGO DE INDICADOR]],[1]!CMI[[#All],[Variable2_6]])+LOOKUP($J23,[1]!CMI[[#All],[CÓDIGO DE INDICADOR]],[1]!CMI[[#All],[Variable2_7]])+LOOKUP($J23,[1]!CMI[[#All],[CÓDIGO DE INDICADOR]],[1]!CMI[[#All],[Variable2_8]])+LOOKUP($J23,[1]!CMI[[#All],[CÓDIGO DE INDICADOR]],[1]!CMI[[#All],[Variable2_9]])=0,0,(LOOKUP($J23,[1]!CMI[[#All],[CÓDIGO DE INDICADOR]],[1]!CMI[[#All],[Variable1_6]])+LOOKUP($J23,[1]!CMI[[#All],[CÓDIGO DE INDICADOR]],[1]!CMI[[#All],[Variable1_7]])+LOOKUP($J23,[1]!CMI[[#All],[CÓDIGO DE INDICADOR]],[1]!CMI[[#All],[Variable1_8]])+LOOKUP($J23,[1]!CMI[[#All],[CÓDIGO DE INDICADOR]],[1]!CMI[[#All],[Variable1_9]]))/(LOOKUP($J23,[1]!CMI[[#All],[CÓDIGO DE INDICADOR]],[1]!CMI[[#All],[Variable2_6]])+LOOKUP($J23,[1]!CMI[[#All],[CÓDIGO DE INDICADOR]],[1]!CMI[[#All],[Variable2_7]])+LOOKUP($J23,[1]!CMI[[#All],[CÓDIGO DE INDICADOR]],[1]!CMI[[#All],[Variable2_8]])+LOOKUP($J23,[1]!CMI[[#All],[CÓDIGO DE INDICADOR]],[1]!CMI[[#All],[Variable2_9]]))),IF(LOOKUP($J23,[1]!CMI[[#All],[CÓDIGO DE INDICADOR]],[1]!CMI[[#All],[TIPO DE FÓRMULA]])="Tasa de variación",LOOKUP($J23,[1]!CMI[[#All],[CÓDIGO DE INDICADOR]],[1]!CMI[[#All],[EjecuciónAcumulada_9]]),0)))</f>
        <v>21</v>
      </c>
      <c r="AR23" s="12">
        <f>LOOKUP($J23,[1]!CMI[[#All],[CÓDIGO DE INDICADOR]],[1]!CMI[[#All],[Programado_10]])</f>
        <v>20</v>
      </c>
      <c r="AS23" s="12">
        <f>IF(LOOKUP($J23,[1]!CMI[[#All],[CÓDIGO DE INDICADOR]],[1]!CMI[[#All],[Ejecutado_10]])="-",0,LOOKUP($J23,[1]!CMI[[#All],[CÓDIGO DE INDICADOR]],[1]!CMI[[#All],[Ejecutado_10]]))</f>
        <v>0</v>
      </c>
      <c r="AT23" s="12">
        <f>LOOKUP($J23,[1]!CMI[[#All],[CÓDIGO DE INDICADOR]],[1]!CMI[[#All],[Programado_11]])</f>
        <v>0</v>
      </c>
      <c r="AU23" s="15">
        <f>IF(LOOKUP($J23,[1]!CMI[[#All],[CÓDIGO DE INDICADOR]],[1]!CMI[[#All],[Ejecutado_11]])="-",0,LOOKUP($J23,[1]!CMI[[#All],[CÓDIGO DE INDICADOR]],[1]!CMI[[#All],[Ejecutado_11]]))</f>
        <v>0</v>
      </c>
      <c r="AV23" s="15">
        <f>LOOKUP($J23,[1]!CMI[[#All],[CÓDIGO DE INDICADOR]],[1]!CMI[[#All],[Programado_12]])</f>
        <v>20</v>
      </c>
      <c r="AW23" s="15">
        <f>IF(LOOKUP($J23,[1]!CMI[[#All],[CÓDIGO DE INDICADOR]],[1]!CMI[[#All],[Ejecutado_12]])="-",0,LOOKUP($J23,[1]!CMI[[#All],[CÓDIGO DE INDICADOR]],[1]!CMI[[#All],[Ejecutado_12]]))</f>
        <v>0</v>
      </c>
      <c r="AX23" s="15">
        <f>LOOKUP($J23,[1]!CMI[[#All],[CÓDIGO DE INDICADOR]],[1]!CMI[[#All],[Programado_13]])</f>
        <v>0</v>
      </c>
      <c r="AY23" s="15">
        <f>IF(LOOKUP($J23,[1]!CMI[[#All],[CÓDIGO DE INDICADOR]],[1]!CMI[[#All],[Ejecutado_13]])="-",0,LOOKUP($J23,[1]!CMI[[#All],[CÓDIGO DE INDICADOR]],[1]!CMI[[#All],[Ejecutado_13]]))</f>
        <v>0</v>
      </c>
      <c r="AZ23" s="16">
        <f t="shared" si="5"/>
        <v>40</v>
      </c>
      <c r="BA23" s="16">
        <f>IF(OR(LOOKUP($J23,[1]!CMI[[#All],[CÓDIGO DE INDICADOR]],[1]!CMI[[#All],[TIPO DE FÓRMULA]])="Valor absoluto",LOOKUP($J23,[1]!CMI[[#All],[CÓDIGO DE INDICADOR]],[1]!CMI[[#All],[TIPO DE FÓRMULA]])="Suma"),AS23+AU23+AW23+AY23,IF(OR(LOOKUP($J23,[1]!CMI[[#All],[CÓDIGO DE INDICADOR]],[1]!CMI[[#All],[TIPO DE FÓRMULA]])="Porcentaje",LOOKUP($J23,[1]!CMI[[#All],[CÓDIGO DE INDICADOR]],[1]!CMI[[#All],[TIPO DE FÓRMULA]])="División"),IF(LOOKUP($J23,[1]!CMI[[#All],[CÓDIGO DE INDICADOR]],[1]!CMI[[#All],[Variable2_10]])+LOOKUP($J23,[1]!CMI[[#All],[CÓDIGO DE INDICADOR]],[1]!CMI[[#All],[Variable2_11]])+LOOKUP($J23,[1]!CMI[[#All],[CÓDIGO DE INDICADOR]],[1]!CMI[[#All],[Variable2_12]])+LOOKUP($J23,[1]!CMI[[#All],[CÓDIGO DE INDICADOR]],[1]!CMI[[#All],[Variable2_13]])=0,0,(LOOKUP($J23,[1]!CMI[[#All],[CÓDIGO DE INDICADOR]],[1]!CMI[[#All],[Variable1_10]])+LOOKUP($J23,[1]!CMI[[#All],[CÓDIGO DE INDICADOR]],[1]!CMI[[#All],[Variable1_11]])+LOOKUP($J23,[1]!CMI[[#All],[CÓDIGO DE INDICADOR]],[1]!CMI[[#All],[Variable1_12]])+LOOKUP($J23,[1]!CMI[[#All],[CÓDIGO DE INDICADOR]],[1]!CMI[[#All],[Variable1_13]]))/(LOOKUP($J23,[1]!CMI[[#All],[CÓDIGO DE INDICADOR]],[1]!CMI[[#All],[Variable2_10]])+LOOKUP($J23,[1]!CMI[[#All],[CÓDIGO DE INDICADOR]],[1]!CMI[[#All],[Variable2_11]])+LOOKUP($J23,[1]!CMI[[#All],[CÓDIGO DE INDICADOR]],[1]!CMI[[#All],[Variable2_12]])+LOOKUP($J23,[1]!CMI[[#All],[CÓDIGO DE INDICADOR]],[1]!CMI[[#All],[Variable2_13]]))),IF(LOOKUP($J23,[1]!CMI[[#All],[CÓDIGO DE INDICADOR]],[1]!CMI[[#All],[TIPO DE FÓRMULA]])="Tasa de variación",LOOKUP($J23,[1]!CMI[[#All],[CÓDIGO DE INDICADOR]],[1]!CMI[[#All],[EjecuciónAcumulada_13]]),0)))</f>
        <v>0</v>
      </c>
      <c r="BB23" s="12">
        <f>LOOKUP($J23,[1]!CMI[[#All],[CÓDIGO DE INDICADOR]],[1]!CMI[[#All],[Programado_14]])</f>
        <v>20</v>
      </c>
      <c r="BC23" s="12">
        <f>IF(LOOKUP($J23,[1]!CMI[[#All],[CÓDIGO DE INDICADOR]],[1]!CMI[[#All],[Ejecutado_14]])="-",0,LOOKUP($J23,[1]!CMI[[#All],[CÓDIGO DE INDICADOR]],[1]!CMI[[#All],[Ejecutado_14]]))</f>
        <v>0</v>
      </c>
      <c r="BD23" s="12">
        <f>LOOKUP($J23,[1]!CMI[[#All],[CÓDIGO DE INDICADOR]],[1]!CMI[[#All],[Programado_15]])</f>
        <v>0</v>
      </c>
      <c r="BE23" s="15">
        <f>IF(LOOKUP($J23,[1]!CMI[[#All],[CÓDIGO DE INDICADOR]],[1]!CMI[[#All],[Ejecutado_15]])="-",0,LOOKUP($J23,[1]!CMI[[#All],[CÓDIGO DE INDICADOR]],[1]!CMI[[#All],[Ejecutado_15]]))</f>
        <v>0</v>
      </c>
      <c r="BF23" s="15">
        <f>LOOKUP($J23,[1]!CMI[[#All],[CÓDIGO DE INDICADOR]],[1]!CMI[[#All],[Programado_16]])</f>
        <v>20</v>
      </c>
      <c r="BG23" s="15">
        <f>IF(LOOKUP($J23,[1]!CMI[[#All],[CÓDIGO DE INDICADOR]],[1]!CMI[[#All],[Ejecutado_16]])="-",0,LOOKUP($J23,[1]!CMI[[#All],[CÓDIGO DE INDICADOR]],[1]!CMI[[#All],[Ejecutado_16]]))</f>
        <v>0</v>
      </c>
      <c r="BH23" s="15">
        <f>LOOKUP($J23,[1]!CMI[[#All],[CÓDIGO DE INDICADOR]],[1]!CMI[[#All],[Programado_17]])</f>
        <v>0</v>
      </c>
      <c r="BI23" s="15">
        <f>IF(LOOKUP($J23,[1]!CMI[[#All],[CÓDIGO DE INDICADOR]],[1]!CMI[[#All],[Ejecutado_17]])="-",0,LOOKUP($J23,[1]!CMI[[#All],[CÓDIGO DE INDICADOR]],[1]!CMI[[#All],[Ejecutado_17]]))</f>
        <v>0</v>
      </c>
      <c r="BJ23" s="16">
        <f t="shared" si="6"/>
        <v>40</v>
      </c>
      <c r="BK23" s="16">
        <f>IF(OR(LOOKUP($J23,[1]!CMI[[#All],[CÓDIGO DE INDICADOR]],[1]!CMI[[#All],[TIPO DE FÓRMULA]])="Valor absoluto",LOOKUP($J23,[1]!CMI[[#All],[CÓDIGO DE INDICADOR]],[1]!CMI[[#All],[TIPO DE FÓRMULA]])="Suma"),BC23+BE23+BG23+BI23,IF(OR(LOOKUP($J23,[1]!CMI[[#All],[CÓDIGO DE INDICADOR]],[1]!CMI[[#All],[TIPO DE FÓRMULA]])="Porcentaje",LOOKUP($J23,[1]!CMI[[#All],[CÓDIGO DE INDICADOR]],[1]!CMI[[#All],[TIPO DE FÓRMULA]])="División"),IF(LOOKUP($J23,[1]!CMI[[#All],[CÓDIGO DE INDICADOR]],[1]!CMI[[#All],[Variable2_14]])+LOOKUP($J23,[1]!CMI[[#All],[CÓDIGO DE INDICADOR]],[1]!CMI[[#All],[Variable2_15]])+LOOKUP($J23,[1]!CMI[[#All],[CÓDIGO DE INDICADOR]],[1]!CMI[[#All],[Variable2_16]])+LOOKUP($J23,[1]!CMI[[#All],[CÓDIGO DE INDICADOR]],[1]!CMI[[#All],[Variable2_17]])=0,0,(LOOKUP($J23,[1]!CMI[[#All],[CÓDIGO DE INDICADOR]],[1]!CMI[[#All],[Variable1_14]])+LOOKUP($J23,[1]!CMI[[#All],[CÓDIGO DE INDICADOR]],[1]!CMI[[#All],[Variable1_15]])+LOOKUP($J23,[1]!CMI[[#All],[CÓDIGO DE INDICADOR]],[1]!CMI[[#All],[Variable1_16]])+LOOKUP($J23,[1]!CMI[[#All],[CÓDIGO DE INDICADOR]],[1]!CMI[[#All],[Variable1_17]]))/(LOOKUP($J23,[1]!CMI[[#All],[CÓDIGO DE INDICADOR]],[1]!CMI[[#All],[Variable2_14]])+LOOKUP($J23,[1]!CMI[[#All],[CÓDIGO DE INDICADOR]],[1]!CMI[[#All],[Variable2_15]])+LOOKUP($J23,[1]!CMI[[#All],[CÓDIGO DE INDICADOR]],[1]!CMI[[#All],[Variable2_16]])+LOOKUP($J23,[1]!CMI[[#All],[CÓDIGO DE INDICADOR]],[1]!CMI[[#All],[Variable2_17]]))),IF(LOOKUP($J23,[1]!CMI[[#All],[CÓDIGO DE INDICADOR]],[1]!CMI[[#All],[TIPO DE FÓRMULA]])="Tasa de variación",LOOKUP($J23,[1]!CMI[[#All],[CÓDIGO DE INDICADOR]],[1]!CMI[[#All],[EjecuciónAcumulada_17]]),0)))</f>
        <v>0</v>
      </c>
      <c r="BL23" s="16">
        <f>IF(YEAR($M23)=2016,LOOKUP($J23,[1]!CMI[[#All],[CÓDIGO DE INDICADOR]],[1]!CMI[[#All],[ProgramadoAcumulado_1]]),IF(AND(YEAR($M23)=2017,MONTH($M23)&lt;=3),LOOKUP($J23,[1]!CMI[[#All],[CÓDIGO DE INDICADOR]],[1]!CMI[[#All],[ProgramadoAcumulado_2]]),IF(AND(YEAR($M23)=2017,MONTH($M23)&lt;=6),LOOKUP($J23,[1]!CMI[[#All],[CÓDIGO DE INDICADOR]],[1]!CMI[[#All],[ProgramadoAcumulado_3]]),IF(AND(YEAR($M23)=2017,MONTH($M23)&lt;=9),LOOKUP($J23,[1]!CMI[[#All],[CÓDIGO DE INDICADOR]],[1]!CMI[[#All],[ProgramadoAcumulado_4]]),IF(AND(YEAR($M23)=2017,MONTH($M23)&lt;=12),LOOKUP($J23,[1]!CMI[[#All],[CÓDIGO DE INDICADOR]],[1]!CMI[[#All],[ProgramadoAcumulado_5]]),IF(AND(YEAR($M23)=2018,MONTH($M23)&lt;=3),LOOKUP($J23,[1]!CMI[[#All],[CÓDIGO DE INDICADOR]],[1]!CMI[[#All],[ProgramadoAcumulado_6]]),IF(AND(YEAR($M23)=2018,MONTH($M23)&lt;=6),LOOKUP($J23,[1]!CMI[[#All],[CÓDIGO DE INDICADOR]],[1]!CMI[[#All],[ProgramadoAcumulado_7]]),IF(AND(YEAR($M23)=2018,MONTH($M23)&lt;=9),LOOKUP($J23,[1]!CMI[[#All],[CÓDIGO DE INDICADOR]],[1]!CMI[[#All],[ProgramadoAcumulado_8]]),IF(AND(YEAR($M23)=2018,MONTH($M23)&lt;=12),LOOKUP($J23,[1]!CMI[[#All],[CÓDIGO DE INDICADOR]],[1]!CMI[[#All],[ProgramadoAcumulado_9]]),IF(AND(YEAR($M23)=2019,MONTH($M23)&lt;=3),LOOKUP($J23,[1]!CMI[[#All],[CÓDIGO DE INDICADOR]],[1]!CMI[[#All],[ProgramadoAcumulado_10]]),IF(AND(YEAR($M23)=2019,MONTH($M23)&lt;=6),LOOKUP($J23,[1]!CMI[[#All],[CÓDIGO DE INDICADOR]],[1]!CMI[[#All],[ProgramadoAcumulado_11]]),IF(AND(YEAR($M23)=2019,MONTH($M23)&lt;=9),LOOKUP($J23,[1]!CMI[[#All],[CÓDIGO DE INDICADOR]],[1]!CMI[[#All],[ProgramadoAcumulado_12]]),IF(AND(YEAR($M23)=2019,MONTH($M23)&lt;=12),LOOKUP($J23,[1]!CMI[[#All],[CÓDIGO DE INDICADOR]],[1]!CMI[[#All],[ProgramadoAcumulado_13]]),IF(AND(YEAR($M23)=2020,MONTH($M23)&lt;=3),LOOKUP($J23,[1]!CMI[[#All],[CÓDIGO DE INDICADOR]],[1]!CMI[[#All],[ProgramadoAcumulado_14]]),IF(AND(YEAR($M23)=2020,MONTH($M23)&lt;=6),LOOKUP($J23,[1]!CMI[[#All],[CÓDIGO DE INDICADOR]],[1]!CMI[[#All],[ProgramadoAcumulado_15]]),IF(AND(YEAR($M23)=2020,MONTH($M23)&lt;=9),LOOKUP($J23,[1]!CMI[[#All],[CÓDIGO DE INDICADOR]],[1]!CMI[[#All],[ProgramadoAcumulado_16]]),IF(AND(YEAR($M23)=2020,MONTH($M23)&lt;=12),LOOKUP($J23,[1]!CMI[[#All],[CÓDIGO DE INDICADOR]],[1]!CMI[[#All],[ProgramadoAcumulado_17]]),"N.A")))))))))))))))))</f>
        <v>40</v>
      </c>
      <c r="BM23" s="16">
        <f>IF(YEAR($M23)=2016,LOOKUP($J23,[1]!CMI[[#All],[CÓDIGO DE INDICADOR]],[1]!CMI[[#All],[EjecuciónAcumulada_1]]),IF(AND(YEAR($M23)=2017,MONTH($M23)&lt;=3),LOOKUP($J23,[1]!CMI[[#All],[CÓDIGO DE INDICADOR]],[1]!CMI[[#All],[EjecuciónAcumulada_2]]),IF(AND(YEAR($M23)=2017,MONTH($M23)&lt;=6),LOOKUP($J23,[1]!CMI[[#All],[CÓDIGO DE INDICADOR]],[1]!CMI[[#All],[EjecuciónAcumulada_3]]),IF(AND(YEAR($M23)=2017,MONTH($M23)&lt;=9),LOOKUP($J23,[1]!CMI[[#All],[CÓDIGO DE INDICADOR]],[1]!CMI[[#All],[EjecuciónAcumulada_4]]),IF(AND(YEAR($M23)=2017,MONTH($M23)&lt;=12),LOOKUP($J23,[1]!CMI[[#All],[CÓDIGO DE INDICADOR]],[1]!CMI[[#All],[EjecuciónAcumulada_5]]),IF(AND(YEAR($M23)=2018,MONTH($M23)&lt;=3),LOOKUP($J23,[1]!CMI[[#All],[CÓDIGO DE INDICADOR]],[1]!CMI[[#All],[EjecuciónAcumulada_6]]),IF(AND(YEAR($M23)=2018,MONTH($M23)&lt;=6),LOOKUP($J23,[1]!CMI[[#All],[CÓDIGO DE INDICADOR]],[1]!CMI[[#All],[EjecuciónAcumulada_7]]),IF(AND(YEAR($M23)=2018,MONTH($M23)&lt;=9),LOOKUP($J23,[1]!CMI[[#All],[CÓDIGO DE INDICADOR]],[1]!CMI[[#All],[EjecuciónAcumulada_8]]),IF(AND(YEAR($M23)=2018,MONTH($M23)&lt;=12),LOOKUP($J23,[1]!CMI[[#All],[CÓDIGO DE INDICADOR]],[1]!CMI[[#All],[EjecuciónAcumulada_9]]),IF(AND(YEAR($M23)=2019,MONTH($M23)&lt;=3),LOOKUP($J23,[1]!CMI[[#All],[CÓDIGO DE INDICADOR]],[1]!CMI[[#All],[EjecuciónAcumulada_10]]),IF(AND(YEAR($M23)=2019,MONTH($M23)&lt;=6),LOOKUP($J23,[1]!CMI[[#All],[CÓDIGO DE INDICADOR]],[1]!CMI[[#All],[EjecuciónAcumulada_11]]),IF(AND(YEAR($M23)=2019,MONTH($M23)&lt;=9),LOOKUP($J23,[1]!CMI[[#All],[CÓDIGO DE INDICADOR]],[1]!CMI[[#All],[EjecuciónAcumulada_12]]),IF(AND(YEAR($M23)=2019,MONTH($M23)&lt;=12),LOOKUP($J23,[1]!CMI[[#All],[CÓDIGO DE INDICADOR]],[1]!CMI[[#All],[EjecuciónAcumulada_13]]),IF(AND(YEAR($M23)=2020,MONTH($M23)&lt;=3),LOOKUP($J23,[1]!CMI[[#All],[CÓDIGO DE INDICADOR]],[1]!CMI[[#All],[EjecuciónAcumulada_14]]),IF(AND(YEAR($M23)=2020,MONTH($M23)&lt;=6),LOOKUP($J23,[1]!CMI[[#All],[CÓDIGO DE INDICADOR]],[1]!CMI[[#All],[EjecuciónAcumulada_15]]),IF(AND(YEAR($M23)=2020,MONTH($M23)&lt;=9),LOOKUP($J23,[1]!CMI[[#All],[CÓDIGO DE INDICADOR]],[1]!CMI[[#All],[EjecuciónAcumulada_16]]),IF(AND(YEAR($M23)=2020,MONTH($M23)&lt;=12),LOOKUP($J23,[1]!CMI[[#All],[CÓDIGO DE INDICADOR]],[1]!CMI[[#All],[EjecuciónAcumulada_17]]),"N.A")))))))))))))))))</f>
        <v>39</v>
      </c>
      <c r="BN23" s="17">
        <f t="shared" si="7"/>
        <v>0.97499999999999998</v>
      </c>
      <c r="BO23" s="16">
        <f t="shared" si="0"/>
        <v>140</v>
      </c>
      <c r="BP23" s="68">
        <f t="shared" si="8"/>
        <v>0.27857142857142858</v>
      </c>
    </row>
    <row r="24" spans="2:68" ht="163.5" customHeight="1">
      <c r="B24" s="133"/>
      <c r="C24" s="10" t="s">
        <v>120</v>
      </c>
      <c r="D24" s="11" t="str">
        <f>LOOKUP($J24,[1]!CMI[[#All],[CÓDIGO DE INDICADOR]],[1]!CMI[[#All],[NOMBRE DEL INDICADOR]])</f>
        <v>Personerías locales con prestación del servicio de Tutelas</v>
      </c>
      <c r="E24" s="11" t="str">
        <f>LOOKUP($J24,[1]!CMI[[#All],[CÓDIGO DE INDICADOR]],[1]!CMI[[#All],[FÓRMULA DE CÁLCULO]])</f>
        <v>No. de personerías locales con prestación del servicio de Tutelas</v>
      </c>
      <c r="F24" s="12">
        <f>LOOKUP($J24,[1]!CMI[[#All],[CÓDIGO DE INDICADOR]],[1]!CMI[[#All],[VALOR PROGRAMADO TOTAL]])</f>
        <v>20</v>
      </c>
      <c r="G24" s="10" t="s">
        <v>128</v>
      </c>
      <c r="H24" s="10" t="s">
        <v>129</v>
      </c>
      <c r="I24" s="11" t="str">
        <f>LOOKUP($J24,[1]!CMI[[#All],[CÓDIGO DE INDICADOR]],[1]!CMI[[#All],[DEPENDENCIA]])</f>
        <v>PERSONERÍA DELEGADA PARA LA COORDINACIÓN DE PERSONERÍAS LOCALES</v>
      </c>
      <c r="J24" s="13" t="s">
        <v>239</v>
      </c>
      <c r="K24" s="11" t="str">
        <f>LOOKUP($J24,[1]!CMI[[#All],[CÓDIGO DE INDICADOR]],[1]!CMI[[#All],[CÁLCULO VALOR PROGRAMADO ACUMULADO]])</f>
        <v>Sumatoria</v>
      </c>
      <c r="L24" s="11" t="str">
        <f>LOOKUP($J24,[1]!CMI[[#All],[CÓDIGO DE INDICADOR]],[1]!CMI[[#All],[TENDENCIA DECRECIENTE]])</f>
        <v>No</v>
      </c>
      <c r="M24" s="14">
        <f>LOOKUP($J24,[1]!CMI[[#All],[CÓDIGO DE INDICADOR]],[1]!CMI[[#All],[FECHA DE CORTE]])</f>
        <v>43281</v>
      </c>
      <c r="N24" s="12">
        <v>0</v>
      </c>
      <c r="O24" s="12">
        <v>0</v>
      </c>
      <c r="P24" s="12">
        <v>0</v>
      </c>
      <c r="Q24" s="15">
        <v>0</v>
      </c>
      <c r="R24" s="15">
        <v>0</v>
      </c>
      <c r="S24" s="15">
        <v>0</v>
      </c>
      <c r="T24" s="15">
        <f>LOOKUP($J24,[1]!CMI[[#All],[CÓDIGO DE INDICADOR]],[1]!CMI[[#All],[Programado_1]])</f>
        <v>0</v>
      </c>
      <c r="U24" s="15">
        <f>IF(LOOKUP($J24,[1]!CMI[[#All],[CÓDIGO DE INDICADOR]],[1]!CMI[[#All],[Ejecutado_1]])="-",0,LOOKUP($J24,[1]!CMI[[#All],[CÓDIGO DE INDICADOR]],[1]!CMI[[#All],[Ejecutado_1]]))</f>
        <v>0</v>
      </c>
      <c r="V24" s="16">
        <f t="shared" si="1"/>
        <v>0</v>
      </c>
      <c r="W24" s="16">
        <f t="shared" si="2"/>
        <v>0</v>
      </c>
      <c r="X24" s="12">
        <f>LOOKUP($J24,[1]!CMI[[#All],[CÓDIGO DE INDICADOR]],[1]!CMI[[#All],[Programado_2]])</f>
        <v>0</v>
      </c>
      <c r="Y24" s="12">
        <f>IF(LOOKUP($J24,[1]!CMI[[#All],[CÓDIGO DE INDICADOR]],[1]!CMI[[#All],[Ejecutado_2]])="-",0,LOOKUP($J24,[1]!CMI[[#All],[CÓDIGO DE INDICADOR]],[1]!CMI[[#All],[Ejecutado_2]]))</f>
        <v>0</v>
      </c>
      <c r="Z24" s="12">
        <f>LOOKUP($J24,[1]!CMI[[#All],[CÓDIGO DE INDICADOR]],[1]!CMI[[#All],[Programado_3]])</f>
        <v>2</v>
      </c>
      <c r="AA24" s="15">
        <f>IF(LOOKUP($J24,[1]!CMI[[#All],[CÓDIGO DE INDICADOR]],[1]!CMI[[#All],[Ejecutado_3]])="-",0,LOOKUP($J24,[1]!CMI[[#All],[CÓDIGO DE INDICADOR]],[1]!CMI[[#All],[Ejecutado_3]]))</f>
        <v>0</v>
      </c>
      <c r="AB24" s="15">
        <f>LOOKUP($J24,[1]!CMI[[#All],[CÓDIGO DE INDICADOR]],[1]!CMI[[#All],[Programado_4]])</f>
        <v>0</v>
      </c>
      <c r="AC24" s="15">
        <f>IF(LOOKUP($J24,[1]!CMI[[#All],[CÓDIGO DE INDICADOR]],[1]!CMI[[#All],[Ejecutado_4]])="-",0,LOOKUP($J24,[1]!CMI[[#All],[CÓDIGO DE INDICADOR]],[1]!CMI[[#All],[Ejecutado_4]]))</f>
        <v>0</v>
      </c>
      <c r="AD24" s="15">
        <f>LOOKUP($J24,[1]!CMI[[#All],[CÓDIGO DE INDICADOR]],[1]!CMI[[#All],[Programado_5]])</f>
        <v>0</v>
      </c>
      <c r="AE24" s="15">
        <f>IF(LOOKUP($J24,[1]!CMI[[#All],[CÓDIGO DE INDICADOR]],[1]!CMI[[#All],[Ejecutado_5]])="-",0,LOOKUP($J24,[1]!CMI[[#All],[CÓDIGO DE INDICADOR]],[1]!CMI[[#All],[Ejecutado_5]]))</f>
        <v>6</v>
      </c>
      <c r="AF24" s="16">
        <f t="shared" si="3"/>
        <v>2</v>
      </c>
      <c r="AG24" s="16">
        <f>IF(OR(LOOKUP($J24,[1]!CMI[[#All],[CÓDIGO DE INDICADOR]],[1]!CMI[[#All],[TIPO DE FÓRMULA]])="Valor absoluto",LOOKUP($J24,[1]!CMI[[#All],[CÓDIGO DE INDICADOR]],[1]!CMI[[#All],[TIPO DE FÓRMULA]])="Suma"),Y24+AA24+AC24+AE24,IF(OR(LOOKUP($J24,[1]!CMI[[#All],[CÓDIGO DE INDICADOR]],[1]!CMI[[#All],[TIPO DE FÓRMULA]])="Porcentaje",LOOKUP($J24,[1]!CMI[[#All],[CÓDIGO DE INDICADOR]],[1]!CMI[[#All],[TIPO DE FÓRMULA]])="División"),IF(LOOKUP($J24,[1]!CMI[[#All],[CÓDIGO DE INDICADOR]],[1]!CMI[[#All],[Variable2_2]])+LOOKUP($J24,[1]!CMI[[#All],[CÓDIGO DE INDICADOR]],[1]!CMI[[#All],[Variable2_3]])+LOOKUP($J24,[1]!CMI[[#All],[CÓDIGO DE INDICADOR]],[1]!CMI[[#All],[Variable2_4]])+LOOKUP($J24,[1]!CMI[[#All],[CÓDIGO DE INDICADOR]],[1]!CMI[[#All],[Variable2_5]])=0,0,(LOOKUP($J24,[1]!CMI[[#All],[CÓDIGO DE INDICADOR]],[1]!CMI[[#All],[Variable1_2]])+LOOKUP($J24,[1]!CMI[[#All],[CÓDIGO DE INDICADOR]],[1]!CMI[[#All],[Variable1_3]])+LOOKUP($J24,[1]!CMI[[#All],[CÓDIGO DE INDICADOR]],[1]!CMI[[#All],[Variable1_4]])+LOOKUP($J24,[1]!CMI[[#All],[CÓDIGO DE INDICADOR]],[1]!CMI[[#All],[Variable1_5]]))/(LOOKUP($J24,[1]!CMI[[#All],[CÓDIGO DE INDICADOR]],[1]!CMI[[#All],[Variable2_2]])+LOOKUP($J24,[1]!CMI[[#All],[CÓDIGO DE INDICADOR]],[1]!CMI[[#All],[Variable2_3]])+LOOKUP($J24,[1]!CMI[[#All],[CÓDIGO DE INDICADOR]],[1]!CMI[[#All],[Variable2_4]])+LOOKUP($J24,[1]!CMI[[#All],[CÓDIGO DE INDICADOR]],[1]!CMI[[#All],[Variable2_5]]))),IF(LOOKUP($J24,[1]!CMI[[#All],[CÓDIGO DE INDICADOR]],[1]!CMI[[#All],[TIPO DE FÓRMULA]])="Tasa de variación",LOOKUP($J24,[1]!CMI[[#All],[CÓDIGO DE INDICADOR]],[1]!CMI[[#All],[EjecuciónAcumulada_5]]),0)))</f>
        <v>6</v>
      </c>
      <c r="AH24" s="12">
        <f>LOOKUP($J24,[1]!CMI[[#All],[CÓDIGO DE INDICADOR]],[1]!CMI[[#All],[Programado_6]])</f>
        <v>0</v>
      </c>
      <c r="AI24" s="12">
        <f>IF(LOOKUP($J24,[1]!CMI[[#All],[CÓDIGO DE INDICADOR]],[1]!CMI[[#All],[Ejecutado_6]])="-",0,LOOKUP($J24,[1]!CMI[[#All],[CÓDIGO DE INDICADOR]],[1]!CMI[[#All],[Ejecutado_6]]))</f>
        <v>14</v>
      </c>
      <c r="AJ24" s="12">
        <f>LOOKUP($J24,[1]!CMI[[#All],[CÓDIGO DE INDICADOR]],[1]!CMI[[#All],[Programado_7]])</f>
        <v>5</v>
      </c>
      <c r="AK24" s="15">
        <f>IF(LOOKUP($J24,[1]!CMI[[#All],[CÓDIGO DE INDICADOR]],[1]!CMI[[#All],[Ejecutado_7]])="-",0,LOOKUP($J24,[1]!CMI[[#All],[CÓDIGO DE INDICADOR]],[1]!CMI[[#All],[Ejecutado_7]]))</f>
        <v>0</v>
      </c>
      <c r="AL24" s="15">
        <f>LOOKUP($J24,[1]!CMI[[#All],[CÓDIGO DE INDICADOR]],[1]!CMI[[#All],[Programado_8]])</f>
        <v>5</v>
      </c>
      <c r="AM24" s="15">
        <f>IF(LOOKUP($J24,[1]!CMI[[#All],[CÓDIGO DE INDICADOR]],[1]!CMI[[#All],[Ejecutado_8]])="-",0,LOOKUP($J24,[1]!CMI[[#All],[CÓDIGO DE INDICADOR]],[1]!CMI[[#All],[Ejecutado_8]]))</f>
        <v>0</v>
      </c>
      <c r="AN24" s="15">
        <f>LOOKUP($J24,[1]!CMI[[#All],[CÓDIGO DE INDICADOR]],[1]!CMI[[#All],[Programado_9]])</f>
        <v>0</v>
      </c>
      <c r="AO24" s="15">
        <f>IF(LOOKUP($J24,[1]!CMI[[#All],[CÓDIGO DE INDICADOR]],[1]!CMI[[#All],[Ejecutado_9]])="-",0,LOOKUP($J24,[1]!CMI[[#All],[CÓDIGO DE INDICADOR]],[1]!CMI[[#All],[Ejecutado_9]]))</f>
        <v>0</v>
      </c>
      <c r="AP24" s="16">
        <f t="shared" si="4"/>
        <v>10</v>
      </c>
      <c r="AQ24" s="16">
        <f>IF(OR(LOOKUP($J24,[1]!CMI[[#All],[CÓDIGO DE INDICADOR]],[1]!CMI[[#All],[TIPO DE FÓRMULA]])="Valor absoluto",LOOKUP($J24,[1]!CMI[[#All],[CÓDIGO DE INDICADOR]],[1]!CMI[[#All],[TIPO DE FÓRMULA]])="Suma"),AI24+AK24+AM24+AO24,IF(OR(LOOKUP($J24,[1]!CMI[[#All],[CÓDIGO DE INDICADOR]],[1]!CMI[[#All],[TIPO DE FÓRMULA]])="Porcentaje",LOOKUP($J24,[1]!CMI[[#All],[CÓDIGO DE INDICADOR]],[1]!CMI[[#All],[TIPO DE FÓRMULA]])="División"),IF(LOOKUP($J24,[1]!CMI[[#All],[CÓDIGO DE INDICADOR]],[1]!CMI[[#All],[Variable2_6]])+LOOKUP($J24,[1]!CMI[[#All],[CÓDIGO DE INDICADOR]],[1]!CMI[[#All],[Variable2_7]])+LOOKUP($J24,[1]!CMI[[#All],[CÓDIGO DE INDICADOR]],[1]!CMI[[#All],[Variable2_8]])+LOOKUP($J24,[1]!CMI[[#All],[CÓDIGO DE INDICADOR]],[1]!CMI[[#All],[Variable2_9]])=0,0,(LOOKUP($J24,[1]!CMI[[#All],[CÓDIGO DE INDICADOR]],[1]!CMI[[#All],[Variable1_6]])+LOOKUP($J24,[1]!CMI[[#All],[CÓDIGO DE INDICADOR]],[1]!CMI[[#All],[Variable1_7]])+LOOKUP($J24,[1]!CMI[[#All],[CÓDIGO DE INDICADOR]],[1]!CMI[[#All],[Variable1_8]])+LOOKUP($J24,[1]!CMI[[#All],[CÓDIGO DE INDICADOR]],[1]!CMI[[#All],[Variable1_9]]))/(LOOKUP($J24,[1]!CMI[[#All],[CÓDIGO DE INDICADOR]],[1]!CMI[[#All],[Variable2_6]])+LOOKUP($J24,[1]!CMI[[#All],[CÓDIGO DE INDICADOR]],[1]!CMI[[#All],[Variable2_7]])+LOOKUP($J24,[1]!CMI[[#All],[CÓDIGO DE INDICADOR]],[1]!CMI[[#All],[Variable2_8]])+LOOKUP($J24,[1]!CMI[[#All],[CÓDIGO DE INDICADOR]],[1]!CMI[[#All],[Variable2_9]]))),IF(LOOKUP($J24,[1]!CMI[[#All],[CÓDIGO DE INDICADOR]],[1]!CMI[[#All],[TIPO DE FÓRMULA]])="Tasa de variación",LOOKUP($J24,[1]!CMI[[#All],[CÓDIGO DE INDICADOR]],[1]!CMI[[#All],[EjecuciónAcumulada_9]]),0)))</f>
        <v>14</v>
      </c>
      <c r="AR24" s="12">
        <f>LOOKUP($J24,[1]!CMI[[#All],[CÓDIGO DE INDICADOR]],[1]!CMI[[#All],[Programado_10]])</f>
        <v>5</v>
      </c>
      <c r="AS24" s="12">
        <f>IF(LOOKUP($J24,[1]!CMI[[#All],[CÓDIGO DE INDICADOR]],[1]!CMI[[#All],[Ejecutado_10]])="-",0,LOOKUP($J24,[1]!CMI[[#All],[CÓDIGO DE INDICADOR]],[1]!CMI[[#All],[Ejecutado_10]]))</f>
        <v>0</v>
      </c>
      <c r="AT24" s="12">
        <f>LOOKUP($J24,[1]!CMI[[#All],[CÓDIGO DE INDICADOR]],[1]!CMI[[#All],[Programado_11]])</f>
        <v>0</v>
      </c>
      <c r="AU24" s="15">
        <f>IF(LOOKUP($J24,[1]!CMI[[#All],[CÓDIGO DE INDICADOR]],[1]!CMI[[#All],[Ejecutado_11]])="-",0,LOOKUP($J24,[1]!CMI[[#All],[CÓDIGO DE INDICADOR]],[1]!CMI[[#All],[Ejecutado_11]]))</f>
        <v>0</v>
      </c>
      <c r="AV24" s="15">
        <f>LOOKUP($J24,[1]!CMI[[#All],[CÓDIGO DE INDICADOR]],[1]!CMI[[#All],[Programado_12]])</f>
        <v>3</v>
      </c>
      <c r="AW24" s="15">
        <f>IF(LOOKUP($J24,[1]!CMI[[#All],[CÓDIGO DE INDICADOR]],[1]!CMI[[#All],[Ejecutado_12]])="-",0,LOOKUP($J24,[1]!CMI[[#All],[CÓDIGO DE INDICADOR]],[1]!CMI[[#All],[Ejecutado_12]]))</f>
        <v>0</v>
      </c>
      <c r="AX24" s="15">
        <f>LOOKUP($J24,[1]!CMI[[#All],[CÓDIGO DE INDICADOR]],[1]!CMI[[#All],[Programado_13]])</f>
        <v>0</v>
      </c>
      <c r="AY24" s="15">
        <f>IF(LOOKUP($J24,[1]!CMI[[#All],[CÓDIGO DE INDICADOR]],[1]!CMI[[#All],[Ejecutado_13]])="-",0,LOOKUP($J24,[1]!CMI[[#All],[CÓDIGO DE INDICADOR]],[1]!CMI[[#All],[Ejecutado_13]]))</f>
        <v>0</v>
      </c>
      <c r="AZ24" s="16">
        <f t="shared" si="5"/>
        <v>8</v>
      </c>
      <c r="BA24" s="16">
        <f>IF(OR(LOOKUP($J24,[1]!CMI[[#All],[CÓDIGO DE INDICADOR]],[1]!CMI[[#All],[TIPO DE FÓRMULA]])="Valor absoluto",LOOKUP($J24,[1]!CMI[[#All],[CÓDIGO DE INDICADOR]],[1]!CMI[[#All],[TIPO DE FÓRMULA]])="Suma"),AS24+AU24+AW24+AY24,IF(OR(LOOKUP($J24,[1]!CMI[[#All],[CÓDIGO DE INDICADOR]],[1]!CMI[[#All],[TIPO DE FÓRMULA]])="Porcentaje",LOOKUP($J24,[1]!CMI[[#All],[CÓDIGO DE INDICADOR]],[1]!CMI[[#All],[TIPO DE FÓRMULA]])="División"),IF(LOOKUP($J24,[1]!CMI[[#All],[CÓDIGO DE INDICADOR]],[1]!CMI[[#All],[Variable2_10]])+LOOKUP($J24,[1]!CMI[[#All],[CÓDIGO DE INDICADOR]],[1]!CMI[[#All],[Variable2_11]])+LOOKUP($J24,[1]!CMI[[#All],[CÓDIGO DE INDICADOR]],[1]!CMI[[#All],[Variable2_12]])+LOOKUP($J24,[1]!CMI[[#All],[CÓDIGO DE INDICADOR]],[1]!CMI[[#All],[Variable2_13]])=0,0,(LOOKUP($J24,[1]!CMI[[#All],[CÓDIGO DE INDICADOR]],[1]!CMI[[#All],[Variable1_10]])+LOOKUP($J24,[1]!CMI[[#All],[CÓDIGO DE INDICADOR]],[1]!CMI[[#All],[Variable1_11]])+LOOKUP($J24,[1]!CMI[[#All],[CÓDIGO DE INDICADOR]],[1]!CMI[[#All],[Variable1_12]])+LOOKUP($J24,[1]!CMI[[#All],[CÓDIGO DE INDICADOR]],[1]!CMI[[#All],[Variable1_13]]))/(LOOKUP($J24,[1]!CMI[[#All],[CÓDIGO DE INDICADOR]],[1]!CMI[[#All],[Variable2_10]])+LOOKUP($J24,[1]!CMI[[#All],[CÓDIGO DE INDICADOR]],[1]!CMI[[#All],[Variable2_11]])+LOOKUP($J24,[1]!CMI[[#All],[CÓDIGO DE INDICADOR]],[1]!CMI[[#All],[Variable2_12]])+LOOKUP($J24,[1]!CMI[[#All],[CÓDIGO DE INDICADOR]],[1]!CMI[[#All],[Variable2_13]]))),IF(LOOKUP($J24,[1]!CMI[[#All],[CÓDIGO DE INDICADOR]],[1]!CMI[[#All],[TIPO DE FÓRMULA]])="Tasa de variación",LOOKUP($J24,[1]!CMI[[#All],[CÓDIGO DE INDICADOR]],[1]!CMI[[#All],[EjecuciónAcumulada_13]]),0)))</f>
        <v>0</v>
      </c>
      <c r="BB24" s="12">
        <f>LOOKUP($J24,[1]!CMI[[#All],[CÓDIGO DE INDICADOR]],[1]!CMI[[#All],[Programado_14]])</f>
        <v>0</v>
      </c>
      <c r="BC24" s="12">
        <f>IF(LOOKUP($J24,[1]!CMI[[#All],[CÓDIGO DE INDICADOR]],[1]!CMI[[#All],[Ejecutado_14]])="-",0,LOOKUP($J24,[1]!CMI[[#All],[CÓDIGO DE INDICADOR]],[1]!CMI[[#All],[Ejecutado_14]]))</f>
        <v>0</v>
      </c>
      <c r="BD24" s="12">
        <f>LOOKUP($J24,[1]!CMI[[#All],[CÓDIGO DE INDICADOR]],[1]!CMI[[#All],[Programado_15]])</f>
        <v>0</v>
      </c>
      <c r="BE24" s="15">
        <f>IF(LOOKUP($J24,[1]!CMI[[#All],[CÓDIGO DE INDICADOR]],[1]!CMI[[#All],[Ejecutado_15]])="-",0,LOOKUP($J24,[1]!CMI[[#All],[CÓDIGO DE INDICADOR]],[1]!CMI[[#All],[Ejecutado_15]]))</f>
        <v>0</v>
      </c>
      <c r="BF24" s="15">
        <f>LOOKUP($J24,[1]!CMI[[#All],[CÓDIGO DE INDICADOR]],[1]!CMI[[#All],[Programado_16]])</f>
        <v>0</v>
      </c>
      <c r="BG24" s="15">
        <f>IF(LOOKUP($J24,[1]!CMI[[#All],[CÓDIGO DE INDICADOR]],[1]!CMI[[#All],[Ejecutado_16]])="-",0,LOOKUP($J24,[1]!CMI[[#All],[CÓDIGO DE INDICADOR]],[1]!CMI[[#All],[Ejecutado_16]]))</f>
        <v>0</v>
      </c>
      <c r="BH24" s="15">
        <f>LOOKUP($J24,[1]!CMI[[#All],[CÓDIGO DE INDICADOR]],[1]!CMI[[#All],[Programado_17]])</f>
        <v>0</v>
      </c>
      <c r="BI24" s="15">
        <f>IF(LOOKUP($J24,[1]!CMI[[#All],[CÓDIGO DE INDICADOR]],[1]!CMI[[#All],[Ejecutado_17]])="-",0,LOOKUP($J24,[1]!CMI[[#All],[CÓDIGO DE INDICADOR]],[1]!CMI[[#All],[Ejecutado_17]]))</f>
        <v>0</v>
      </c>
      <c r="BJ24" s="16">
        <f t="shared" si="6"/>
        <v>0</v>
      </c>
      <c r="BK24" s="16">
        <f>IF(OR(LOOKUP($J24,[1]!CMI[[#All],[CÓDIGO DE INDICADOR]],[1]!CMI[[#All],[TIPO DE FÓRMULA]])="Valor absoluto",LOOKUP($J24,[1]!CMI[[#All],[CÓDIGO DE INDICADOR]],[1]!CMI[[#All],[TIPO DE FÓRMULA]])="Suma"),BC24+BE24+BG24+BI24,IF(OR(LOOKUP($J24,[1]!CMI[[#All],[CÓDIGO DE INDICADOR]],[1]!CMI[[#All],[TIPO DE FÓRMULA]])="Porcentaje",LOOKUP($J24,[1]!CMI[[#All],[CÓDIGO DE INDICADOR]],[1]!CMI[[#All],[TIPO DE FÓRMULA]])="División"),IF(LOOKUP($J24,[1]!CMI[[#All],[CÓDIGO DE INDICADOR]],[1]!CMI[[#All],[Variable2_14]])+LOOKUP($J24,[1]!CMI[[#All],[CÓDIGO DE INDICADOR]],[1]!CMI[[#All],[Variable2_15]])+LOOKUP($J24,[1]!CMI[[#All],[CÓDIGO DE INDICADOR]],[1]!CMI[[#All],[Variable2_16]])+LOOKUP($J24,[1]!CMI[[#All],[CÓDIGO DE INDICADOR]],[1]!CMI[[#All],[Variable2_17]])=0,0,(LOOKUP($J24,[1]!CMI[[#All],[CÓDIGO DE INDICADOR]],[1]!CMI[[#All],[Variable1_14]])+LOOKUP($J24,[1]!CMI[[#All],[CÓDIGO DE INDICADOR]],[1]!CMI[[#All],[Variable1_15]])+LOOKUP($J24,[1]!CMI[[#All],[CÓDIGO DE INDICADOR]],[1]!CMI[[#All],[Variable1_16]])+LOOKUP($J24,[1]!CMI[[#All],[CÓDIGO DE INDICADOR]],[1]!CMI[[#All],[Variable1_17]]))/(LOOKUP($J24,[1]!CMI[[#All],[CÓDIGO DE INDICADOR]],[1]!CMI[[#All],[Variable2_14]])+LOOKUP($J24,[1]!CMI[[#All],[CÓDIGO DE INDICADOR]],[1]!CMI[[#All],[Variable2_15]])+LOOKUP($J24,[1]!CMI[[#All],[CÓDIGO DE INDICADOR]],[1]!CMI[[#All],[Variable2_16]])+LOOKUP($J24,[1]!CMI[[#All],[CÓDIGO DE INDICADOR]],[1]!CMI[[#All],[Variable2_17]]))),IF(LOOKUP($J24,[1]!CMI[[#All],[CÓDIGO DE INDICADOR]],[1]!CMI[[#All],[TIPO DE FÓRMULA]])="Tasa de variación",LOOKUP($J24,[1]!CMI[[#All],[CÓDIGO DE INDICADOR]],[1]!CMI[[#All],[EjecuciónAcumulada_17]]),0)))</f>
        <v>0</v>
      </c>
      <c r="BL24" s="16">
        <f>IF(YEAR($M24)=2016,LOOKUP($J24,[1]!CMI[[#All],[CÓDIGO DE INDICADOR]],[1]!CMI[[#All],[ProgramadoAcumulado_1]]),IF(AND(YEAR($M24)=2017,MONTH($M24)&lt;=3),LOOKUP($J24,[1]!CMI[[#All],[CÓDIGO DE INDICADOR]],[1]!CMI[[#All],[ProgramadoAcumulado_2]]),IF(AND(YEAR($M24)=2017,MONTH($M24)&lt;=6),LOOKUP($J24,[1]!CMI[[#All],[CÓDIGO DE INDICADOR]],[1]!CMI[[#All],[ProgramadoAcumulado_3]]),IF(AND(YEAR($M24)=2017,MONTH($M24)&lt;=9),LOOKUP($J24,[1]!CMI[[#All],[CÓDIGO DE INDICADOR]],[1]!CMI[[#All],[ProgramadoAcumulado_4]]),IF(AND(YEAR($M24)=2017,MONTH($M24)&lt;=12),LOOKUP($J24,[1]!CMI[[#All],[CÓDIGO DE INDICADOR]],[1]!CMI[[#All],[ProgramadoAcumulado_5]]),IF(AND(YEAR($M24)=2018,MONTH($M24)&lt;=3),LOOKUP($J24,[1]!CMI[[#All],[CÓDIGO DE INDICADOR]],[1]!CMI[[#All],[ProgramadoAcumulado_6]]),IF(AND(YEAR($M24)=2018,MONTH($M24)&lt;=6),LOOKUP($J24,[1]!CMI[[#All],[CÓDIGO DE INDICADOR]],[1]!CMI[[#All],[ProgramadoAcumulado_7]]),IF(AND(YEAR($M24)=2018,MONTH($M24)&lt;=9),LOOKUP($J24,[1]!CMI[[#All],[CÓDIGO DE INDICADOR]],[1]!CMI[[#All],[ProgramadoAcumulado_8]]),IF(AND(YEAR($M24)=2018,MONTH($M24)&lt;=12),LOOKUP($J24,[1]!CMI[[#All],[CÓDIGO DE INDICADOR]],[1]!CMI[[#All],[ProgramadoAcumulado_9]]),IF(AND(YEAR($M24)=2019,MONTH($M24)&lt;=3),LOOKUP($J24,[1]!CMI[[#All],[CÓDIGO DE INDICADOR]],[1]!CMI[[#All],[ProgramadoAcumulado_10]]),IF(AND(YEAR($M24)=2019,MONTH($M24)&lt;=6),LOOKUP($J24,[1]!CMI[[#All],[CÓDIGO DE INDICADOR]],[1]!CMI[[#All],[ProgramadoAcumulado_11]]),IF(AND(YEAR($M24)=2019,MONTH($M24)&lt;=9),LOOKUP($J24,[1]!CMI[[#All],[CÓDIGO DE INDICADOR]],[1]!CMI[[#All],[ProgramadoAcumulado_12]]),IF(AND(YEAR($M24)=2019,MONTH($M24)&lt;=12),LOOKUP($J24,[1]!CMI[[#All],[CÓDIGO DE INDICADOR]],[1]!CMI[[#All],[ProgramadoAcumulado_13]]),IF(AND(YEAR($M24)=2020,MONTH($M24)&lt;=3),LOOKUP($J24,[1]!CMI[[#All],[CÓDIGO DE INDICADOR]],[1]!CMI[[#All],[ProgramadoAcumulado_14]]),IF(AND(YEAR($M24)=2020,MONTH($M24)&lt;=6),LOOKUP($J24,[1]!CMI[[#All],[CÓDIGO DE INDICADOR]],[1]!CMI[[#All],[ProgramadoAcumulado_15]]),IF(AND(YEAR($M24)=2020,MONTH($M24)&lt;=9),LOOKUP($J24,[1]!CMI[[#All],[CÓDIGO DE INDICADOR]],[1]!CMI[[#All],[ProgramadoAcumulado_16]]),IF(AND(YEAR($M24)=2020,MONTH($M24)&lt;=12),LOOKUP($J24,[1]!CMI[[#All],[CÓDIGO DE INDICADOR]],[1]!CMI[[#All],[ProgramadoAcumulado_17]]),"N.A")))))))))))))))))</f>
        <v>7</v>
      </c>
      <c r="BM24" s="16">
        <f>IF(YEAR($M24)=2016,LOOKUP($J24,[1]!CMI[[#All],[CÓDIGO DE INDICADOR]],[1]!CMI[[#All],[EjecuciónAcumulada_1]]),IF(AND(YEAR($M24)=2017,MONTH($M24)&lt;=3),LOOKUP($J24,[1]!CMI[[#All],[CÓDIGO DE INDICADOR]],[1]!CMI[[#All],[EjecuciónAcumulada_2]]),IF(AND(YEAR($M24)=2017,MONTH($M24)&lt;=6),LOOKUP($J24,[1]!CMI[[#All],[CÓDIGO DE INDICADOR]],[1]!CMI[[#All],[EjecuciónAcumulada_3]]),IF(AND(YEAR($M24)=2017,MONTH($M24)&lt;=9),LOOKUP($J24,[1]!CMI[[#All],[CÓDIGO DE INDICADOR]],[1]!CMI[[#All],[EjecuciónAcumulada_4]]),IF(AND(YEAR($M24)=2017,MONTH($M24)&lt;=12),LOOKUP($J24,[1]!CMI[[#All],[CÓDIGO DE INDICADOR]],[1]!CMI[[#All],[EjecuciónAcumulada_5]]),IF(AND(YEAR($M24)=2018,MONTH($M24)&lt;=3),LOOKUP($J24,[1]!CMI[[#All],[CÓDIGO DE INDICADOR]],[1]!CMI[[#All],[EjecuciónAcumulada_6]]),IF(AND(YEAR($M24)=2018,MONTH($M24)&lt;=6),LOOKUP($J24,[1]!CMI[[#All],[CÓDIGO DE INDICADOR]],[1]!CMI[[#All],[EjecuciónAcumulada_7]]),IF(AND(YEAR($M24)=2018,MONTH($M24)&lt;=9),LOOKUP($J24,[1]!CMI[[#All],[CÓDIGO DE INDICADOR]],[1]!CMI[[#All],[EjecuciónAcumulada_8]]),IF(AND(YEAR($M24)=2018,MONTH($M24)&lt;=12),LOOKUP($J24,[1]!CMI[[#All],[CÓDIGO DE INDICADOR]],[1]!CMI[[#All],[EjecuciónAcumulada_9]]),IF(AND(YEAR($M24)=2019,MONTH($M24)&lt;=3),LOOKUP($J24,[1]!CMI[[#All],[CÓDIGO DE INDICADOR]],[1]!CMI[[#All],[EjecuciónAcumulada_10]]),IF(AND(YEAR($M24)=2019,MONTH($M24)&lt;=6),LOOKUP($J24,[1]!CMI[[#All],[CÓDIGO DE INDICADOR]],[1]!CMI[[#All],[EjecuciónAcumulada_11]]),IF(AND(YEAR($M24)=2019,MONTH($M24)&lt;=9),LOOKUP($J24,[1]!CMI[[#All],[CÓDIGO DE INDICADOR]],[1]!CMI[[#All],[EjecuciónAcumulada_12]]),IF(AND(YEAR($M24)=2019,MONTH($M24)&lt;=12),LOOKUP($J24,[1]!CMI[[#All],[CÓDIGO DE INDICADOR]],[1]!CMI[[#All],[EjecuciónAcumulada_13]]),IF(AND(YEAR($M24)=2020,MONTH($M24)&lt;=3),LOOKUP($J24,[1]!CMI[[#All],[CÓDIGO DE INDICADOR]],[1]!CMI[[#All],[EjecuciónAcumulada_14]]),IF(AND(YEAR($M24)=2020,MONTH($M24)&lt;=6),LOOKUP($J24,[1]!CMI[[#All],[CÓDIGO DE INDICADOR]],[1]!CMI[[#All],[EjecuciónAcumulada_15]]),IF(AND(YEAR($M24)=2020,MONTH($M24)&lt;=9),LOOKUP($J24,[1]!CMI[[#All],[CÓDIGO DE INDICADOR]],[1]!CMI[[#All],[EjecuciónAcumulada_16]]),IF(AND(YEAR($M24)=2020,MONTH($M24)&lt;=12),LOOKUP($J24,[1]!CMI[[#All],[CÓDIGO DE INDICADOR]],[1]!CMI[[#All],[EjecuciónAcumulada_17]]),"N.A")))))))))))))))))</f>
        <v>20</v>
      </c>
      <c r="BN24" s="17">
        <f t="shared" si="7"/>
        <v>2.8571428571428572</v>
      </c>
      <c r="BO24" s="16">
        <f t="shared" si="0"/>
        <v>20</v>
      </c>
      <c r="BP24" s="68">
        <f t="shared" si="8"/>
        <v>1</v>
      </c>
    </row>
    <row r="25" spans="2:68" ht="287.25" customHeight="1">
      <c r="B25" s="133"/>
      <c r="C25" s="10" t="s">
        <v>121</v>
      </c>
      <c r="D25" s="11" t="str">
        <f>LOOKUP($J25,[1]!CMI[[#All],[CÓDIGO DE INDICADOR]],[1]!CMI[[#All],[NOMBRE DEL INDICADOR]])</f>
        <v>Impulso procesal en el trámite de las querellas</v>
      </c>
      <c r="E25" s="11" t="str">
        <f>LOOKUP($J25,[1]!CMI[[#All],[CÓDIGO DE INDICADOR]],[1]!CMI[[#All],[FÓRMULA DE CÁLCULO]])</f>
        <v>No. de querellas a las cuales se les realiza verificación del cumplimiento de los términos de ley</v>
      </c>
      <c r="F25" s="12">
        <f>LOOKUP($J25,[1]!CMI[[#All],[CÓDIGO DE INDICADOR]],[1]!CMI[[#All],[VALOR PROGRAMADO TOTAL]])</f>
        <v>19600</v>
      </c>
      <c r="G25" s="10" t="s">
        <v>130</v>
      </c>
      <c r="H25" s="10" t="s">
        <v>131</v>
      </c>
      <c r="I25" s="11" t="str">
        <f>LOOKUP($J25,[1]!CMI[[#All],[CÓDIGO DE INDICADOR]],[1]!CMI[[#All],[DEPENDENCIA]])</f>
        <v>PERSONERÍA DELEGADA PARA LA COORDINACIÓN DE PERSONERÍAS LOCALES</v>
      </c>
      <c r="J25" s="13" t="s">
        <v>240</v>
      </c>
      <c r="K25" s="11" t="str">
        <f>LOOKUP($J25,[1]!CMI[[#All],[CÓDIGO DE INDICADOR]],[1]!CMI[[#All],[CÁLCULO VALOR PROGRAMADO ACUMULADO]])</f>
        <v>Sumatoria</v>
      </c>
      <c r="L25" s="11" t="str">
        <f>LOOKUP($J25,[1]!CMI[[#All],[CÓDIGO DE INDICADOR]],[1]!CMI[[#All],[TENDENCIA DECRECIENTE]])</f>
        <v>No</v>
      </c>
      <c r="M25" s="14">
        <f>LOOKUP($J25,[1]!CMI[[#All],[CÓDIGO DE INDICADOR]],[1]!CMI[[#All],[FECHA DE CORTE]])</f>
        <v>43281</v>
      </c>
      <c r="N25" s="12">
        <v>0</v>
      </c>
      <c r="O25" s="12">
        <v>0</v>
      </c>
      <c r="P25" s="12">
        <v>0</v>
      </c>
      <c r="Q25" s="15">
        <v>0</v>
      </c>
      <c r="R25" s="15">
        <v>0</v>
      </c>
      <c r="S25" s="15">
        <v>0</v>
      </c>
      <c r="T25" s="15">
        <f>LOOKUP($J25,[1]!CMI[[#All],[CÓDIGO DE INDICADOR]],[1]!CMI[[#All],[Programado_1]])</f>
        <v>0</v>
      </c>
      <c r="U25" s="15">
        <f>IF(LOOKUP($J25,[1]!CMI[[#All],[CÓDIGO DE INDICADOR]],[1]!CMI[[#All],[Ejecutado_1]])="-",0,LOOKUP($J25,[1]!CMI[[#All],[CÓDIGO DE INDICADOR]],[1]!CMI[[#All],[Ejecutado_1]]))</f>
        <v>0</v>
      </c>
      <c r="V25" s="16">
        <f t="shared" si="1"/>
        <v>0</v>
      </c>
      <c r="W25" s="16">
        <f t="shared" si="2"/>
        <v>0</v>
      </c>
      <c r="X25" s="12">
        <f>LOOKUP($J25,[1]!CMI[[#All],[CÓDIGO DE INDICADOR]],[1]!CMI[[#All],[Programado_2]])</f>
        <v>300</v>
      </c>
      <c r="Y25" s="12">
        <f>IF(LOOKUP($J25,[1]!CMI[[#All],[CÓDIGO DE INDICADOR]],[1]!CMI[[#All],[Ejecutado_2]])="-",0,LOOKUP($J25,[1]!CMI[[#All],[CÓDIGO DE INDICADOR]],[1]!CMI[[#All],[Ejecutado_2]]))</f>
        <v>1733</v>
      </c>
      <c r="Z25" s="12">
        <f>LOOKUP($J25,[1]!CMI[[#All],[CÓDIGO DE INDICADOR]],[1]!CMI[[#All],[Programado_3]])</f>
        <v>300</v>
      </c>
      <c r="AA25" s="15">
        <f>IF(LOOKUP($J25,[1]!CMI[[#All],[CÓDIGO DE INDICADOR]],[1]!CMI[[#All],[Ejecutado_3]])="-",0,LOOKUP($J25,[1]!CMI[[#All],[CÓDIGO DE INDICADOR]],[1]!CMI[[#All],[Ejecutado_3]]))</f>
        <v>3206</v>
      </c>
      <c r="AB25" s="15">
        <f>LOOKUP($J25,[1]!CMI[[#All],[CÓDIGO DE INDICADOR]],[1]!CMI[[#All],[Programado_4]])</f>
        <v>3500</v>
      </c>
      <c r="AC25" s="15">
        <f>IF(LOOKUP($J25,[1]!CMI[[#All],[CÓDIGO DE INDICADOR]],[1]!CMI[[#All],[Ejecutado_4]])="-",0,LOOKUP($J25,[1]!CMI[[#All],[CÓDIGO DE INDICADOR]],[1]!CMI[[#All],[Ejecutado_4]]))</f>
        <v>5898</v>
      </c>
      <c r="AD25" s="15">
        <f>LOOKUP($J25,[1]!CMI[[#All],[CÓDIGO DE INDICADOR]],[1]!CMI[[#All],[Programado_5]])</f>
        <v>3500</v>
      </c>
      <c r="AE25" s="15">
        <f>IF(LOOKUP($J25,[1]!CMI[[#All],[CÓDIGO DE INDICADOR]],[1]!CMI[[#All],[Ejecutado_5]])="-",0,LOOKUP($J25,[1]!CMI[[#All],[CÓDIGO DE INDICADOR]],[1]!CMI[[#All],[Ejecutado_5]]))</f>
        <v>5140</v>
      </c>
      <c r="AF25" s="16">
        <f t="shared" si="3"/>
        <v>7600</v>
      </c>
      <c r="AG25" s="16">
        <f>IF(OR(LOOKUP($J25,[1]!CMI[[#All],[CÓDIGO DE INDICADOR]],[1]!CMI[[#All],[TIPO DE FÓRMULA]])="Valor absoluto",LOOKUP($J25,[1]!CMI[[#All],[CÓDIGO DE INDICADOR]],[1]!CMI[[#All],[TIPO DE FÓRMULA]])="Suma"),Y25+AA25+AC25+AE25,IF(OR(LOOKUP($J25,[1]!CMI[[#All],[CÓDIGO DE INDICADOR]],[1]!CMI[[#All],[TIPO DE FÓRMULA]])="Porcentaje",LOOKUP($J25,[1]!CMI[[#All],[CÓDIGO DE INDICADOR]],[1]!CMI[[#All],[TIPO DE FÓRMULA]])="División"),IF(LOOKUP($J25,[1]!CMI[[#All],[CÓDIGO DE INDICADOR]],[1]!CMI[[#All],[Variable2_2]])+LOOKUP($J25,[1]!CMI[[#All],[CÓDIGO DE INDICADOR]],[1]!CMI[[#All],[Variable2_3]])+LOOKUP($J25,[1]!CMI[[#All],[CÓDIGO DE INDICADOR]],[1]!CMI[[#All],[Variable2_4]])+LOOKUP($J25,[1]!CMI[[#All],[CÓDIGO DE INDICADOR]],[1]!CMI[[#All],[Variable2_5]])=0,0,(LOOKUP($J25,[1]!CMI[[#All],[CÓDIGO DE INDICADOR]],[1]!CMI[[#All],[Variable1_2]])+LOOKUP($J25,[1]!CMI[[#All],[CÓDIGO DE INDICADOR]],[1]!CMI[[#All],[Variable1_3]])+LOOKUP($J25,[1]!CMI[[#All],[CÓDIGO DE INDICADOR]],[1]!CMI[[#All],[Variable1_4]])+LOOKUP($J25,[1]!CMI[[#All],[CÓDIGO DE INDICADOR]],[1]!CMI[[#All],[Variable1_5]]))/(LOOKUP($J25,[1]!CMI[[#All],[CÓDIGO DE INDICADOR]],[1]!CMI[[#All],[Variable2_2]])+LOOKUP($J25,[1]!CMI[[#All],[CÓDIGO DE INDICADOR]],[1]!CMI[[#All],[Variable2_3]])+LOOKUP($J25,[1]!CMI[[#All],[CÓDIGO DE INDICADOR]],[1]!CMI[[#All],[Variable2_4]])+LOOKUP($J25,[1]!CMI[[#All],[CÓDIGO DE INDICADOR]],[1]!CMI[[#All],[Variable2_5]]))),IF(LOOKUP($J25,[1]!CMI[[#All],[CÓDIGO DE INDICADOR]],[1]!CMI[[#All],[TIPO DE FÓRMULA]])="Tasa de variación",LOOKUP($J25,[1]!CMI[[#All],[CÓDIGO DE INDICADOR]],[1]!CMI[[#All],[EjecuciónAcumulada_5]]),0)))</f>
        <v>15977</v>
      </c>
      <c r="AH25" s="12">
        <f>LOOKUP($J25,[1]!CMI[[#All],[CÓDIGO DE INDICADOR]],[1]!CMI[[#All],[Programado_6]])</f>
        <v>1000</v>
      </c>
      <c r="AI25" s="12">
        <f>IF(LOOKUP($J25,[1]!CMI[[#All],[CÓDIGO DE INDICADOR]],[1]!CMI[[#All],[Ejecutado_6]])="-",0,LOOKUP($J25,[1]!CMI[[#All],[CÓDIGO DE INDICADOR]],[1]!CMI[[#All],[Ejecutado_6]]))</f>
        <v>1411</v>
      </c>
      <c r="AJ25" s="12">
        <f>LOOKUP($J25,[1]!CMI[[#All],[CÓDIGO DE INDICADOR]],[1]!CMI[[#All],[Programado_7]])</f>
        <v>1000</v>
      </c>
      <c r="AK25" s="15">
        <f>IF(LOOKUP($J25,[1]!CMI[[#All],[CÓDIGO DE INDICADOR]],[1]!CMI[[#All],[Ejecutado_7]])="-",0,LOOKUP($J25,[1]!CMI[[#All],[CÓDIGO DE INDICADOR]],[1]!CMI[[#All],[Ejecutado_7]]))</f>
        <v>3896</v>
      </c>
      <c r="AL25" s="15">
        <f>LOOKUP($J25,[1]!CMI[[#All],[CÓDIGO DE INDICADOR]],[1]!CMI[[#All],[Programado_8]])</f>
        <v>1000</v>
      </c>
      <c r="AM25" s="15">
        <f>IF(LOOKUP($J25,[1]!CMI[[#All],[CÓDIGO DE INDICADOR]],[1]!CMI[[#All],[Ejecutado_8]])="-",0,LOOKUP($J25,[1]!CMI[[#All],[CÓDIGO DE INDICADOR]],[1]!CMI[[#All],[Ejecutado_8]]))</f>
        <v>0</v>
      </c>
      <c r="AN25" s="15">
        <f>LOOKUP($J25,[1]!CMI[[#All],[CÓDIGO DE INDICADOR]],[1]!CMI[[#All],[Programado_9]])</f>
        <v>1000</v>
      </c>
      <c r="AO25" s="15">
        <f>IF(LOOKUP($J25,[1]!CMI[[#All],[CÓDIGO DE INDICADOR]],[1]!CMI[[#All],[Ejecutado_9]])="-",0,LOOKUP($J25,[1]!CMI[[#All],[CÓDIGO DE INDICADOR]],[1]!CMI[[#All],[Ejecutado_9]]))</f>
        <v>0</v>
      </c>
      <c r="AP25" s="16">
        <f t="shared" si="4"/>
        <v>4000</v>
      </c>
      <c r="AQ25" s="16">
        <f>IF(OR(LOOKUP($J25,[1]!CMI[[#All],[CÓDIGO DE INDICADOR]],[1]!CMI[[#All],[TIPO DE FÓRMULA]])="Valor absoluto",LOOKUP($J25,[1]!CMI[[#All],[CÓDIGO DE INDICADOR]],[1]!CMI[[#All],[TIPO DE FÓRMULA]])="Suma"),AI25+AK25+AM25+AO25,IF(OR(LOOKUP($J25,[1]!CMI[[#All],[CÓDIGO DE INDICADOR]],[1]!CMI[[#All],[TIPO DE FÓRMULA]])="Porcentaje",LOOKUP($J25,[1]!CMI[[#All],[CÓDIGO DE INDICADOR]],[1]!CMI[[#All],[TIPO DE FÓRMULA]])="División"),IF(LOOKUP($J25,[1]!CMI[[#All],[CÓDIGO DE INDICADOR]],[1]!CMI[[#All],[Variable2_6]])+LOOKUP($J25,[1]!CMI[[#All],[CÓDIGO DE INDICADOR]],[1]!CMI[[#All],[Variable2_7]])+LOOKUP($J25,[1]!CMI[[#All],[CÓDIGO DE INDICADOR]],[1]!CMI[[#All],[Variable2_8]])+LOOKUP($J25,[1]!CMI[[#All],[CÓDIGO DE INDICADOR]],[1]!CMI[[#All],[Variable2_9]])=0,0,(LOOKUP($J25,[1]!CMI[[#All],[CÓDIGO DE INDICADOR]],[1]!CMI[[#All],[Variable1_6]])+LOOKUP($J25,[1]!CMI[[#All],[CÓDIGO DE INDICADOR]],[1]!CMI[[#All],[Variable1_7]])+LOOKUP($J25,[1]!CMI[[#All],[CÓDIGO DE INDICADOR]],[1]!CMI[[#All],[Variable1_8]])+LOOKUP($J25,[1]!CMI[[#All],[CÓDIGO DE INDICADOR]],[1]!CMI[[#All],[Variable1_9]]))/(LOOKUP($J25,[1]!CMI[[#All],[CÓDIGO DE INDICADOR]],[1]!CMI[[#All],[Variable2_6]])+LOOKUP($J25,[1]!CMI[[#All],[CÓDIGO DE INDICADOR]],[1]!CMI[[#All],[Variable2_7]])+LOOKUP($J25,[1]!CMI[[#All],[CÓDIGO DE INDICADOR]],[1]!CMI[[#All],[Variable2_8]])+LOOKUP($J25,[1]!CMI[[#All],[CÓDIGO DE INDICADOR]],[1]!CMI[[#All],[Variable2_9]]))),IF(LOOKUP($J25,[1]!CMI[[#All],[CÓDIGO DE INDICADOR]],[1]!CMI[[#All],[TIPO DE FÓRMULA]])="Tasa de variación",LOOKUP($J25,[1]!CMI[[#All],[CÓDIGO DE INDICADOR]],[1]!CMI[[#All],[EjecuciónAcumulada_9]]),0)))</f>
        <v>5307</v>
      </c>
      <c r="AR25" s="12">
        <f>LOOKUP($J25,[1]!CMI[[#All],[CÓDIGO DE INDICADOR]],[1]!CMI[[#All],[Programado_10]])</f>
        <v>1000</v>
      </c>
      <c r="AS25" s="12">
        <f>IF(LOOKUP($J25,[1]!CMI[[#All],[CÓDIGO DE INDICADOR]],[1]!CMI[[#All],[Ejecutado_10]])="-",0,LOOKUP($J25,[1]!CMI[[#All],[CÓDIGO DE INDICADOR]],[1]!CMI[[#All],[Ejecutado_10]]))</f>
        <v>0</v>
      </c>
      <c r="AT25" s="12">
        <f>LOOKUP($J25,[1]!CMI[[#All],[CÓDIGO DE INDICADOR]],[1]!CMI[[#All],[Programado_11]])</f>
        <v>1000</v>
      </c>
      <c r="AU25" s="15">
        <f>IF(LOOKUP($J25,[1]!CMI[[#All],[CÓDIGO DE INDICADOR]],[1]!CMI[[#All],[Ejecutado_11]])="-",0,LOOKUP($J25,[1]!CMI[[#All],[CÓDIGO DE INDICADOR]],[1]!CMI[[#All],[Ejecutado_11]]))</f>
        <v>0</v>
      </c>
      <c r="AV25" s="15">
        <f>LOOKUP($J25,[1]!CMI[[#All],[CÓDIGO DE INDICADOR]],[1]!CMI[[#All],[Programado_12]])</f>
        <v>1000</v>
      </c>
      <c r="AW25" s="15">
        <f>IF(LOOKUP($J25,[1]!CMI[[#All],[CÓDIGO DE INDICADOR]],[1]!CMI[[#All],[Ejecutado_12]])="-",0,LOOKUP($J25,[1]!CMI[[#All],[CÓDIGO DE INDICADOR]],[1]!CMI[[#All],[Ejecutado_12]]))</f>
        <v>0</v>
      </c>
      <c r="AX25" s="15">
        <f>LOOKUP($J25,[1]!CMI[[#All],[CÓDIGO DE INDICADOR]],[1]!CMI[[#All],[Programado_13]])</f>
        <v>1000</v>
      </c>
      <c r="AY25" s="15">
        <f>IF(LOOKUP($J25,[1]!CMI[[#All],[CÓDIGO DE INDICADOR]],[1]!CMI[[#All],[Ejecutado_13]])="-",0,LOOKUP($J25,[1]!CMI[[#All],[CÓDIGO DE INDICADOR]],[1]!CMI[[#All],[Ejecutado_13]]))</f>
        <v>0</v>
      </c>
      <c r="AZ25" s="16">
        <f t="shared" si="5"/>
        <v>4000</v>
      </c>
      <c r="BA25" s="16">
        <f>IF(OR(LOOKUP($J25,[1]!CMI[[#All],[CÓDIGO DE INDICADOR]],[1]!CMI[[#All],[TIPO DE FÓRMULA]])="Valor absoluto",LOOKUP($J25,[1]!CMI[[#All],[CÓDIGO DE INDICADOR]],[1]!CMI[[#All],[TIPO DE FÓRMULA]])="Suma"),AS25+AU25+AW25+AY25,IF(OR(LOOKUP($J25,[1]!CMI[[#All],[CÓDIGO DE INDICADOR]],[1]!CMI[[#All],[TIPO DE FÓRMULA]])="Porcentaje",LOOKUP($J25,[1]!CMI[[#All],[CÓDIGO DE INDICADOR]],[1]!CMI[[#All],[TIPO DE FÓRMULA]])="División"),IF(LOOKUP($J25,[1]!CMI[[#All],[CÓDIGO DE INDICADOR]],[1]!CMI[[#All],[Variable2_10]])+LOOKUP($J25,[1]!CMI[[#All],[CÓDIGO DE INDICADOR]],[1]!CMI[[#All],[Variable2_11]])+LOOKUP($J25,[1]!CMI[[#All],[CÓDIGO DE INDICADOR]],[1]!CMI[[#All],[Variable2_12]])+LOOKUP($J25,[1]!CMI[[#All],[CÓDIGO DE INDICADOR]],[1]!CMI[[#All],[Variable2_13]])=0,0,(LOOKUP($J25,[1]!CMI[[#All],[CÓDIGO DE INDICADOR]],[1]!CMI[[#All],[Variable1_10]])+LOOKUP($J25,[1]!CMI[[#All],[CÓDIGO DE INDICADOR]],[1]!CMI[[#All],[Variable1_11]])+LOOKUP($J25,[1]!CMI[[#All],[CÓDIGO DE INDICADOR]],[1]!CMI[[#All],[Variable1_12]])+LOOKUP($J25,[1]!CMI[[#All],[CÓDIGO DE INDICADOR]],[1]!CMI[[#All],[Variable1_13]]))/(LOOKUP($J25,[1]!CMI[[#All],[CÓDIGO DE INDICADOR]],[1]!CMI[[#All],[Variable2_10]])+LOOKUP($J25,[1]!CMI[[#All],[CÓDIGO DE INDICADOR]],[1]!CMI[[#All],[Variable2_11]])+LOOKUP($J25,[1]!CMI[[#All],[CÓDIGO DE INDICADOR]],[1]!CMI[[#All],[Variable2_12]])+LOOKUP($J25,[1]!CMI[[#All],[CÓDIGO DE INDICADOR]],[1]!CMI[[#All],[Variable2_13]]))),IF(LOOKUP($J25,[1]!CMI[[#All],[CÓDIGO DE INDICADOR]],[1]!CMI[[#All],[TIPO DE FÓRMULA]])="Tasa de variación",LOOKUP($J25,[1]!CMI[[#All],[CÓDIGO DE INDICADOR]],[1]!CMI[[#All],[EjecuciónAcumulada_13]]),0)))</f>
        <v>0</v>
      </c>
      <c r="BB25" s="12">
        <f>LOOKUP($J25,[1]!CMI[[#All],[CÓDIGO DE INDICADOR]],[1]!CMI[[#All],[Programado_14]])</f>
        <v>1000</v>
      </c>
      <c r="BC25" s="12">
        <f>IF(LOOKUP($J25,[1]!CMI[[#All],[CÓDIGO DE INDICADOR]],[1]!CMI[[#All],[Ejecutado_14]])="-",0,LOOKUP($J25,[1]!CMI[[#All],[CÓDIGO DE INDICADOR]],[1]!CMI[[#All],[Ejecutado_14]]))</f>
        <v>0</v>
      </c>
      <c r="BD25" s="12">
        <f>LOOKUP($J25,[1]!CMI[[#All],[CÓDIGO DE INDICADOR]],[1]!CMI[[#All],[Programado_15]])</f>
        <v>1000</v>
      </c>
      <c r="BE25" s="15">
        <f>IF(LOOKUP($J25,[1]!CMI[[#All],[CÓDIGO DE INDICADOR]],[1]!CMI[[#All],[Ejecutado_15]])="-",0,LOOKUP($J25,[1]!CMI[[#All],[CÓDIGO DE INDICADOR]],[1]!CMI[[#All],[Ejecutado_15]]))</f>
        <v>0</v>
      </c>
      <c r="BF25" s="15">
        <f>LOOKUP($J25,[1]!CMI[[#All],[CÓDIGO DE INDICADOR]],[1]!CMI[[#All],[Programado_16]])</f>
        <v>1000</v>
      </c>
      <c r="BG25" s="15">
        <f>IF(LOOKUP($J25,[1]!CMI[[#All],[CÓDIGO DE INDICADOR]],[1]!CMI[[#All],[Ejecutado_16]])="-",0,LOOKUP($J25,[1]!CMI[[#All],[CÓDIGO DE INDICADOR]],[1]!CMI[[#All],[Ejecutado_16]]))</f>
        <v>0</v>
      </c>
      <c r="BH25" s="15">
        <f>LOOKUP($J25,[1]!CMI[[#All],[CÓDIGO DE INDICADOR]],[1]!CMI[[#All],[Programado_17]])</f>
        <v>1000</v>
      </c>
      <c r="BI25" s="15">
        <f>IF(LOOKUP($J25,[1]!CMI[[#All],[CÓDIGO DE INDICADOR]],[1]!CMI[[#All],[Ejecutado_17]])="-",0,LOOKUP($J25,[1]!CMI[[#All],[CÓDIGO DE INDICADOR]],[1]!CMI[[#All],[Ejecutado_17]]))</f>
        <v>0</v>
      </c>
      <c r="BJ25" s="16">
        <f t="shared" si="6"/>
        <v>4000</v>
      </c>
      <c r="BK25" s="16">
        <f>IF(OR(LOOKUP($J25,[1]!CMI[[#All],[CÓDIGO DE INDICADOR]],[1]!CMI[[#All],[TIPO DE FÓRMULA]])="Valor absoluto",LOOKUP($J25,[1]!CMI[[#All],[CÓDIGO DE INDICADOR]],[1]!CMI[[#All],[TIPO DE FÓRMULA]])="Suma"),BC25+BE25+BG25+BI25,IF(OR(LOOKUP($J25,[1]!CMI[[#All],[CÓDIGO DE INDICADOR]],[1]!CMI[[#All],[TIPO DE FÓRMULA]])="Porcentaje",LOOKUP($J25,[1]!CMI[[#All],[CÓDIGO DE INDICADOR]],[1]!CMI[[#All],[TIPO DE FÓRMULA]])="División"),IF(LOOKUP($J25,[1]!CMI[[#All],[CÓDIGO DE INDICADOR]],[1]!CMI[[#All],[Variable2_14]])+LOOKUP($J25,[1]!CMI[[#All],[CÓDIGO DE INDICADOR]],[1]!CMI[[#All],[Variable2_15]])+LOOKUP($J25,[1]!CMI[[#All],[CÓDIGO DE INDICADOR]],[1]!CMI[[#All],[Variable2_16]])+LOOKUP($J25,[1]!CMI[[#All],[CÓDIGO DE INDICADOR]],[1]!CMI[[#All],[Variable2_17]])=0,0,(LOOKUP($J25,[1]!CMI[[#All],[CÓDIGO DE INDICADOR]],[1]!CMI[[#All],[Variable1_14]])+LOOKUP($J25,[1]!CMI[[#All],[CÓDIGO DE INDICADOR]],[1]!CMI[[#All],[Variable1_15]])+LOOKUP($J25,[1]!CMI[[#All],[CÓDIGO DE INDICADOR]],[1]!CMI[[#All],[Variable1_16]])+LOOKUP($J25,[1]!CMI[[#All],[CÓDIGO DE INDICADOR]],[1]!CMI[[#All],[Variable1_17]]))/(LOOKUP($J25,[1]!CMI[[#All],[CÓDIGO DE INDICADOR]],[1]!CMI[[#All],[Variable2_14]])+LOOKUP($J25,[1]!CMI[[#All],[CÓDIGO DE INDICADOR]],[1]!CMI[[#All],[Variable2_15]])+LOOKUP($J25,[1]!CMI[[#All],[CÓDIGO DE INDICADOR]],[1]!CMI[[#All],[Variable2_16]])+LOOKUP($J25,[1]!CMI[[#All],[CÓDIGO DE INDICADOR]],[1]!CMI[[#All],[Variable2_17]]))),IF(LOOKUP($J25,[1]!CMI[[#All],[CÓDIGO DE INDICADOR]],[1]!CMI[[#All],[TIPO DE FÓRMULA]])="Tasa de variación",LOOKUP($J25,[1]!CMI[[#All],[CÓDIGO DE INDICADOR]],[1]!CMI[[#All],[EjecuciónAcumulada_17]]),0)))</f>
        <v>0</v>
      </c>
      <c r="BL25" s="16">
        <f>IF(YEAR($M25)=2016,LOOKUP($J25,[1]!CMI[[#All],[CÓDIGO DE INDICADOR]],[1]!CMI[[#All],[ProgramadoAcumulado_1]]),IF(AND(YEAR($M25)=2017,MONTH($M25)&lt;=3),LOOKUP($J25,[1]!CMI[[#All],[CÓDIGO DE INDICADOR]],[1]!CMI[[#All],[ProgramadoAcumulado_2]]),IF(AND(YEAR($M25)=2017,MONTH($M25)&lt;=6),LOOKUP($J25,[1]!CMI[[#All],[CÓDIGO DE INDICADOR]],[1]!CMI[[#All],[ProgramadoAcumulado_3]]),IF(AND(YEAR($M25)=2017,MONTH($M25)&lt;=9),LOOKUP($J25,[1]!CMI[[#All],[CÓDIGO DE INDICADOR]],[1]!CMI[[#All],[ProgramadoAcumulado_4]]),IF(AND(YEAR($M25)=2017,MONTH($M25)&lt;=12),LOOKUP($J25,[1]!CMI[[#All],[CÓDIGO DE INDICADOR]],[1]!CMI[[#All],[ProgramadoAcumulado_5]]),IF(AND(YEAR($M25)=2018,MONTH($M25)&lt;=3),LOOKUP($J25,[1]!CMI[[#All],[CÓDIGO DE INDICADOR]],[1]!CMI[[#All],[ProgramadoAcumulado_6]]),IF(AND(YEAR($M25)=2018,MONTH($M25)&lt;=6),LOOKUP($J25,[1]!CMI[[#All],[CÓDIGO DE INDICADOR]],[1]!CMI[[#All],[ProgramadoAcumulado_7]]),IF(AND(YEAR($M25)=2018,MONTH($M25)&lt;=9),LOOKUP($J25,[1]!CMI[[#All],[CÓDIGO DE INDICADOR]],[1]!CMI[[#All],[ProgramadoAcumulado_8]]),IF(AND(YEAR($M25)=2018,MONTH($M25)&lt;=12),LOOKUP($J25,[1]!CMI[[#All],[CÓDIGO DE INDICADOR]],[1]!CMI[[#All],[ProgramadoAcumulado_9]]),IF(AND(YEAR($M25)=2019,MONTH($M25)&lt;=3),LOOKUP($J25,[1]!CMI[[#All],[CÓDIGO DE INDICADOR]],[1]!CMI[[#All],[ProgramadoAcumulado_10]]),IF(AND(YEAR($M25)=2019,MONTH($M25)&lt;=6),LOOKUP($J25,[1]!CMI[[#All],[CÓDIGO DE INDICADOR]],[1]!CMI[[#All],[ProgramadoAcumulado_11]]),IF(AND(YEAR($M25)=2019,MONTH($M25)&lt;=9),LOOKUP($J25,[1]!CMI[[#All],[CÓDIGO DE INDICADOR]],[1]!CMI[[#All],[ProgramadoAcumulado_12]]),IF(AND(YEAR($M25)=2019,MONTH($M25)&lt;=12),LOOKUP($J25,[1]!CMI[[#All],[CÓDIGO DE INDICADOR]],[1]!CMI[[#All],[ProgramadoAcumulado_13]]),IF(AND(YEAR($M25)=2020,MONTH($M25)&lt;=3),LOOKUP($J25,[1]!CMI[[#All],[CÓDIGO DE INDICADOR]],[1]!CMI[[#All],[ProgramadoAcumulado_14]]),IF(AND(YEAR($M25)=2020,MONTH($M25)&lt;=6),LOOKUP($J25,[1]!CMI[[#All],[CÓDIGO DE INDICADOR]],[1]!CMI[[#All],[ProgramadoAcumulado_15]]),IF(AND(YEAR($M25)=2020,MONTH($M25)&lt;=9),LOOKUP($J25,[1]!CMI[[#All],[CÓDIGO DE INDICADOR]],[1]!CMI[[#All],[ProgramadoAcumulado_16]]),IF(AND(YEAR($M25)=2020,MONTH($M25)&lt;=12),LOOKUP($J25,[1]!CMI[[#All],[CÓDIGO DE INDICADOR]],[1]!CMI[[#All],[ProgramadoAcumulado_17]]),"N.A")))))))))))))))))</f>
        <v>9600</v>
      </c>
      <c r="BM25" s="16">
        <f>IF(YEAR($M25)=2016,LOOKUP($J25,[1]!CMI[[#All],[CÓDIGO DE INDICADOR]],[1]!CMI[[#All],[EjecuciónAcumulada_1]]),IF(AND(YEAR($M25)=2017,MONTH($M25)&lt;=3),LOOKUP($J25,[1]!CMI[[#All],[CÓDIGO DE INDICADOR]],[1]!CMI[[#All],[EjecuciónAcumulada_2]]),IF(AND(YEAR($M25)=2017,MONTH($M25)&lt;=6),LOOKUP($J25,[1]!CMI[[#All],[CÓDIGO DE INDICADOR]],[1]!CMI[[#All],[EjecuciónAcumulada_3]]),IF(AND(YEAR($M25)=2017,MONTH($M25)&lt;=9),LOOKUP($J25,[1]!CMI[[#All],[CÓDIGO DE INDICADOR]],[1]!CMI[[#All],[EjecuciónAcumulada_4]]),IF(AND(YEAR($M25)=2017,MONTH($M25)&lt;=12),LOOKUP($J25,[1]!CMI[[#All],[CÓDIGO DE INDICADOR]],[1]!CMI[[#All],[EjecuciónAcumulada_5]]),IF(AND(YEAR($M25)=2018,MONTH($M25)&lt;=3),LOOKUP($J25,[1]!CMI[[#All],[CÓDIGO DE INDICADOR]],[1]!CMI[[#All],[EjecuciónAcumulada_6]]),IF(AND(YEAR($M25)=2018,MONTH($M25)&lt;=6),LOOKUP($J25,[1]!CMI[[#All],[CÓDIGO DE INDICADOR]],[1]!CMI[[#All],[EjecuciónAcumulada_7]]),IF(AND(YEAR($M25)=2018,MONTH($M25)&lt;=9),LOOKUP($J25,[1]!CMI[[#All],[CÓDIGO DE INDICADOR]],[1]!CMI[[#All],[EjecuciónAcumulada_8]]),IF(AND(YEAR($M25)=2018,MONTH($M25)&lt;=12),LOOKUP($J25,[1]!CMI[[#All],[CÓDIGO DE INDICADOR]],[1]!CMI[[#All],[EjecuciónAcumulada_9]]),IF(AND(YEAR($M25)=2019,MONTH($M25)&lt;=3),LOOKUP($J25,[1]!CMI[[#All],[CÓDIGO DE INDICADOR]],[1]!CMI[[#All],[EjecuciónAcumulada_10]]),IF(AND(YEAR($M25)=2019,MONTH($M25)&lt;=6),LOOKUP($J25,[1]!CMI[[#All],[CÓDIGO DE INDICADOR]],[1]!CMI[[#All],[EjecuciónAcumulada_11]]),IF(AND(YEAR($M25)=2019,MONTH($M25)&lt;=9),LOOKUP($J25,[1]!CMI[[#All],[CÓDIGO DE INDICADOR]],[1]!CMI[[#All],[EjecuciónAcumulada_12]]),IF(AND(YEAR($M25)=2019,MONTH($M25)&lt;=12),LOOKUP($J25,[1]!CMI[[#All],[CÓDIGO DE INDICADOR]],[1]!CMI[[#All],[EjecuciónAcumulada_13]]),IF(AND(YEAR($M25)=2020,MONTH($M25)&lt;=3),LOOKUP($J25,[1]!CMI[[#All],[CÓDIGO DE INDICADOR]],[1]!CMI[[#All],[EjecuciónAcumulada_14]]),IF(AND(YEAR($M25)=2020,MONTH($M25)&lt;=6),LOOKUP($J25,[1]!CMI[[#All],[CÓDIGO DE INDICADOR]],[1]!CMI[[#All],[EjecuciónAcumulada_15]]),IF(AND(YEAR($M25)=2020,MONTH($M25)&lt;=9),LOOKUP($J25,[1]!CMI[[#All],[CÓDIGO DE INDICADOR]],[1]!CMI[[#All],[EjecuciónAcumulada_16]]),IF(AND(YEAR($M25)=2020,MONTH($M25)&lt;=12),LOOKUP($J25,[1]!CMI[[#All],[CÓDIGO DE INDICADOR]],[1]!CMI[[#All],[EjecuciónAcumulada_17]]),"N.A")))))))))))))))))</f>
        <v>21284</v>
      </c>
      <c r="BN25" s="17">
        <f t="shared" si="7"/>
        <v>2.2170833333333335</v>
      </c>
      <c r="BO25" s="16">
        <f t="shared" si="0"/>
        <v>19600</v>
      </c>
      <c r="BP25" s="68">
        <f t="shared" si="8"/>
        <v>1.0859183673469388</v>
      </c>
    </row>
    <row r="26" spans="2:68" ht="174.75" customHeight="1">
      <c r="B26" s="133"/>
      <c r="C26" s="10" t="s">
        <v>122</v>
      </c>
      <c r="D26" s="11" t="str">
        <f>LOOKUP($J26,[1]!CMI[[#All],[CÓDIGO DE INDICADOR]],[1]!CMI[[#All],[NOMBRE DEL INDICADOR]])</f>
        <v>Informes de seguimiento semestral a la inclusión y/o implementación de la política de Derechos Humanos en las 20 localidades</v>
      </c>
      <c r="E26" s="11" t="str">
        <f>LOOKUP($J26,[1]!CMI[[#All],[CÓDIGO DE INDICADOR]],[1]!CMI[[#All],[FÓRMULA DE CÁLCULO]])</f>
        <v>No. de informes de seguimiento presentados</v>
      </c>
      <c r="F26" s="12">
        <f>LOOKUP($J26,[1]!CMI[[#All],[CÓDIGO DE INDICADOR]],[1]!CMI[[#All],[VALOR PROGRAMADO TOTAL]])</f>
        <v>140</v>
      </c>
      <c r="G26" s="10" t="s">
        <v>126</v>
      </c>
      <c r="H26" s="10" t="s">
        <v>132</v>
      </c>
      <c r="I26" s="11" t="str">
        <f>LOOKUP($J26,[1]!CMI[[#All],[CÓDIGO DE INDICADOR]],[1]!CMI[[#All],[DEPENDENCIA]])</f>
        <v>PERSONERÍA DELEGADA PARA LA COORDINACIÓN DE PERSONERÍAS LOCALES</v>
      </c>
      <c r="J26" s="13" t="s">
        <v>241</v>
      </c>
      <c r="K26" s="11" t="str">
        <f>LOOKUP($J26,[1]!CMI[[#All],[CÓDIGO DE INDICADOR]],[1]!CMI[[#All],[CÁLCULO VALOR PROGRAMADO ACUMULADO]])</f>
        <v>Sumatoria</v>
      </c>
      <c r="L26" s="11" t="str">
        <f>LOOKUP($J26,[1]!CMI[[#All],[CÓDIGO DE INDICADOR]],[1]!CMI[[#All],[TENDENCIA DECRECIENTE]])</f>
        <v>No</v>
      </c>
      <c r="M26" s="14">
        <f>LOOKUP($J26,[1]!CMI[[#All],[CÓDIGO DE INDICADOR]],[1]!CMI[[#All],[FECHA DE CORTE]])</f>
        <v>43281</v>
      </c>
      <c r="N26" s="12">
        <v>0</v>
      </c>
      <c r="O26" s="12">
        <v>0</v>
      </c>
      <c r="P26" s="12">
        <v>0</v>
      </c>
      <c r="Q26" s="15">
        <v>0</v>
      </c>
      <c r="R26" s="15">
        <v>0</v>
      </c>
      <c r="S26" s="15">
        <v>0</v>
      </c>
      <c r="T26" s="15">
        <f>LOOKUP($J26,[1]!CMI[[#All],[CÓDIGO DE INDICADOR]],[1]!CMI[[#All],[Programado_1]])</f>
        <v>0</v>
      </c>
      <c r="U26" s="15">
        <f>IF(LOOKUP($J26,[1]!CMI[[#All],[CÓDIGO DE INDICADOR]],[1]!CMI[[#All],[Ejecutado_1]])="-",0,LOOKUP($J26,[1]!CMI[[#All],[CÓDIGO DE INDICADOR]],[1]!CMI[[#All],[Ejecutado_1]]))</f>
        <v>0</v>
      </c>
      <c r="V26" s="16">
        <f t="shared" si="1"/>
        <v>0</v>
      </c>
      <c r="W26" s="16">
        <f t="shared" si="2"/>
        <v>0</v>
      </c>
      <c r="X26" s="12">
        <f>LOOKUP($J26,[1]!CMI[[#All],[CÓDIGO DE INDICADOR]],[1]!CMI[[#All],[Programado_2]])</f>
        <v>0</v>
      </c>
      <c r="Y26" s="12">
        <f>IF(LOOKUP($J26,[1]!CMI[[#All],[CÓDIGO DE INDICADOR]],[1]!CMI[[#All],[Ejecutado_2]])="-",0,LOOKUP($J26,[1]!CMI[[#All],[CÓDIGO DE INDICADOR]],[1]!CMI[[#All],[Ejecutado_2]]))</f>
        <v>0</v>
      </c>
      <c r="Z26" s="12">
        <f>LOOKUP($J26,[1]!CMI[[#All],[CÓDIGO DE INDICADOR]],[1]!CMI[[#All],[Programado_3]])</f>
        <v>0</v>
      </c>
      <c r="AA26" s="15">
        <f>IF(LOOKUP($J26,[1]!CMI[[#All],[CÓDIGO DE INDICADOR]],[1]!CMI[[#All],[Ejecutado_3]])="-",0,LOOKUP($J26,[1]!CMI[[#All],[CÓDIGO DE INDICADOR]],[1]!CMI[[#All],[Ejecutado_3]]))</f>
        <v>0</v>
      </c>
      <c r="AB26" s="15">
        <f>LOOKUP($J26,[1]!CMI[[#All],[CÓDIGO DE INDICADOR]],[1]!CMI[[#All],[Programado_4]])</f>
        <v>0</v>
      </c>
      <c r="AC26" s="15">
        <f>IF(LOOKUP($J26,[1]!CMI[[#All],[CÓDIGO DE INDICADOR]],[1]!CMI[[#All],[Ejecutado_4]])="-",0,LOOKUP($J26,[1]!CMI[[#All],[CÓDIGO DE INDICADOR]],[1]!CMI[[#All],[Ejecutado_4]]))</f>
        <v>1</v>
      </c>
      <c r="AD26" s="15">
        <f>LOOKUP($J26,[1]!CMI[[#All],[CÓDIGO DE INDICADOR]],[1]!CMI[[#All],[Programado_5]])</f>
        <v>20</v>
      </c>
      <c r="AE26" s="15">
        <f>IF(LOOKUP($J26,[1]!CMI[[#All],[CÓDIGO DE INDICADOR]],[1]!CMI[[#All],[Ejecutado_5]])="-",0,LOOKUP($J26,[1]!CMI[[#All],[CÓDIGO DE INDICADOR]],[1]!CMI[[#All],[Ejecutado_5]]))</f>
        <v>19</v>
      </c>
      <c r="AF26" s="16">
        <f t="shared" si="3"/>
        <v>20</v>
      </c>
      <c r="AG26" s="16">
        <f>IF(OR(LOOKUP($J26,[1]!CMI[[#All],[CÓDIGO DE INDICADOR]],[1]!CMI[[#All],[TIPO DE FÓRMULA]])="Valor absoluto",LOOKUP($J26,[1]!CMI[[#All],[CÓDIGO DE INDICADOR]],[1]!CMI[[#All],[TIPO DE FÓRMULA]])="Suma"),Y26+AA26+AC26+AE26,IF(OR(LOOKUP($J26,[1]!CMI[[#All],[CÓDIGO DE INDICADOR]],[1]!CMI[[#All],[TIPO DE FÓRMULA]])="Porcentaje",LOOKUP($J26,[1]!CMI[[#All],[CÓDIGO DE INDICADOR]],[1]!CMI[[#All],[TIPO DE FÓRMULA]])="División"),IF(LOOKUP($J26,[1]!CMI[[#All],[CÓDIGO DE INDICADOR]],[1]!CMI[[#All],[Variable2_2]])+LOOKUP($J26,[1]!CMI[[#All],[CÓDIGO DE INDICADOR]],[1]!CMI[[#All],[Variable2_3]])+LOOKUP($J26,[1]!CMI[[#All],[CÓDIGO DE INDICADOR]],[1]!CMI[[#All],[Variable2_4]])+LOOKUP($J26,[1]!CMI[[#All],[CÓDIGO DE INDICADOR]],[1]!CMI[[#All],[Variable2_5]])=0,0,(LOOKUP($J26,[1]!CMI[[#All],[CÓDIGO DE INDICADOR]],[1]!CMI[[#All],[Variable1_2]])+LOOKUP($J26,[1]!CMI[[#All],[CÓDIGO DE INDICADOR]],[1]!CMI[[#All],[Variable1_3]])+LOOKUP($J26,[1]!CMI[[#All],[CÓDIGO DE INDICADOR]],[1]!CMI[[#All],[Variable1_4]])+LOOKUP($J26,[1]!CMI[[#All],[CÓDIGO DE INDICADOR]],[1]!CMI[[#All],[Variable1_5]]))/(LOOKUP($J26,[1]!CMI[[#All],[CÓDIGO DE INDICADOR]],[1]!CMI[[#All],[Variable2_2]])+LOOKUP($J26,[1]!CMI[[#All],[CÓDIGO DE INDICADOR]],[1]!CMI[[#All],[Variable2_3]])+LOOKUP($J26,[1]!CMI[[#All],[CÓDIGO DE INDICADOR]],[1]!CMI[[#All],[Variable2_4]])+LOOKUP($J26,[1]!CMI[[#All],[CÓDIGO DE INDICADOR]],[1]!CMI[[#All],[Variable2_5]]))),IF(LOOKUP($J26,[1]!CMI[[#All],[CÓDIGO DE INDICADOR]],[1]!CMI[[#All],[TIPO DE FÓRMULA]])="Tasa de variación",LOOKUP($J26,[1]!CMI[[#All],[CÓDIGO DE INDICADOR]],[1]!CMI[[#All],[EjecuciónAcumulada_5]]),0)))</f>
        <v>20</v>
      </c>
      <c r="AH26" s="12">
        <f>LOOKUP($J26,[1]!CMI[[#All],[CÓDIGO DE INDICADOR]],[1]!CMI[[#All],[Programado_6]])</f>
        <v>20</v>
      </c>
      <c r="AI26" s="12">
        <f>IF(LOOKUP($J26,[1]!CMI[[#All],[CÓDIGO DE INDICADOR]],[1]!CMI[[#All],[Ejecutado_6]])="-",0,LOOKUP($J26,[1]!CMI[[#All],[CÓDIGO DE INDICADOR]],[1]!CMI[[#All],[Ejecutado_6]]))</f>
        <v>1</v>
      </c>
      <c r="AJ26" s="12">
        <f>LOOKUP($J26,[1]!CMI[[#All],[CÓDIGO DE INDICADOR]],[1]!CMI[[#All],[Programado_7]])</f>
        <v>0</v>
      </c>
      <c r="AK26" s="15">
        <f>IF(LOOKUP($J26,[1]!CMI[[#All],[CÓDIGO DE INDICADOR]],[1]!CMI[[#All],[Ejecutado_7]])="-",0,LOOKUP($J26,[1]!CMI[[#All],[CÓDIGO DE INDICADOR]],[1]!CMI[[#All],[Ejecutado_7]]))</f>
        <v>5</v>
      </c>
      <c r="AL26" s="15">
        <f>LOOKUP($J26,[1]!CMI[[#All],[CÓDIGO DE INDICADOR]],[1]!CMI[[#All],[Programado_8]])</f>
        <v>20</v>
      </c>
      <c r="AM26" s="15">
        <f>IF(LOOKUP($J26,[1]!CMI[[#All],[CÓDIGO DE INDICADOR]],[1]!CMI[[#All],[Ejecutado_8]])="-",0,LOOKUP($J26,[1]!CMI[[#All],[CÓDIGO DE INDICADOR]],[1]!CMI[[#All],[Ejecutado_8]]))</f>
        <v>0</v>
      </c>
      <c r="AN26" s="15">
        <f>LOOKUP($J26,[1]!CMI[[#All],[CÓDIGO DE INDICADOR]],[1]!CMI[[#All],[Programado_9]])</f>
        <v>0</v>
      </c>
      <c r="AO26" s="15">
        <f>IF(LOOKUP($J26,[1]!CMI[[#All],[CÓDIGO DE INDICADOR]],[1]!CMI[[#All],[Ejecutado_9]])="-",0,LOOKUP($J26,[1]!CMI[[#All],[CÓDIGO DE INDICADOR]],[1]!CMI[[#All],[Ejecutado_9]]))</f>
        <v>0</v>
      </c>
      <c r="AP26" s="16">
        <f t="shared" si="4"/>
        <v>40</v>
      </c>
      <c r="AQ26" s="16">
        <f>IF(OR(LOOKUP($J26,[1]!CMI[[#All],[CÓDIGO DE INDICADOR]],[1]!CMI[[#All],[TIPO DE FÓRMULA]])="Valor absoluto",LOOKUP($J26,[1]!CMI[[#All],[CÓDIGO DE INDICADOR]],[1]!CMI[[#All],[TIPO DE FÓRMULA]])="Suma"),AI26+AK26+AM26+AO26,IF(OR(LOOKUP($J26,[1]!CMI[[#All],[CÓDIGO DE INDICADOR]],[1]!CMI[[#All],[TIPO DE FÓRMULA]])="Porcentaje",LOOKUP($J26,[1]!CMI[[#All],[CÓDIGO DE INDICADOR]],[1]!CMI[[#All],[TIPO DE FÓRMULA]])="División"),IF(LOOKUP($J26,[1]!CMI[[#All],[CÓDIGO DE INDICADOR]],[1]!CMI[[#All],[Variable2_6]])+LOOKUP($J26,[1]!CMI[[#All],[CÓDIGO DE INDICADOR]],[1]!CMI[[#All],[Variable2_7]])+LOOKUP($J26,[1]!CMI[[#All],[CÓDIGO DE INDICADOR]],[1]!CMI[[#All],[Variable2_8]])+LOOKUP($J26,[1]!CMI[[#All],[CÓDIGO DE INDICADOR]],[1]!CMI[[#All],[Variable2_9]])=0,0,(LOOKUP($J26,[1]!CMI[[#All],[CÓDIGO DE INDICADOR]],[1]!CMI[[#All],[Variable1_6]])+LOOKUP($J26,[1]!CMI[[#All],[CÓDIGO DE INDICADOR]],[1]!CMI[[#All],[Variable1_7]])+LOOKUP($J26,[1]!CMI[[#All],[CÓDIGO DE INDICADOR]],[1]!CMI[[#All],[Variable1_8]])+LOOKUP($J26,[1]!CMI[[#All],[CÓDIGO DE INDICADOR]],[1]!CMI[[#All],[Variable1_9]]))/(LOOKUP($J26,[1]!CMI[[#All],[CÓDIGO DE INDICADOR]],[1]!CMI[[#All],[Variable2_6]])+LOOKUP($J26,[1]!CMI[[#All],[CÓDIGO DE INDICADOR]],[1]!CMI[[#All],[Variable2_7]])+LOOKUP($J26,[1]!CMI[[#All],[CÓDIGO DE INDICADOR]],[1]!CMI[[#All],[Variable2_8]])+LOOKUP($J26,[1]!CMI[[#All],[CÓDIGO DE INDICADOR]],[1]!CMI[[#All],[Variable2_9]]))),IF(LOOKUP($J26,[1]!CMI[[#All],[CÓDIGO DE INDICADOR]],[1]!CMI[[#All],[TIPO DE FÓRMULA]])="Tasa de variación",LOOKUP($J26,[1]!CMI[[#All],[CÓDIGO DE INDICADOR]],[1]!CMI[[#All],[EjecuciónAcumulada_9]]),0)))</f>
        <v>6</v>
      </c>
      <c r="AR26" s="12">
        <f>LOOKUP($J26,[1]!CMI[[#All],[CÓDIGO DE INDICADOR]],[1]!CMI[[#All],[Programado_10]])</f>
        <v>20</v>
      </c>
      <c r="AS26" s="12">
        <f>IF(LOOKUP($J26,[1]!CMI[[#All],[CÓDIGO DE INDICADOR]],[1]!CMI[[#All],[Ejecutado_10]])="-",0,LOOKUP($J26,[1]!CMI[[#All],[CÓDIGO DE INDICADOR]],[1]!CMI[[#All],[Ejecutado_10]]))</f>
        <v>0</v>
      </c>
      <c r="AT26" s="12">
        <f>LOOKUP($J26,[1]!CMI[[#All],[CÓDIGO DE INDICADOR]],[1]!CMI[[#All],[Programado_11]])</f>
        <v>0</v>
      </c>
      <c r="AU26" s="15">
        <f>IF(LOOKUP($J26,[1]!CMI[[#All],[CÓDIGO DE INDICADOR]],[1]!CMI[[#All],[Ejecutado_11]])="-",0,LOOKUP($J26,[1]!CMI[[#All],[CÓDIGO DE INDICADOR]],[1]!CMI[[#All],[Ejecutado_11]]))</f>
        <v>0</v>
      </c>
      <c r="AV26" s="15">
        <f>LOOKUP($J26,[1]!CMI[[#All],[CÓDIGO DE INDICADOR]],[1]!CMI[[#All],[Programado_12]])</f>
        <v>20</v>
      </c>
      <c r="AW26" s="15">
        <f>IF(LOOKUP($J26,[1]!CMI[[#All],[CÓDIGO DE INDICADOR]],[1]!CMI[[#All],[Ejecutado_12]])="-",0,LOOKUP($J26,[1]!CMI[[#All],[CÓDIGO DE INDICADOR]],[1]!CMI[[#All],[Ejecutado_12]]))</f>
        <v>0</v>
      </c>
      <c r="AX26" s="15">
        <f>LOOKUP($J26,[1]!CMI[[#All],[CÓDIGO DE INDICADOR]],[1]!CMI[[#All],[Programado_13]])</f>
        <v>0</v>
      </c>
      <c r="AY26" s="15">
        <f>IF(LOOKUP($J26,[1]!CMI[[#All],[CÓDIGO DE INDICADOR]],[1]!CMI[[#All],[Ejecutado_13]])="-",0,LOOKUP($J26,[1]!CMI[[#All],[CÓDIGO DE INDICADOR]],[1]!CMI[[#All],[Ejecutado_13]]))</f>
        <v>0</v>
      </c>
      <c r="AZ26" s="16">
        <f t="shared" si="5"/>
        <v>40</v>
      </c>
      <c r="BA26" s="16">
        <f>IF(OR(LOOKUP($J26,[1]!CMI[[#All],[CÓDIGO DE INDICADOR]],[1]!CMI[[#All],[TIPO DE FÓRMULA]])="Valor absoluto",LOOKUP($J26,[1]!CMI[[#All],[CÓDIGO DE INDICADOR]],[1]!CMI[[#All],[TIPO DE FÓRMULA]])="Suma"),AS26+AU26+AW26+AY26,IF(OR(LOOKUP($J26,[1]!CMI[[#All],[CÓDIGO DE INDICADOR]],[1]!CMI[[#All],[TIPO DE FÓRMULA]])="Porcentaje",LOOKUP($J26,[1]!CMI[[#All],[CÓDIGO DE INDICADOR]],[1]!CMI[[#All],[TIPO DE FÓRMULA]])="División"),IF(LOOKUP($J26,[1]!CMI[[#All],[CÓDIGO DE INDICADOR]],[1]!CMI[[#All],[Variable2_10]])+LOOKUP($J26,[1]!CMI[[#All],[CÓDIGO DE INDICADOR]],[1]!CMI[[#All],[Variable2_11]])+LOOKUP($J26,[1]!CMI[[#All],[CÓDIGO DE INDICADOR]],[1]!CMI[[#All],[Variable2_12]])+LOOKUP($J26,[1]!CMI[[#All],[CÓDIGO DE INDICADOR]],[1]!CMI[[#All],[Variable2_13]])=0,0,(LOOKUP($J26,[1]!CMI[[#All],[CÓDIGO DE INDICADOR]],[1]!CMI[[#All],[Variable1_10]])+LOOKUP($J26,[1]!CMI[[#All],[CÓDIGO DE INDICADOR]],[1]!CMI[[#All],[Variable1_11]])+LOOKUP($J26,[1]!CMI[[#All],[CÓDIGO DE INDICADOR]],[1]!CMI[[#All],[Variable1_12]])+LOOKUP($J26,[1]!CMI[[#All],[CÓDIGO DE INDICADOR]],[1]!CMI[[#All],[Variable1_13]]))/(LOOKUP($J26,[1]!CMI[[#All],[CÓDIGO DE INDICADOR]],[1]!CMI[[#All],[Variable2_10]])+LOOKUP($J26,[1]!CMI[[#All],[CÓDIGO DE INDICADOR]],[1]!CMI[[#All],[Variable2_11]])+LOOKUP($J26,[1]!CMI[[#All],[CÓDIGO DE INDICADOR]],[1]!CMI[[#All],[Variable2_12]])+LOOKUP($J26,[1]!CMI[[#All],[CÓDIGO DE INDICADOR]],[1]!CMI[[#All],[Variable2_13]]))),IF(LOOKUP($J26,[1]!CMI[[#All],[CÓDIGO DE INDICADOR]],[1]!CMI[[#All],[TIPO DE FÓRMULA]])="Tasa de variación",LOOKUP($J26,[1]!CMI[[#All],[CÓDIGO DE INDICADOR]],[1]!CMI[[#All],[EjecuciónAcumulada_13]]),0)))</f>
        <v>0</v>
      </c>
      <c r="BB26" s="12">
        <f>LOOKUP($J26,[1]!CMI[[#All],[CÓDIGO DE INDICADOR]],[1]!CMI[[#All],[Programado_14]])</f>
        <v>20</v>
      </c>
      <c r="BC26" s="12">
        <f>IF(LOOKUP($J26,[1]!CMI[[#All],[CÓDIGO DE INDICADOR]],[1]!CMI[[#All],[Ejecutado_14]])="-",0,LOOKUP($J26,[1]!CMI[[#All],[CÓDIGO DE INDICADOR]],[1]!CMI[[#All],[Ejecutado_14]]))</f>
        <v>0</v>
      </c>
      <c r="BD26" s="12">
        <f>LOOKUP($J26,[1]!CMI[[#All],[CÓDIGO DE INDICADOR]],[1]!CMI[[#All],[Programado_15]])</f>
        <v>0</v>
      </c>
      <c r="BE26" s="15">
        <f>IF(LOOKUP($J26,[1]!CMI[[#All],[CÓDIGO DE INDICADOR]],[1]!CMI[[#All],[Ejecutado_15]])="-",0,LOOKUP($J26,[1]!CMI[[#All],[CÓDIGO DE INDICADOR]],[1]!CMI[[#All],[Ejecutado_15]]))</f>
        <v>0</v>
      </c>
      <c r="BF26" s="15">
        <f>LOOKUP($J26,[1]!CMI[[#All],[CÓDIGO DE INDICADOR]],[1]!CMI[[#All],[Programado_16]])</f>
        <v>20</v>
      </c>
      <c r="BG26" s="15">
        <f>IF(LOOKUP($J26,[1]!CMI[[#All],[CÓDIGO DE INDICADOR]],[1]!CMI[[#All],[Ejecutado_16]])="-",0,LOOKUP($J26,[1]!CMI[[#All],[CÓDIGO DE INDICADOR]],[1]!CMI[[#All],[Ejecutado_16]]))</f>
        <v>0</v>
      </c>
      <c r="BH26" s="15">
        <f>LOOKUP($J26,[1]!CMI[[#All],[CÓDIGO DE INDICADOR]],[1]!CMI[[#All],[Programado_17]])</f>
        <v>0</v>
      </c>
      <c r="BI26" s="15">
        <f>IF(LOOKUP($J26,[1]!CMI[[#All],[CÓDIGO DE INDICADOR]],[1]!CMI[[#All],[Ejecutado_17]])="-",0,LOOKUP($J26,[1]!CMI[[#All],[CÓDIGO DE INDICADOR]],[1]!CMI[[#All],[Ejecutado_17]]))</f>
        <v>0</v>
      </c>
      <c r="BJ26" s="16">
        <f t="shared" si="6"/>
        <v>40</v>
      </c>
      <c r="BK26" s="16">
        <f>IF(OR(LOOKUP($J26,[1]!CMI[[#All],[CÓDIGO DE INDICADOR]],[1]!CMI[[#All],[TIPO DE FÓRMULA]])="Valor absoluto",LOOKUP($J26,[1]!CMI[[#All],[CÓDIGO DE INDICADOR]],[1]!CMI[[#All],[TIPO DE FÓRMULA]])="Suma"),BC26+BE26+BG26+BI26,IF(OR(LOOKUP($J26,[1]!CMI[[#All],[CÓDIGO DE INDICADOR]],[1]!CMI[[#All],[TIPO DE FÓRMULA]])="Porcentaje",LOOKUP($J26,[1]!CMI[[#All],[CÓDIGO DE INDICADOR]],[1]!CMI[[#All],[TIPO DE FÓRMULA]])="División"),IF(LOOKUP($J26,[1]!CMI[[#All],[CÓDIGO DE INDICADOR]],[1]!CMI[[#All],[Variable2_14]])+LOOKUP($J26,[1]!CMI[[#All],[CÓDIGO DE INDICADOR]],[1]!CMI[[#All],[Variable2_15]])+LOOKUP($J26,[1]!CMI[[#All],[CÓDIGO DE INDICADOR]],[1]!CMI[[#All],[Variable2_16]])+LOOKUP($J26,[1]!CMI[[#All],[CÓDIGO DE INDICADOR]],[1]!CMI[[#All],[Variable2_17]])=0,0,(LOOKUP($J26,[1]!CMI[[#All],[CÓDIGO DE INDICADOR]],[1]!CMI[[#All],[Variable1_14]])+LOOKUP($J26,[1]!CMI[[#All],[CÓDIGO DE INDICADOR]],[1]!CMI[[#All],[Variable1_15]])+LOOKUP($J26,[1]!CMI[[#All],[CÓDIGO DE INDICADOR]],[1]!CMI[[#All],[Variable1_16]])+LOOKUP($J26,[1]!CMI[[#All],[CÓDIGO DE INDICADOR]],[1]!CMI[[#All],[Variable1_17]]))/(LOOKUP($J26,[1]!CMI[[#All],[CÓDIGO DE INDICADOR]],[1]!CMI[[#All],[Variable2_14]])+LOOKUP($J26,[1]!CMI[[#All],[CÓDIGO DE INDICADOR]],[1]!CMI[[#All],[Variable2_15]])+LOOKUP($J26,[1]!CMI[[#All],[CÓDIGO DE INDICADOR]],[1]!CMI[[#All],[Variable2_16]])+LOOKUP($J26,[1]!CMI[[#All],[CÓDIGO DE INDICADOR]],[1]!CMI[[#All],[Variable2_17]]))),IF(LOOKUP($J26,[1]!CMI[[#All],[CÓDIGO DE INDICADOR]],[1]!CMI[[#All],[TIPO DE FÓRMULA]])="Tasa de variación",LOOKUP($J26,[1]!CMI[[#All],[CÓDIGO DE INDICADOR]],[1]!CMI[[#All],[EjecuciónAcumulada_17]]),0)))</f>
        <v>0</v>
      </c>
      <c r="BL26" s="16">
        <f>IF(YEAR($M26)=2016,LOOKUP($J26,[1]!CMI[[#All],[CÓDIGO DE INDICADOR]],[1]!CMI[[#All],[ProgramadoAcumulado_1]]),IF(AND(YEAR($M26)=2017,MONTH($M26)&lt;=3),LOOKUP($J26,[1]!CMI[[#All],[CÓDIGO DE INDICADOR]],[1]!CMI[[#All],[ProgramadoAcumulado_2]]),IF(AND(YEAR($M26)=2017,MONTH($M26)&lt;=6),LOOKUP($J26,[1]!CMI[[#All],[CÓDIGO DE INDICADOR]],[1]!CMI[[#All],[ProgramadoAcumulado_3]]),IF(AND(YEAR($M26)=2017,MONTH($M26)&lt;=9),LOOKUP($J26,[1]!CMI[[#All],[CÓDIGO DE INDICADOR]],[1]!CMI[[#All],[ProgramadoAcumulado_4]]),IF(AND(YEAR($M26)=2017,MONTH($M26)&lt;=12),LOOKUP($J26,[1]!CMI[[#All],[CÓDIGO DE INDICADOR]],[1]!CMI[[#All],[ProgramadoAcumulado_5]]),IF(AND(YEAR($M26)=2018,MONTH($M26)&lt;=3),LOOKUP($J26,[1]!CMI[[#All],[CÓDIGO DE INDICADOR]],[1]!CMI[[#All],[ProgramadoAcumulado_6]]),IF(AND(YEAR($M26)=2018,MONTH($M26)&lt;=6),LOOKUP($J26,[1]!CMI[[#All],[CÓDIGO DE INDICADOR]],[1]!CMI[[#All],[ProgramadoAcumulado_7]]),IF(AND(YEAR($M26)=2018,MONTH($M26)&lt;=9),LOOKUP($J26,[1]!CMI[[#All],[CÓDIGO DE INDICADOR]],[1]!CMI[[#All],[ProgramadoAcumulado_8]]),IF(AND(YEAR($M26)=2018,MONTH($M26)&lt;=12),LOOKUP($J26,[1]!CMI[[#All],[CÓDIGO DE INDICADOR]],[1]!CMI[[#All],[ProgramadoAcumulado_9]]),IF(AND(YEAR($M26)=2019,MONTH($M26)&lt;=3),LOOKUP($J26,[1]!CMI[[#All],[CÓDIGO DE INDICADOR]],[1]!CMI[[#All],[ProgramadoAcumulado_10]]),IF(AND(YEAR($M26)=2019,MONTH($M26)&lt;=6),LOOKUP($J26,[1]!CMI[[#All],[CÓDIGO DE INDICADOR]],[1]!CMI[[#All],[ProgramadoAcumulado_11]]),IF(AND(YEAR($M26)=2019,MONTH($M26)&lt;=9),LOOKUP($J26,[1]!CMI[[#All],[CÓDIGO DE INDICADOR]],[1]!CMI[[#All],[ProgramadoAcumulado_12]]),IF(AND(YEAR($M26)=2019,MONTH($M26)&lt;=12),LOOKUP($J26,[1]!CMI[[#All],[CÓDIGO DE INDICADOR]],[1]!CMI[[#All],[ProgramadoAcumulado_13]]),IF(AND(YEAR($M26)=2020,MONTH($M26)&lt;=3),LOOKUP($J26,[1]!CMI[[#All],[CÓDIGO DE INDICADOR]],[1]!CMI[[#All],[ProgramadoAcumulado_14]]),IF(AND(YEAR($M26)=2020,MONTH($M26)&lt;=6),LOOKUP($J26,[1]!CMI[[#All],[CÓDIGO DE INDICADOR]],[1]!CMI[[#All],[ProgramadoAcumulado_15]]),IF(AND(YEAR($M26)=2020,MONTH($M26)&lt;=9),LOOKUP($J26,[1]!CMI[[#All],[CÓDIGO DE INDICADOR]],[1]!CMI[[#All],[ProgramadoAcumulado_16]]),IF(AND(YEAR($M26)=2020,MONTH($M26)&lt;=12),LOOKUP($J26,[1]!CMI[[#All],[CÓDIGO DE INDICADOR]],[1]!CMI[[#All],[ProgramadoAcumulado_17]]),"N.A")))))))))))))))))</f>
        <v>40</v>
      </c>
      <c r="BM26" s="16">
        <f>IF(YEAR($M26)=2016,LOOKUP($J26,[1]!CMI[[#All],[CÓDIGO DE INDICADOR]],[1]!CMI[[#All],[EjecuciónAcumulada_1]]),IF(AND(YEAR($M26)=2017,MONTH($M26)&lt;=3),LOOKUP($J26,[1]!CMI[[#All],[CÓDIGO DE INDICADOR]],[1]!CMI[[#All],[EjecuciónAcumulada_2]]),IF(AND(YEAR($M26)=2017,MONTH($M26)&lt;=6),LOOKUP($J26,[1]!CMI[[#All],[CÓDIGO DE INDICADOR]],[1]!CMI[[#All],[EjecuciónAcumulada_3]]),IF(AND(YEAR($M26)=2017,MONTH($M26)&lt;=9),LOOKUP($J26,[1]!CMI[[#All],[CÓDIGO DE INDICADOR]],[1]!CMI[[#All],[EjecuciónAcumulada_4]]),IF(AND(YEAR($M26)=2017,MONTH($M26)&lt;=12),LOOKUP($J26,[1]!CMI[[#All],[CÓDIGO DE INDICADOR]],[1]!CMI[[#All],[EjecuciónAcumulada_5]]),IF(AND(YEAR($M26)=2018,MONTH($M26)&lt;=3),LOOKUP($J26,[1]!CMI[[#All],[CÓDIGO DE INDICADOR]],[1]!CMI[[#All],[EjecuciónAcumulada_6]]),IF(AND(YEAR($M26)=2018,MONTH($M26)&lt;=6),LOOKUP($J26,[1]!CMI[[#All],[CÓDIGO DE INDICADOR]],[1]!CMI[[#All],[EjecuciónAcumulada_7]]),IF(AND(YEAR($M26)=2018,MONTH($M26)&lt;=9),LOOKUP($J26,[1]!CMI[[#All],[CÓDIGO DE INDICADOR]],[1]!CMI[[#All],[EjecuciónAcumulada_8]]),IF(AND(YEAR($M26)=2018,MONTH($M26)&lt;=12),LOOKUP($J26,[1]!CMI[[#All],[CÓDIGO DE INDICADOR]],[1]!CMI[[#All],[EjecuciónAcumulada_9]]),IF(AND(YEAR($M26)=2019,MONTH($M26)&lt;=3),LOOKUP($J26,[1]!CMI[[#All],[CÓDIGO DE INDICADOR]],[1]!CMI[[#All],[EjecuciónAcumulada_10]]),IF(AND(YEAR($M26)=2019,MONTH($M26)&lt;=6),LOOKUP($J26,[1]!CMI[[#All],[CÓDIGO DE INDICADOR]],[1]!CMI[[#All],[EjecuciónAcumulada_11]]),IF(AND(YEAR($M26)=2019,MONTH($M26)&lt;=9),LOOKUP($J26,[1]!CMI[[#All],[CÓDIGO DE INDICADOR]],[1]!CMI[[#All],[EjecuciónAcumulada_12]]),IF(AND(YEAR($M26)=2019,MONTH($M26)&lt;=12),LOOKUP($J26,[1]!CMI[[#All],[CÓDIGO DE INDICADOR]],[1]!CMI[[#All],[EjecuciónAcumulada_13]]),IF(AND(YEAR($M26)=2020,MONTH($M26)&lt;=3),LOOKUP($J26,[1]!CMI[[#All],[CÓDIGO DE INDICADOR]],[1]!CMI[[#All],[EjecuciónAcumulada_14]]),IF(AND(YEAR($M26)=2020,MONTH($M26)&lt;=6),LOOKUP($J26,[1]!CMI[[#All],[CÓDIGO DE INDICADOR]],[1]!CMI[[#All],[EjecuciónAcumulada_15]]),IF(AND(YEAR($M26)=2020,MONTH($M26)&lt;=9),LOOKUP($J26,[1]!CMI[[#All],[CÓDIGO DE INDICADOR]],[1]!CMI[[#All],[EjecuciónAcumulada_16]]),IF(AND(YEAR($M26)=2020,MONTH($M26)&lt;=12),LOOKUP($J26,[1]!CMI[[#All],[CÓDIGO DE INDICADOR]],[1]!CMI[[#All],[EjecuciónAcumulada_17]]),"N.A")))))))))))))))))</f>
        <v>26</v>
      </c>
      <c r="BN26" s="17">
        <f t="shared" si="7"/>
        <v>0.65</v>
      </c>
      <c r="BO26" s="16">
        <f t="shared" si="0"/>
        <v>140</v>
      </c>
      <c r="BP26" s="68">
        <f t="shared" si="8"/>
        <v>0.18571428571428572</v>
      </c>
    </row>
    <row r="27" spans="2:68" ht="196.5" customHeight="1">
      <c r="B27" s="133"/>
      <c r="C27" s="10" t="s">
        <v>123</v>
      </c>
      <c r="D27" s="11" t="str">
        <f>LOOKUP($J27,[1]!CMI[[#All],[CÓDIGO DE INDICADOR]],[1]!CMI[[#All],[NOMBRE DEL INDICADOR]])</f>
        <v>Jornadas de Impulso procesal ante alcaldías locales e inspecciones de polícia</v>
      </c>
      <c r="E27" s="11" t="str">
        <f>LOOKUP($J27,[1]!CMI[[#All],[CÓDIGO DE INDICADOR]],[1]!CMI[[#All],[FÓRMULA DE CÁLCULO]])</f>
        <v>No. de jornadas de impulso procesal realizadas</v>
      </c>
      <c r="F27" s="12">
        <f>LOOKUP($J27,[1]!CMI[[#All],[CÓDIGO DE INDICADOR]],[1]!CMI[[#All],[VALOR PROGRAMADO TOTAL]])</f>
        <v>140</v>
      </c>
      <c r="G27" s="10" t="s">
        <v>133</v>
      </c>
      <c r="H27" s="10" t="s">
        <v>134</v>
      </c>
      <c r="I27" s="11" t="str">
        <f>LOOKUP($J27,[1]!CMI[[#All],[CÓDIGO DE INDICADOR]],[1]!CMI[[#All],[DEPENDENCIA]])</f>
        <v>PERSONERÍA DELEGADA PARA LA COORDINACIÓN DE PERSONERÍAS LOCALES</v>
      </c>
      <c r="J27" s="13" t="s">
        <v>242</v>
      </c>
      <c r="K27" s="11" t="str">
        <f>LOOKUP($J27,[1]!CMI[[#All],[CÓDIGO DE INDICADOR]],[1]!CMI[[#All],[CÁLCULO VALOR PROGRAMADO ACUMULADO]])</f>
        <v>Sumatoria</v>
      </c>
      <c r="L27" s="11" t="str">
        <f>LOOKUP($J27,[1]!CMI[[#All],[CÓDIGO DE INDICADOR]],[1]!CMI[[#All],[TENDENCIA DECRECIENTE]])</f>
        <v>No</v>
      </c>
      <c r="M27" s="14">
        <f>LOOKUP($J27,[1]!CMI[[#All],[CÓDIGO DE INDICADOR]],[1]!CMI[[#All],[FECHA DE CORTE]])</f>
        <v>43281</v>
      </c>
      <c r="N27" s="12">
        <v>0</v>
      </c>
      <c r="O27" s="12">
        <v>0</v>
      </c>
      <c r="P27" s="12">
        <v>0</v>
      </c>
      <c r="Q27" s="15">
        <v>0</v>
      </c>
      <c r="R27" s="15">
        <v>0</v>
      </c>
      <c r="S27" s="15">
        <v>0</v>
      </c>
      <c r="T27" s="15">
        <f>LOOKUP($J27,[1]!CMI[[#All],[CÓDIGO DE INDICADOR]],[1]!CMI[[#All],[Programado_1]])</f>
        <v>0</v>
      </c>
      <c r="U27" s="15">
        <f>IF(LOOKUP($J27,[1]!CMI[[#All],[CÓDIGO DE INDICADOR]],[1]!CMI[[#All],[Ejecutado_1]])="-",0,LOOKUP($J27,[1]!CMI[[#All],[CÓDIGO DE INDICADOR]],[1]!CMI[[#All],[Ejecutado_1]]))</f>
        <v>0</v>
      </c>
      <c r="V27" s="16">
        <f t="shared" si="1"/>
        <v>0</v>
      </c>
      <c r="W27" s="16">
        <f t="shared" si="2"/>
        <v>0</v>
      </c>
      <c r="X27" s="12">
        <f>LOOKUP($J27,[1]!CMI[[#All],[CÓDIGO DE INDICADOR]],[1]!CMI[[#All],[Programado_2]])</f>
        <v>10</v>
      </c>
      <c r="Y27" s="12">
        <f>IF(LOOKUP($J27,[1]!CMI[[#All],[CÓDIGO DE INDICADOR]],[1]!CMI[[#All],[Ejecutado_2]])="-",0,LOOKUP($J27,[1]!CMI[[#All],[CÓDIGO DE INDICADOR]],[1]!CMI[[#All],[Ejecutado_2]]))</f>
        <v>15</v>
      </c>
      <c r="Z27" s="12">
        <f>LOOKUP($J27,[1]!CMI[[#All],[CÓDIGO DE INDICADOR]],[1]!CMI[[#All],[Programado_3]])</f>
        <v>10</v>
      </c>
      <c r="AA27" s="15">
        <f>IF(LOOKUP($J27,[1]!CMI[[#All],[CÓDIGO DE INDICADOR]],[1]!CMI[[#All],[Ejecutado_3]])="-",0,LOOKUP($J27,[1]!CMI[[#All],[CÓDIGO DE INDICADOR]],[1]!CMI[[#All],[Ejecutado_3]]))</f>
        <v>13</v>
      </c>
      <c r="AB27" s="15">
        <f>LOOKUP($J27,[1]!CMI[[#All],[CÓDIGO DE INDICADOR]],[1]!CMI[[#All],[Programado_4]])</f>
        <v>10</v>
      </c>
      <c r="AC27" s="15">
        <f>IF(LOOKUP($J27,[1]!CMI[[#All],[CÓDIGO DE INDICADOR]],[1]!CMI[[#All],[Ejecutado_4]])="-",0,LOOKUP($J27,[1]!CMI[[#All],[CÓDIGO DE INDICADOR]],[1]!CMI[[#All],[Ejecutado_4]]))</f>
        <v>12</v>
      </c>
      <c r="AD27" s="15">
        <f>LOOKUP($J27,[1]!CMI[[#All],[CÓDIGO DE INDICADOR]],[1]!CMI[[#All],[Programado_5]])</f>
        <v>10</v>
      </c>
      <c r="AE27" s="15">
        <f>IF(LOOKUP($J27,[1]!CMI[[#All],[CÓDIGO DE INDICADOR]],[1]!CMI[[#All],[Ejecutado_5]])="-",0,LOOKUP($J27,[1]!CMI[[#All],[CÓDIGO DE INDICADOR]],[1]!CMI[[#All],[Ejecutado_5]]))</f>
        <v>0</v>
      </c>
      <c r="AF27" s="16">
        <f t="shared" si="3"/>
        <v>40</v>
      </c>
      <c r="AG27" s="16">
        <f>IF(OR(LOOKUP($J27,[1]!CMI[[#All],[CÓDIGO DE INDICADOR]],[1]!CMI[[#All],[TIPO DE FÓRMULA]])="Valor absoluto",LOOKUP($J27,[1]!CMI[[#All],[CÓDIGO DE INDICADOR]],[1]!CMI[[#All],[TIPO DE FÓRMULA]])="Suma"),Y27+AA27+AC27+AE27,IF(OR(LOOKUP($J27,[1]!CMI[[#All],[CÓDIGO DE INDICADOR]],[1]!CMI[[#All],[TIPO DE FÓRMULA]])="Porcentaje",LOOKUP($J27,[1]!CMI[[#All],[CÓDIGO DE INDICADOR]],[1]!CMI[[#All],[TIPO DE FÓRMULA]])="División"),IF(LOOKUP($J27,[1]!CMI[[#All],[CÓDIGO DE INDICADOR]],[1]!CMI[[#All],[Variable2_2]])+LOOKUP($J27,[1]!CMI[[#All],[CÓDIGO DE INDICADOR]],[1]!CMI[[#All],[Variable2_3]])+LOOKUP($J27,[1]!CMI[[#All],[CÓDIGO DE INDICADOR]],[1]!CMI[[#All],[Variable2_4]])+LOOKUP($J27,[1]!CMI[[#All],[CÓDIGO DE INDICADOR]],[1]!CMI[[#All],[Variable2_5]])=0,0,(LOOKUP($J27,[1]!CMI[[#All],[CÓDIGO DE INDICADOR]],[1]!CMI[[#All],[Variable1_2]])+LOOKUP($J27,[1]!CMI[[#All],[CÓDIGO DE INDICADOR]],[1]!CMI[[#All],[Variable1_3]])+LOOKUP($J27,[1]!CMI[[#All],[CÓDIGO DE INDICADOR]],[1]!CMI[[#All],[Variable1_4]])+LOOKUP($J27,[1]!CMI[[#All],[CÓDIGO DE INDICADOR]],[1]!CMI[[#All],[Variable1_5]]))/(LOOKUP($J27,[1]!CMI[[#All],[CÓDIGO DE INDICADOR]],[1]!CMI[[#All],[Variable2_2]])+LOOKUP($J27,[1]!CMI[[#All],[CÓDIGO DE INDICADOR]],[1]!CMI[[#All],[Variable2_3]])+LOOKUP($J27,[1]!CMI[[#All],[CÓDIGO DE INDICADOR]],[1]!CMI[[#All],[Variable2_4]])+LOOKUP($J27,[1]!CMI[[#All],[CÓDIGO DE INDICADOR]],[1]!CMI[[#All],[Variable2_5]]))),IF(LOOKUP($J27,[1]!CMI[[#All],[CÓDIGO DE INDICADOR]],[1]!CMI[[#All],[TIPO DE FÓRMULA]])="Tasa de variación",LOOKUP($J27,[1]!CMI[[#All],[CÓDIGO DE INDICADOR]],[1]!CMI[[#All],[EjecuciónAcumulada_5]]),0)))</f>
        <v>40</v>
      </c>
      <c r="AH27" s="12">
        <f>LOOKUP($J27,[1]!CMI[[#All],[CÓDIGO DE INDICADOR]],[1]!CMI[[#All],[Programado_6]])</f>
        <v>10</v>
      </c>
      <c r="AI27" s="12">
        <f>IF(LOOKUP($J27,[1]!CMI[[#All],[CÓDIGO DE INDICADOR]],[1]!CMI[[#All],[Ejecutado_6]])="-",0,LOOKUP($J27,[1]!CMI[[#All],[CÓDIGO DE INDICADOR]],[1]!CMI[[#All],[Ejecutado_6]]))</f>
        <v>15</v>
      </c>
      <c r="AJ27" s="12">
        <f>LOOKUP($J27,[1]!CMI[[#All],[CÓDIGO DE INDICADOR]],[1]!CMI[[#All],[Programado_7]])</f>
        <v>10</v>
      </c>
      <c r="AK27" s="15">
        <f>IF(LOOKUP($J27,[1]!CMI[[#All],[CÓDIGO DE INDICADOR]],[1]!CMI[[#All],[Ejecutado_7]])="-",0,LOOKUP($J27,[1]!CMI[[#All],[CÓDIGO DE INDICADOR]],[1]!CMI[[#All],[Ejecutado_7]]))</f>
        <v>21</v>
      </c>
      <c r="AL27" s="15">
        <f>LOOKUP($J27,[1]!CMI[[#All],[CÓDIGO DE INDICADOR]],[1]!CMI[[#All],[Programado_8]])</f>
        <v>10</v>
      </c>
      <c r="AM27" s="15">
        <f>IF(LOOKUP($J27,[1]!CMI[[#All],[CÓDIGO DE INDICADOR]],[1]!CMI[[#All],[Ejecutado_8]])="-",0,LOOKUP($J27,[1]!CMI[[#All],[CÓDIGO DE INDICADOR]],[1]!CMI[[#All],[Ejecutado_8]]))</f>
        <v>0</v>
      </c>
      <c r="AN27" s="15">
        <f>LOOKUP($J27,[1]!CMI[[#All],[CÓDIGO DE INDICADOR]],[1]!CMI[[#All],[Programado_9]])</f>
        <v>10</v>
      </c>
      <c r="AO27" s="15">
        <f>IF(LOOKUP($J27,[1]!CMI[[#All],[CÓDIGO DE INDICADOR]],[1]!CMI[[#All],[Ejecutado_9]])="-",0,LOOKUP($J27,[1]!CMI[[#All],[CÓDIGO DE INDICADOR]],[1]!CMI[[#All],[Ejecutado_9]]))</f>
        <v>0</v>
      </c>
      <c r="AP27" s="16">
        <f t="shared" si="4"/>
        <v>40</v>
      </c>
      <c r="AQ27" s="16">
        <f>IF(OR(LOOKUP($J27,[1]!CMI[[#All],[CÓDIGO DE INDICADOR]],[1]!CMI[[#All],[TIPO DE FÓRMULA]])="Valor absoluto",LOOKUP($J27,[1]!CMI[[#All],[CÓDIGO DE INDICADOR]],[1]!CMI[[#All],[TIPO DE FÓRMULA]])="Suma"),AI27+AK27+AM27+AO27,IF(OR(LOOKUP($J27,[1]!CMI[[#All],[CÓDIGO DE INDICADOR]],[1]!CMI[[#All],[TIPO DE FÓRMULA]])="Porcentaje",LOOKUP($J27,[1]!CMI[[#All],[CÓDIGO DE INDICADOR]],[1]!CMI[[#All],[TIPO DE FÓRMULA]])="División"),IF(LOOKUP($J27,[1]!CMI[[#All],[CÓDIGO DE INDICADOR]],[1]!CMI[[#All],[Variable2_6]])+LOOKUP($J27,[1]!CMI[[#All],[CÓDIGO DE INDICADOR]],[1]!CMI[[#All],[Variable2_7]])+LOOKUP($J27,[1]!CMI[[#All],[CÓDIGO DE INDICADOR]],[1]!CMI[[#All],[Variable2_8]])+LOOKUP($J27,[1]!CMI[[#All],[CÓDIGO DE INDICADOR]],[1]!CMI[[#All],[Variable2_9]])=0,0,(LOOKUP($J27,[1]!CMI[[#All],[CÓDIGO DE INDICADOR]],[1]!CMI[[#All],[Variable1_6]])+LOOKUP($J27,[1]!CMI[[#All],[CÓDIGO DE INDICADOR]],[1]!CMI[[#All],[Variable1_7]])+LOOKUP($J27,[1]!CMI[[#All],[CÓDIGO DE INDICADOR]],[1]!CMI[[#All],[Variable1_8]])+LOOKUP($J27,[1]!CMI[[#All],[CÓDIGO DE INDICADOR]],[1]!CMI[[#All],[Variable1_9]]))/(LOOKUP($J27,[1]!CMI[[#All],[CÓDIGO DE INDICADOR]],[1]!CMI[[#All],[Variable2_6]])+LOOKUP($J27,[1]!CMI[[#All],[CÓDIGO DE INDICADOR]],[1]!CMI[[#All],[Variable2_7]])+LOOKUP($J27,[1]!CMI[[#All],[CÓDIGO DE INDICADOR]],[1]!CMI[[#All],[Variable2_8]])+LOOKUP($J27,[1]!CMI[[#All],[CÓDIGO DE INDICADOR]],[1]!CMI[[#All],[Variable2_9]]))),IF(LOOKUP($J27,[1]!CMI[[#All],[CÓDIGO DE INDICADOR]],[1]!CMI[[#All],[TIPO DE FÓRMULA]])="Tasa de variación",LOOKUP($J27,[1]!CMI[[#All],[CÓDIGO DE INDICADOR]],[1]!CMI[[#All],[EjecuciónAcumulada_9]]),0)))</f>
        <v>36</v>
      </c>
      <c r="AR27" s="12">
        <f>LOOKUP($J27,[1]!CMI[[#All],[CÓDIGO DE INDICADOR]],[1]!CMI[[#All],[Programado_10]])</f>
        <v>10</v>
      </c>
      <c r="AS27" s="12">
        <f>IF(LOOKUP($J27,[1]!CMI[[#All],[CÓDIGO DE INDICADOR]],[1]!CMI[[#All],[Ejecutado_10]])="-",0,LOOKUP($J27,[1]!CMI[[#All],[CÓDIGO DE INDICADOR]],[1]!CMI[[#All],[Ejecutado_10]]))</f>
        <v>0</v>
      </c>
      <c r="AT27" s="12">
        <f>LOOKUP($J27,[1]!CMI[[#All],[CÓDIGO DE INDICADOR]],[1]!CMI[[#All],[Programado_11]])</f>
        <v>10</v>
      </c>
      <c r="AU27" s="15">
        <f>IF(LOOKUP($J27,[1]!CMI[[#All],[CÓDIGO DE INDICADOR]],[1]!CMI[[#All],[Ejecutado_11]])="-",0,LOOKUP($J27,[1]!CMI[[#All],[CÓDIGO DE INDICADOR]],[1]!CMI[[#All],[Ejecutado_11]]))</f>
        <v>0</v>
      </c>
      <c r="AV27" s="15">
        <f>LOOKUP($J27,[1]!CMI[[#All],[CÓDIGO DE INDICADOR]],[1]!CMI[[#All],[Programado_12]])</f>
        <v>10</v>
      </c>
      <c r="AW27" s="15">
        <f>IF(LOOKUP($J27,[1]!CMI[[#All],[CÓDIGO DE INDICADOR]],[1]!CMI[[#All],[Ejecutado_12]])="-",0,LOOKUP($J27,[1]!CMI[[#All],[CÓDIGO DE INDICADOR]],[1]!CMI[[#All],[Ejecutado_12]]))</f>
        <v>0</v>
      </c>
      <c r="AX27" s="15">
        <f>LOOKUP($J27,[1]!CMI[[#All],[CÓDIGO DE INDICADOR]],[1]!CMI[[#All],[Programado_13]])</f>
        <v>10</v>
      </c>
      <c r="AY27" s="15">
        <f>IF(LOOKUP($J27,[1]!CMI[[#All],[CÓDIGO DE INDICADOR]],[1]!CMI[[#All],[Ejecutado_13]])="-",0,LOOKUP($J27,[1]!CMI[[#All],[CÓDIGO DE INDICADOR]],[1]!CMI[[#All],[Ejecutado_13]]))</f>
        <v>0</v>
      </c>
      <c r="AZ27" s="16">
        <f t="shared" si="5"/>
        <v>40</v>
      </c>
      <c r="BA27" s="16">
        <f>IF(OR(LOOKUP($J27,[1]!CMI[[#All],[CÓDIGO DE INDICADOR]],[1]!CMI[[#All],[TIPO DE FÓRMULA]])="Valor absoluto",LOOKUP($J27,[1]!CMI[[#All],[CÓDIGO DE INDICADOR]],[1]!CMI[[#All],[TIPO DE FÓRMULA]])="Suma"),AS27+AU27+AW27+AY27,IF(OR(LOOKUP($J27,[1]!CMI[[#All],[CÓDIGO DE INDICADOR]],[1]!CMI[[#All],[TIPO DE FÓRMULA]])="Porcentaje",LOOKUP($J27,[1]!CMI[[#All],[CÓDIGO DE INDICADOR]],[1]!CMI[[#All],[TIPO DE FÓRMULA]])="División"),IF(LOOKUP($J27,[1]!CMI[[#All],[CÓDIGO DE INDICADOR]],[1]!CMI[[#All],[Variable2_10]])+LOOKUP($J27,[1]!CMI[[#All],[CÓDIGO DE INDICADOR]],[1]!CMI[[#All],[Variable2_11]])+LOOKUP($J27,[1]!CMI[[#All],[CÓDIGO DE INDICADOR]],[1]!CMI[[#All],[Variable2_12]])+LOOKUP($J27,[1]!CMI[[#All],[CÓDIGO DE INDICADOR]],[1]!CMI[[#All],[Variable2_13]])=0,0,(LOOKUP($J27,[1]!CMI[[#All],[CÓDIGO DE INDICADOR]],[1]!CMI[[#All],[Variable1_10]])+LOOKUP($J27,[1]!CMI[[#All],[CÓDIGO DE INDICADOR]],[1]!CMI[[#All],[Variable1_11]])+LOOKUP($J27,[1]!CMI[[#All],[CÓDIGO DE INDICADOR]],[1]!CMI[[#All],[Variable1_12]])+LOOKUP($J27,[1]!CMI[[#All],[CÓDIGO DE INDICADOR]],[1]!CMI[[#All],[Variable1_13]]))/(LOOKUP($J27,[1]!CMI[[#All],[CÓDIGO DE INDICADOR]],[1]!CMI[[#All],[Variable2_10]])+LOOKUP($J27,[1]!CMI[[#All],[CÓDIGO DE INDICADOR]],[1]!CMI[[#All],[Variable2_11]])+LOOKUP($J27,[1]!CMI[[#All],[CÓDIGO DE INDICADOR]],[1]!CMI[[#All],[Variable2_12]])+LOOKUP($J27,[1]!CMI[[#All],[CÓDIGO DE INDICADOR]],[1]!CMI[[#All],[Variable2_13]]))),IF(LOOKUP($J27,[1]!CMI[[#All],[CÓDIGO DE INDICADOR]],[1]!CMI[[#All],[TIPO DE FÓRMULA]])="Tasa de variación",LOOKUP($J27,[1]!CMI[[#All],[CÓDIGO DE INDICADOR]],[1]!CMI[[#All],[EjecuciónAcumulada_13]]),0)))</f>
        <v>0</v>
      </c>
      <c r="BB27" s="12">
        <f>LOOKUP($J27,[1]!CMI[[#All],[CÓDIGO DE INDICADOR]],[1]!CMI[[#All],[Programado_14]])</f>
        <v>10</v>
      </c>
      <c r="BC27" s="12">
        <f>IF(LOOKUP($J27,[1]!CMI[[#All],[CÓDIGO DE INDICADOR]],[1]!CMI[[#All],[Ejecutado_14]])="-",0,LOOKUP($J27,[1]!CMI[[#All],[CÓDIGO DE INDICADOR]],[1]!CMI[[#All],[Ejecutado_14]]))</f>
        <v>0</v>
      </c>
      <c r="BD27" s="12">
        <f>LOOKUP($J27,[1]!CMI[[#All],[CÓDIGO DE INDICADOR]],[1]!CMI[[#All],[Programado_15]])</f>
        <v>10</v>
      </c>
      <c r="BE27" s="15">
        <f>IF(LOOKUP($J27,[1]!CMI[[#All],[CÓDIGO DE INDICADOR]],[1]!CMI[[#All],[Ejecutado_15]])="-",0,LOOKUP($J27,[1]!CMI[[#All],[CÓDIGO DE INDICADOR]],[1]!CMI[[#All],[Ejecutado_15]]))</f>
        <v>0</v>
      </c>
      <c r="BF27" s="15">
        <f>LOOKUP($J27,[1]!CMI[[#All],[CÓDIGO DE INDICADOR]],[1]!CMI[[#All],[Programado_16]])</f>
        <v>10</v>
      </c>
      <c r="BG27" s="15">
        <f>IF(LOOKUP($J27,[1]!CMI[[#All],[CÓDIGO DE INDICADOR]],[1]!CMI[[#All],[Ejecutado_16]])="-",0,LOOKUP($J27,[1]!CMI[[#All],[CÓDIGO DE INDICADOR]],[1]!CMI[[#All],[Ejecutado_16]]))</f>
        <v>0</v>
      </c>
      <c r="BH27" s="15">
        <f>LOOKUP($J27,[1]!CMI[[#All],[CÓDIGO DE INDICADOR]],[1]!CMI[[#All],[Programado_17]])</f>
        <v>10</v>
      </c>
      <c r="BI27" s="15">
        <f>IF(LOOKUP($J27,[1]!CMI[[#All],[CÓDIGO DE INDICADOR]],[1]!CMI[[#All],[Ejecutado_17]])="-",0,LOOKUP($J27,[1]!CMI[[#All],[CÓDIGO DE INDICADOR]],[1]!CMI[[#All],[Ejecutado_17]]))</f>
        <v>0</v>
      </c>
      <c r="BJ27" s="16">
        <f t="shared" si="6"/>
        <v>40</v>
      </c>
      <c r="BK27" s="16">
        <f>IF(OR(LOOKUP($J27,[1]!CMI[[#All],[CÓDIGO DE INDICADOR]],[1]!CMI[[#All],[TIPO DE FÓRMULA]])="Valor absoluto",LOOKUP($J27,[1]!CMI[[#All],[CÓDIGO DE INDICADOR]],[1]!CMI[[#All],[TIPO DE FÓRMULA]])="Suma"),BC27+BE27+BG27+BI27,IF(OR(LOOKUP($J27,[1]!CMI[[#All],[CÓDIGO DE INDICADOR]],[1]!CMI[[#All],[TIPO DE FÓRMULA]])="Porcentaje",LOOKUP($J27,[1]!CMI[[#All],[CÓDIGO DE INDICADOR]],[1]!CMI[[#All],[TIPO DE FÓRMULA]])="División"),IF(LOOKUP($J27,[1]!CMI[[#All],[CÓDIGO DE INDICADOR]],[1]!CMI[[#All],[Variable2_14]])+LOOKUP($J27,[1]!CMI[[#All],[CÓDIGO DE INDICADOR]],[1]!CMI[[#All],[Variable2_15]])+LOOKUP($J27,[1]!CMI[[#All],[CÓDIGO DE INDICADOR]],[1]!CMI[[#All],[Variable2_16]])+LOOKUP($J27,[1]!CMI[[#All],[CÓDIGO DE INDICADOR]],[1]!CMI[[#All],[Variable2_17]])=0,0,(LOOKUP($J27,[1]!CMI[[#All],[CÓDIGO DE INDICADOR]],[1]!CMI[[#All],[Variable1_14]])+LOOKUP($J27,[1]!CMI[[#All],[CÓDIGO DE INDICADOR]],[1]!CMI[[#All],[Variable1_15]])+LOOKUP($J27,[1]!CMI[[#All],[CÓDIGO DE INDICADOR]],[1]!CMI[[#All],[Variable1_16]])+LOOKUP($J27,[1]!CMI[[#All],[CÓDIGO DE INDICADOR]],[1]!CMI[[#All],[Variable1_17]]))/(LOOKUP($J27,[1]!CMI[[#All],[CÓDIGO DE INDICADOR]],[1]!CMI[[#All],[Variable2_14]])+LOOKUP($J27,[1]!CMI[[#All],[CÓDIGO DE INDICADOR]],[1]!CMI[[#All],[Variable2_15]])+LOOKUP($J27,[1]!CMI[[#All],[CÓDIGO DE INDICADOR]],[1]!CMI[[#All],[Variable2_16]])+LOOKUP($J27,[1]!CMI[[#All],[CÓDIGO DE INDICADOR]],[1]!CMI[[#All],[Variable2_17]]))),IF(LOOKUP($J27,[1]!CMI[[#All],[CÓDIGO DE INDICADOR]],[1]!CMI[[#All],[TIPO DE FÓRMULA]])="Tasa de variación",LOOKUP($J27,[1]!CMI[[#All],[CÓDIGO DE INDICADOR]],[1]!CMI[[#All],[EjecuciónAcumulada_17]]),0)))</f>
        <v>0</v>
      </c>
      <c r="BL27" s="16">
        <f>IF(YEAR($M27)=2016,LOOKUP($J27,[1]!CMI[[#All],[CÓDIGO DE INDICADOR]],[1]!CMI[[#All],[ProgramadoAcumulado_1]]),IF(AND(YEAR($M27)=2017,MONTH($M27)&lt;=3),LOOKUP($J27,[1]!CMI[[#All],[CÓDIGO DE INDICADOR]],[1]!CMI[[#All],[ProgramadoAcumulado_2]]),IF(AND(YEAR($M27)=2017,MONTH($M27)&lt;=6),LOOKUP($J27,[1]!CMI[[#All],[CÓDIGO DE INDICADOR]],[1]!CMI[[#All],[ProgramadoAcumulado_3]]),IF(AND(YEAR($M27)=2017,MONTH($M27)&lt;=9),LOOKUP($J27,[1]!CMI[[#All],[CÓDIGO DE INDICADOR]],[1]!CMI[[#All],[ProgramadoAcumulado_4]]),IF(AND(YEAR($M27)=2017,MONTH($M27)&lt;=12),LOOKUP($J27,[1]!CMI[[#All],[CÓDIGO DE INDICADOR]],[1]!CMI[[#All],[ProgramadoAcumulado_5]]),IF(AND(YEAR($M27)=2018,MONTH($M27)&lt;=3),LOOKUP($J27,[1]!CMI[[#All],[CÓDIGO DE INDICADOR]],[1]!CMI[[#All],[ProgramadoAcumulado_6]]),IF(AND(YEAR($M27)=2018,MONTH($M27)&lt;=6),LOOKUP($J27,[1]!CMI[[#All],[CÓDIGO DE INDICADOR]],[1]!CMI[[#All],[ProgramadoAcumulado_7]]),IF(AND(YEAR($M27)=2018,MONTH($M27)&lt;=9),LOOKUP($J27,[1]!CMI[[#All],[CÓDIGO DE INDICADOR]],[1]!CMI[[#All],[ProgramadoAcumulado_8]]),IF(AND(YEAR($M27)=2018,MONTH($M27)&lt;=12),LOOKUP($J27,[1]!CMI[[#All],[CÓDIGO DE INDICADOR]],[1]!CMI[[#All],[ProgramadoAcumulado_9]]),IF(AND(YEAR($M27)=2019,MONTH($M27)&lt;=3),LOOKUP($J27,[1]!CMI[[#All],[CÓDIGO DE INDICADOR]],[1]!CMI[[#All],[ProgramadoAcumulado_10]]),IF(AND(YEAR($M27)=2019,MONTH($M27)&lt;=6),LOOKUP($J27,[1]!CMI[[#All],[CÓDIGO DE INDICADOR]],[1]!CMI[[#All],[ProgramadoAcumulado_11]]),IF(AND(YEAR($M27)=2019,MONTH($M27)&lt;=9),LOOKUP($J27,[1]!CMI[[#All],[CÓDIGO DE INDICADOR]],[1]!CMI[[#All],[ProgramadoAcumulado_12]]),IF(AND(YEAR($M27)=2019,MONTH($M27)&lt;=12),LOOKUP($J27,[1]!CMI[[#All],[CÓDIGO DE INDICADOR]],[1]!CMI[[#All],[ProgramadoAcumulado_13]]),IF(AND(YEAR($M27)=2020,MONTH($M27)&lt;=3),LOOKUP($J27,[1]!CMI[[#All],[CÓDIGO DE INDICADOR]],[1]!CMI[[#All],[ProgramadoAcumulado_14]]),IF(AND(YEAR($M27)=2020,MONTH($M27)&lt;=6),LOOKUP($J27,[1]!CMI[[#All],[CÓDIGO DE INDICADOR]],[1]!CMI[[#All],[ProgramadoAcumulado_15]]),IF(AND(YEAR($M27)=2020,MONTH($M27)&lt;=9),LOOKUP($J27,[1]!CMI[[#All],[CÓDIGO DE INDICADOR]],[1]!CMI[[#All],[ProgramadoAcumulado_16]]),IF(AND(YEAR($M27)=2020,MONTH($M27)&lt;=12),LOOKUP($J27,[1]!CMI[[#All],[CÓDIGO DE INDICADOR]],[1]!CMI[[#All],[ProgramadoAcumulado_17]]),"N.A")))))))))))))))))</f>
        <v>60</v>
      </c>
      <c r="BM27" s="16">
        <f>IF(YEAR($M27)=2016,LOOKUP($J27,[1]!CMI[[#All],[CÓDIGO DE INDICADOR]],[1]!CMI[[#All],[EjecuciónAcumulada_1]]),IF(AND(YEAR($M27)=2017,MONTH($M27)&lt;=3),LOOKUP($J27,[1]!CMI[[#All],[CÓDIGO DE INDICADOR]],[1]!CMI[[#All],[EjecuciónAcumulada_2]]),IF(AND(YEAR($M27)=2017,MONTH($M27)&lt;=6),LOOKUP($J27,[1]!CMI[[#All],[CÓDIGO DE INDICADOR]],[1]!CMI[[#All],[EjecuciónAcumulada_3]]),IF(AND(YEAR($M27)=2017,MONTH($M27)&lt;=9),LOOKUP($J27,[1]!CMI[[#All],[CÓDIGO DE INDICADOR]],[1]!CMI[[#All],[EjecuciónAcumulada_4]]),IF(AND(YEAR($M27)=2017,MONTH($M27)&lt;=12),LOOKUP($J27,[1]!CMI[[#All],[CÓDIGO DE INDICADOR]],[1]!CMI[[#All],[EjecuciónAcumulada_5]]),IF(AND(YEAR($M27)=2018,MONTH($M27)&lt;=3),LOOKUP($J27,[1]!CMI[[#All],[CÓDIGO DE INDICADOR]],[1]!CMI[[#All],[EjecuciónAcumulada_6]]),IF(AND(YEAR($M27)=2018,MONTH($M27)&lt;=6),LOOKUP($J27,[1]!CMI[[#All],[CÓDIGO DE INDICADOR]],[1]!CMI[[#All],[EjecuciónAcumulada_7]]),IF(AND(YEAR($M27)=2018,MONTH($M27)&lt;=9),LOOKUP($J27,[1]!CMI[[#All],[CÓDIGO DE INDICADOR]],[1]!CMI[[#All],[EjecuciónAcumulada_8]]),IF(AND(YEAR($M27)=2018,MONTH($M27)&lt;=12),LOOKUP($J27,[1]!CMI[[#All],[CÓDIGO DE INDICADOR]],[1]!CMI[[#All],[EjecuciónAcumulada_9]]),IF(AND(YEAR($M27)=2019,MONTH($M27)&lt;=3),LOOKUP($J27,[1]!CMI[[#All],[CÓDIGO DE INDICADOR]],[1]!CMI[[#All],[EjecuciónAcumulada_10]]),IF(AND(YEAR($M27)=2019,MONTH($M27)&lt;=6),LOOKUP($J27,[1]!CMI[[#All],[CÓDIGO DE INDICADOR]],[1]!CMI[[#All],[EjecuciónAcumulada_11]]),IF(AND(YEAR($M27)=2019,MONTH($M27)&lt;=9),LOOKUP($J27,[1]!CMI[[#All],[CÓDIGO DE INDICADOR]],[1]!CMI[[#All],[EjecuciónAcumulada_12]]),IF(AND(YEAR($M27)=2019,MONTH($M27)&lt;=12),LOOKUP($J27,[1]!CMI[[#All],[CÓDIGO DE INDICADOR]],[1]!CMI[[#All],[EjecuciónAcumulada_13]]),IF(AND(YEAR($M27)=2020,MONTH($M27)&lt;=3),LOOKUP($J27,[1]!CMI[[#All],[CÓDIGO DE INDICADOR]],[1]!CMI[[#All],[EjecuciónAcumulada_14]]),IF(AND(YEAR($M27)=2020,MONTH($M27)&lt;=6),LOOKUP($J27,[1]!CMI[[#All],[CÓDIGO DE INDICADOR]],[1]!CMI[[#All],[EjecuciónAcumulada_15]]),IF(AND(YEAR($M27)=2020,MONTH($M27)&lt;=9),LOOKUP($J27,[1]!CMI[[#All],[CÓDIGO DE INDICADOR]],[1]!CMI[[#All],[EjecuciónAcumulada_16]]),IF(AND(YEAR($M27)=2020,MONTH($M27)&lt;=12),LOOKUP($J27,[1]!CMI[[#All],[CÓDIGO DE INDICADOR]],[1]!CMI[[#All],[EjecuciónAcumulada_17]]),"N.A")))))))))))))))))</f>
        <v>76</v>
      </c>
      <c r="BN27" s="17">
        <f t="shared" si="7"/>
        <v>1.2666666666666666</v>
      </c>
      <c r="BO27" s="16">
        <f t="shared" si="0"/>
        <v>160</v>
      </c>
      <c r="BP27" s="68">
        <f t="shared" si="8"/>
        <v>0.47499999999999998</v>
      </c>
    </row>
    <row r="28" spans="2:68" ht="266.25" customHeight="1">
      <c r="B28" s="75" t="s">
        <v>135</v>
      </c>
      <c r="C28" s="10" t="s">
        <v>136</v>
      </c>
      <c r="D28" s="11" t="str">
        <f>LOOKUP($J28,[1]!CMI[[#All],[CÓDIGO DE INDICADOR]],[1]!CMI[[#All],[NOMBRE DEL INDICADOR]])</f>
        <v>Actividades implementadas de la estrategia de cooperación nacional e internacional</v>
      </c>
      <c r="E28" s="11" t="str">
        <f>LOOKUP($J28,[1]!CMI[[#All],[CÓDIGO DE INDICADOR]],[1]!CMI[[#All],[FÓRMULA DE CÁLCULO]])</f>
        <v>Número de actividades ejecutadas</v>
      </c>
      <c r="F28" s="12">
        <f>LOOKUP($J28,[1]!CMI[[#All],[CÓDIGO DE INDICADOR]],[1]!CMI[[#All],[VALOR PROGRAMADO TOTAL]])</f>
        <v>6</v>
      </c>
      <c r="G28" s="10" t="s">
        <v>137</v>
      </c>
      <c r="H28" s="10" t="s">
        <v>138</v>
      </c>
      <c r="I28" s="11" t="str">
        <f>LOOKUP($J28,[1]!CMI[[#All],[CÓDIGO DE INDICADOR]],[1]!CMI[[#All],[DEPENDENCIA]])</f>
        <v>PERSONERÍA DELEGADA PARA LA COORDINACIÓN DEL MINISTERIO PÚBLICO Y DERECHOS HUMANOS</v>
      </c>
      <c r="J28" s="13" t="s">
        <v>139</v>
      </c>
      <c r="K28" s="11" t="str">
        <f>LOOKUP($J28,[1]!CMI[[#All],[CÓDIGO DE INDICADOR]],[1]!CMI[[#All],[CÁLCULO VALOR PROGRAMADO ACUMULADO]])</f>
        <v>Sumatoria</v>
      </c>
      <c r="L28" s="11" t="str">
        <f>LOOKUP($J28,[1]!CMI[[#All],[CÓDIGO DE INDICADOR]],[1]!CMI[[#All],[TENDENCIA DECRECIENTE]])</f>
        <v>No</v>
      </c>
      <c r="M28" s="14">
        <f>LOOKUP($J28,[1]!CMI[[#All],[CÓDIGO DE INDICADOR]],[1]!CMI[[#All],[FECHA DE CORTE]])</f>
        <v>43281</v>
      </c>
      <c r="N28" s="12">
        <v>0</v>
      </c>
      <c r="O28" s="12">
        <v>0</v>
      </c>
      <c r="P28" s="12">
        <v>0</v>
      </c>
      <c r="Q28" s="15">
        <v>0</v>
      </c>
      <c r="R28" s="15">
        <v>0</v>
      </c>
      <c r="S28" s="15">
        <v>0</v>
      </c>
      <c r="T28" s="15">
        <f>LOOKUP($J28,[1]!CMI[[#All],[CÓDIGO DE INDICADOR]],[1]!CMI[[#All],[Programado_1]])</f>
        <v>1</v>
      </c>
      <c r="U28" s="15">
        <f>IF(LOOKUP($J28,[1]!CMI[[#All],[CÓDIGO DE INDICADOR]],[1]!CMI[[#All],[Ejecutado_1]])="-",0,LOOKUP($J28,[1]!CMI[[#All],[CÓDIGO DE INDICADOR]],[1]!CMI[[#All],[Ejecutado_1]]))</f>
        <v>1</v>
      </c>
      <c r="V28" s="16">
        <f t="shared" si="1"/>
        <v>1</v>
      </c>
      <c r="W28" s="16">
        <f t="shared" si="2"/>
        <v>1</v>
      </c>
      <c r="X28" s="12">
        <f>LOOKUP($J28,[1]!CMI[[#All],[CÓDIGO DE INDICADOR]],[1]!CMI[[#All],[Programado_2]])</f>
        <v>0</v>
      </c>
      <c r="Y28" s="12">
        <f>IF(LOOKUP($J28,[1]!CMI[[#All],[CÓDIGO DE INDICADOR]],[1]!CMI[[#All],[Ejecutado_2]])="-",0,LOOKUP($J28,[1]!CMI[[#All],[CÓDIGO DE INDICADOR]],[1]!CMI[[#All],[Ejecutado_2]]))</f>
        <v>0</v>
      </c>
      <c r="Z28" s="12">
        <f>LOOKUP($J28,[1]!CMI[[#All],[CÓDIGO DE INDICADOR]],[1]!CMI[[#All],[Programado_3]])</f>
        <v>0</v>
      </c>
      <c r="AA28" s="15">
        <f>IF(LOOKUP($J28,[1]!CMI[[#All],[CÓDIGO DE INDICADOR]],[1]!CMI[[#All],[Ejecutado_3]])="-",0,LOOKUP($J28,[1]!CMI[[#All],[CÓDIGO DE INDICADOR]],[1]!CMI[[#All],[Ejecutado_3]]))</f>
        <v>0</v>
      </c>
      <c r="AB28" s="15">
        <f>LOOKUP($J28,[1]!CMI[[#All],[CÓDIGO DE INDICADOR]],[1]!CMI[[#All],[Programado_4]])</f>
        <v>1</v>
      </c>
      <c r="AC28" s="15">
        <f>IF(LOOKUP($J28,[1]!CMI[[#All],[CÓDIGO DE INDICADOR]],[1]!CMI[[#All],[Ejecutado_4]])="-",0,LOOKUP($J28,[1]!CMI[[#All],[CÓDIGO DE INDICADOR]],[1]!CMI[[#All],[Ejecutado_4]]))</f>
        <v>1</v>
      </c>
      <c r="AD28" s="15">
        <f>LOOKUP($J28,[1]!CMI[[#All],[CÓDIGO DE INDICADOR]],[1]!CMI[[#All],[Programado_5]])</f>
        <v>1</v>
      </c>
      <c r="AE28" s="15">
        <f>IF(LOOKUP($J28,[1]!CMI[[#All],[CÓDIGO DE INDICADOR]],[1]!CMI[[#All],[Ejecutado_5]])="-",0,LOOKUP($J28,[1]!CMI[[#All],[CÓDIGO DE INDICADOR]],[1]!CMI[[#All],[Ejecutado_5]]))</f>
        <v>1</v>
      </c>
      <c r="AF28" s="16">
        <f t="shared" si="3"/>
        <v>2</v>
      </c>
      <c r="AG28" s="16">
        <f>IF(OR(LOOKUP($J28,[1]!CMI[[#All],[CÓDIGO DE INDICADOR]],[1]!CMI[[#All],[TIPO DE FÓRMULA]])="Valor absoluto",LOOKUP($J28,[1]!CMI[[#All],[CÓDIGO DE INDICADOR]],[1]!CMI[[#All],[TIPO DE FÓRMULA]])="Suma"),Y28+AA28+AC28+AE28,IF(OR(LOOKUP($J28,[1]!CMI[[#All],[CÓDIGO DE INDICADOR]],[1]!CMI[[#All],[TIPO DE FÓRMULA]])="Porcentaje",LOOKUP($J28,[1]!CMI[[#All],[CÓDIGO DE INDICADOR]],[1]!CMI[[#All],[TIPO DE FÓRMULA]])="División"),IF(LOOKUP($J28,[1]!CMI[[#All],[CÓDIGO DE INDICADOR]],[1]!CMI[[#All],[Variable2_2]])+LOOKUP($J28,[1]!CMI[[#All],[CÓDIGO DE INDICADOR]],[1]!CMI[[#All],[Variable2_3]])+LOOKUP($J28,[1]!CMI[[#All],[CÓDIGO DE INDICADOR]],[1]!CMI[[#All],[Variable2_4]])+LOOKUP($J28,[1]!CMI[[#All],[CÓDIGO DE INDICADOR]],[1]!CMI[[#All],[Variable2_5]])=0,0,(LOOKUP($J28,[1]!CMI[[#All],[CÓDIGO DE INDICADOR]],[1]!CMI[[#All],[Variable1_2]])+LOOKUP($J28,[1]!CMI[[#All],[CÓDIGO DE INDICADOR]],[1]!CMI[[#All],[Variable1_3]])+LOOKUP($J28,[1]!CMI[[#All],[CÓDIGO DE INDICADOR]],[1]!CMI[[#All],[Variable1_4]])+LOOKUP($J28,[1]!CMI[[#All],[CÓDIGO DE INDICADOR]],[1]!CMI[[#All],[Variable1_5]]))/(LOOKUP($J28,[1]!CMI[[#All],[CÓDIGO DE INDICADOR]],[1]!CMI[[#All],[Variable2_2]])+LOOKUP($J28,[1]!CMI[[#All],[CÓDIGO DE INDICADOR]],[1]!CMI[[#All],[Variable2_3]])+LOOKUP($J28,[1]!CMI[[#All],[CÓDIGO DE INDICADOR]],[1]!CMI[[#All],[Variable2_4]])+LOOKUP($J28,[1]!CMI[[#All],[CÓDIGO DE INDICADOR]],[1]!CMI[[#All],[Variable2_5]]))),IF(LOOKUP($J28,[1]!CMI[[#All],[CÓDIGO DE INDICADOR]],[1]!CMI[[#All],[TIPO DE FÓRMULA]])="Tasa de variación",LOOKUP($J28,[1]!CMI[[#All],[CÓDIGO DE INDICADOR]],[1]!CMI[[#All],[EjecuciónAcumulada_5]]),0)))</f>
        <v>2</v>
      </c>
      <c r="AH28" s="12">
        <f>LOOKUP($J28,[1]!CMI[[#All],[CÓDIGO DE INDICADOR]],[1]!CMI[[#All],[Programado_6]])</f>
        <v>0</v>
      </c>
      <c r="AI28" s="12">
        <f>IF(LOOKUP($J28,[1]!CMI[[#All],[CÓDIGO DE INDICADOR]],[1]!CMI[[#All],[Ejecutado_6]])="-",0,LOOKUP($J28,[1]!CMI[[#All],[CÓDIGO DE INDICADOR]],[1]!CMI[[#All],[Ejecutado_6]]))</f>
        <v>0</v>
      </c>
      <c r="AJ28" s="12">
        <f>LOOKUP($J28,[1]!CMI[[#All],[CÓDIGO DE INDICADOR]],[1]!CMI[[#All],[Programado_7]])</f>
        <v>0</v>
      </c>
      <c r="AK28" s="15">
        <f>IF(LOOKUP($J28,[1]!CMI[[#All],[CÓDIGO DE INDICADOR]],[1]!CMI[[#All],[Ejecutado_7]])="-",0,LOOKUP($J28,[1]!CMI[[#All],[CÓDIGO DE INDICADOR]],[1]!CMI[[#All],[Ejecutado_7]]))</f>
        <v>0</v>
      </c>
      <c r="AL28" s="15">
        <f>LOOKUP($J28,[1]!CMI[[#All],[CÓDIGO DE INDICADOR]],[1]!CMI[[#All],[Programado_8]])</f>
        <v>0</v>
      </c>
      <c r="AM28" s="15">
        <f>IF(LOOKUP($J28,[1]!CMI[[#All],[CÓDIGO DE INDICADOR]],[1]!CMI[[#All],[Ejecutado_8]])="-",0,LOOKUP($J28,[1]!CMI[[#All],[CÓDIGO DE INDICADOR]],[1]!CMI[[#All],[Ejecutado_8]]))</f>
        <v>0</v>
      </c>
      <c r="AN28" s="15">
        <f>LOOKUP($J28,[1]!CMI[[#All],[CÓDIGO DE INDICADOR]],[1]!CMI[[#All],[Programado_9]])</f>
        <v>2</v>
      </c>
      <c r="AO28" s="15">
        <f>IF(LOOKUP($J28,[1]!CMI[[#All],[CÓDIGO DE INDICADOR]],[1]!CMI[[#All],[Ejecutado_9]])="-",0,LOOKUP($J28,[1]!CMI[[#All],[CÓDIGO DE INDICADOR]],[1]!CMI[[#All],[Ejecutado_9]]))</f>
        <v>0</v>
      </c>
      <c r="AP28" s="16">
        <f t="shared" si="4"/>
        <v>2</v>
      </c>
      <c r="AQ28" s="16">
        <f>IF(OR(LOOKUP($J28,[1]!CMI[[#All],[CÓDIGO DE INDICADOR]],[1]!CMI[[#All],[TIPO DE FÓRMULA]])="Valor absoluto",LOOKUP($J28,[1]!CMI[[#All],[CÓDIGO DE INDICADOR]],[1]!CMI[[#All],[TIPO DE FÓRMULA]])="Suma"),AI28+AK28+AM28+AO28,IF(OR(LOOKUP($J28,[1]!CMI[[#All],[CÓDIGO DE INDICADOR]],[1]!CMI[[#All],[TIPO DE FÓRMULA]])="Porcentaje",LOOKUP($J28,[1]!CMI[[#All],[CÓDIGO DE INDICADOR]],[1]!CMI[[#All],[TIPO DE FÓRMULA]])="División"),IF(LOOKUP($J28,[1]!CMI[[#All],[CÓDIGO DE INDICADOR]],[1]!CMI[[#All],[Variable2_6]])+LOOKUP($J28,[1]!CMI[[#All],[CÓDIGO DE INDICADOR]],[1]!CMI[[#All],[Variable2_7]])+LOOKUP($J28,[1]!CMI[[#All],[CÓDIGO DE INDICADOR]],[1]!CMI[[#All],[Variable2_8]])+LOOKUP($J28,[1]!CMI[[#All],[CÓDIGO DE INDICADOR]],[1]!CMI[[#All],[Variable2_9]])=0,0,(LOOKUP($J28,[1]!CMI[[#All],[CÓDIGO DE INDICADOR]],[1]!CMI[[#All],[Variable1_6]])+LOOKUP($J28,[1]!CMI[[#All],[CÓDIGO DE INDICADOR]],[1]!CMI[[#All],[Variable1_7]])+LOOKUP($J28,[1]!CMI[[#All],[CÓDIGO DE INDICADOR]],[1]!CMI[[#All],[Variable1_8]])+LOOKUP($J28,[1]!CMI[[#All],[CÓDIGO DE INDICADOR]],[1]!CMI[[#All],[Variable1_9]]))/(LOOKUP($J28,[1]!CMI[[#All],[CÓDIGO DE INDICADOR]],[1]!CMI[[#All],[Variable2_6]])+LOOKUP($J28,[1]!CMI[[#All],[CÓDIGO DE INDICADOR]],[1]!CMI[[#All],[Variable2_7]])+LOOKUP($J28,[1]!CMI[[#All],[CÓDIGO DE INDICADOR]],[1]!CMI[[#All],[Variable2_8]])+LOOKUP($J28,[1]!CMI[[#All],[CÓDIGO DE INDICADOR]],[1]!CMI[[#All],[Variable2_9]]))),IF(LOOKUP($J28,[1]!CMI[[#All],[CÓDIGO DE INDICADOR]],[1]!CMI[[#All],[TIPO DE FÓRMULA]])="Tasa de variación",LOOKUP($J28,[1]!CMI[[#All],[CÓDIGO DE INDICADOR]],[1]!CMI[[#All],[EjecuciónAcumulada_9]]),0)))</f>
        <v>0</v>
      </c>
      <c r="AR28" s="12">
        <f>LOOKUP($J28,[1]!CMI[[#All],[CÓDIGO DE INDICADOR]],[1]!CMI[[#All],[Programado_10]])</f>
        <v>1</v>
      </c>
      <c r="AS28" s="12">
        <f>IF(LOOKUP($J28,[1]!CMI[[#All],[CÓDIGO DE INDICADOR]],[1]!CMI[[#All],[Ejecutado_10]])="-",0,LOOKUP($J28,[1]!CMI[[#All],[CÓDIGO DE INDICADOR]],[1]!CMI[[#All],[Ejecutado_10]]))</f>
        <v>0</v>
      </c>
      <c r="AT28" s="12">
        <f>LOOKUP($J28,[1]!CMI[[#All],[CÓDIGO DE INDICADOR]],[1]!CMI[[#All],[Programado_11]])</f>
        <v>0</v>
      </c>
      <c r="AU28" s="15">
        <f>IF(LOOKUP($J28,[1]!CMI[[#All],[CÓDIGO DE INDICADOR]],[1]!CMI[[#All],[Ejecutado_11]])="-",0,LOOKUP($J28,[1]!CMI[[#All],[CÓDIGO DE INDICADOR]],[1]!CMI[[#All],[Ejecutado_11]]))</f>
        <v>0</v>
      </c>
      <c r="AV28" s="15">
        <f>LOOKUP($J28,[1]!CMI[[#All],[CÓDIGO DE INDICADOR]],[1]!CMI[[#All],[Programado_12]])</f>
        <v>0</v>
      </c>
      <c r="AW28" s="15">
        <f>IF(LOOKUP($J28,[1]!CMI[[#All],[CÓDIGO DE INDICADOR]],[1]!CMI[[#All],[Ejecutado_12]])="-",0,LOOKUP($J28,[1]!CMI[[#All],[CÓDIGO DE INDICADOR]],[1]!CMI[[#All],[Ejecutado_12]]))</f>
        <v>0</v>
      </c>
      <c r="AX28" s="15">
        <f>LOOKUP($J28,[1]!CMI[[#All],[CÓDIGO DE INDICADOR]],[1]!CMI[[#All],[Programado_13]])</f>
        <v>0</v>
      </c>
      <c r="AY28" s="15">
        <f>IF(LOOKUP($J28,[1]!CMI[[#All],[CÓDIGO DE INDICADOR]],[1]!CMI[[#All],[Ejecutado_13]])="-",0,LOOKUP($J28,[1]!CMI[[#All],[CÓDIGO DE INDICADOR]],[1]!CMI[[#All],[Ejecutado_13]]))</f>
        <v>0</v>
      </c>
      <c r="AZ28" s="16">
        <f t="shared" si="5"/>
        <v>1</v>
      </c>
      <c r="BA28" s="16">
        <f>IF(OR(LOOKUP($J28,[1]!CMI[[#All],[CÓDIGO DE INDICADOR]],[1]!CMI[[#All],[TIPO DE FÓRMULA]])="Valor absoluto",LOOKUP($J28,[1]!CMI[[#All],[CÓDIGO DE INDICADOR]],[1]!CMI[[#All],[TIPO DE FÓRMULA]])="Suma"),AS28+AU28+AW28+AY28,IF(OR(LOOKUP($J28,[1]!CMI[[#All],[CÓDIGO DE INDICADOR]],[1]!CMI[[#All],[TIPO DE FÓRMULA]])="Porcentaje",LOOKUP($J28,[1]!CMI[[#All],[CÓDIGO DE INDICADOR]],[1]!CMI[[#All],[TIPO DE FÓRMULA]])="División"),IF(LOOKUP($J28,[1]!CMI[[#All],[CÓDIGO DE INDICADOR]],[1]!CMI[[#All],[Variable2_10]])+LOOKUP($J28,[1]!CMI[[#All],[CÓDIGO DE INDICADOR]],[1]!CMI[[#All],[Variable2_11]])+LOOKUP($J28,[1]!CMI[[#All],[CÓDIGO DE INDICADOR]],[1]!CMI[[#All],[Variable2_12]])+LOOKUP($J28,[1]!CMI[[#All],[CÓDIGO DE INDICADOR]],[1]!CMI[[#All],[Variable2_13]])=0,0,(LOOKUP($J28,[1]!CMI[[#All],[CÓDIGO DE INDICADOR]],[1]!CMI[[#All],[Variable1_10]])+LOOKUP($J28,[1]!CMI[[#All],[CÓDIGO DE INDICADOR]],[1]!CMI[[#All],[Variable1_11]])+LOOKUP($J28,[1]!CMI[[#All],[CÓDIGO DE INDICADOR]],[1]!CMI[[#All],[Variable1_12]])+LOOKUP($J28,[1]!CMI[[#All],[CÓDIGO DE INDICADOR]],[1]!CMI[[#All],[Variable1_13]]))/(LOOKUP($J28,[1]!CMI[[#All],[CÓDIGO DE INDICADOR]],[1]!CMI[[#All],[Variable2_10]])+LOOKUP($J28,[1]!CMI[[#All],[CÓDIGO DE INDICADOR]],[1]!CMI[[#All],[Variable2_11]])+LOOKUP($J28,[1]!CMI[[#All],[CÓDIGO DE INDICADOR]],[1]!CMI[[#All],[Variable2_12]])+LOOKUP($J28,[1]!CMI[[#All],[CÓDIGO DE INDICADOR]],[1]!CMI[[#All],[Variable2_13]]))),IF(LOOKUP($J28,[1]!CMI[[#All],[CÓDIGO DE INDICADOR]],[1]!CMI[[#All],[TIPO DE FÓRMULA]])="Tasa de variación",LOOKUP($J28,[1]!CMI[[#All],[CÓDIGO DE INDICADOR]],[1]!CMI[[#All],[EjecuciónAcumulada_13]]),0)))</f>
        <v>0</v>
      </c>
      <c r="BB28" s="12">
        <f>LOOKUP($J28,[1]!CMI[[#All],[CÓDIGO DE INDICADOR]],[1]!CMI[[#All],[Programado_14]])</f>
        <v>0</v>
      </c>
      <c r="BC28" s="12">
        <f>IF(LOOKUP($J28,[1]!CMI[[#All],[CÓDIGO DE INDICADOR]],[1]!CMI[[#All],[Ejecutado_14]])="-",0,LOOKUP($J28,[1]!CMI[[#All],[CÓDIGO DE INDICADOR]],[1]!CMI[[#All],[Ejecutado_14]]))</f>
        <v>0</v>
      </c>
      <c r="BD28" s="12">
        <f>LOOKUP($J28,[1]!CMI[[#All],[CÓDIGO DE INDICADOR]],[1]!CMI[[#All],[Programado_15]])</f>
        <v>0</v>
      </c>
      <c r="BE28" s="15">
        <f>IF(LOOKUP($J28,[1]!CMI[[#All],[CÓDIGO DE INDICADOR]],[1]!CMI[[#All],[Ejecutado_15]])="-",0,LOOKUP($J28,[1]!CMI[[#All],[CÓDIGO DE INDICADOR]],[1]!CMI[[#All],[Ejecutado_15]]))</f>
        <v>0</v>
      </c>
      <c r="BF28" s="15">
        <f>LOOKUP($J28,[1]!CMI[[#All],[CÓDIGO DE INDICADOR]],[1]!CMI[[#All],[Programado_16]])</f>
        <v>0</v>
      </c>
      <c r="BG28" s="15">
        <f>IF(LOOKUP($J28,[1]!CMI[[#All],[CÓDIGO DE INDICADOR]],[1]!CMI[[#All],[Ejecutado_16]])="-",0,LOOKUP($J28,[1]!CMI[[#All],[CÓDIGO DE INDICADOR]],[1]!CMI[[#All],[Ejecutado_16]]))</f>
        <v>0</v>
      </c>
      <c r="BH28" s="15">
        <f>LOOKUP($J28,[1]!CMI[[#All],[CÓDIGO DE INDICADOR]],[1]!CMI[[#All],[Programado_17]])</f>
        <v>0</v>
      </c>
      <c r="BI28" s="15">
        <f>IF(LOOKUP($J28,[1]!CMI[[#All],[CÓDIGO DE INDICADOR]],[1]!CMI[[#All],[Ejecutado_17]])="-",0,LOOKUP($J28,[1]!CMI[[#All],[CÓDIGO DE INDICADOR]],[1]!CMI[[#All],[Ejecutado_17]]))</f>
        <v>0</v>
      </c>
      <c r="BJ28" s="16">
        <f t="shared" si="6"/>
        <v>0</v>
      </c>
      <c r="BK28" s="16">
        <f>IF(OR(LOOKUP($J28,[1]!CMI[[#All],[CÓDIGO DE INDICADOR]],[1]!CMI[[#All],[TIPO DE FÓRMULA]])="Valor absoluto",LOOKUP($J28,[1]!CMI[[#All],[CÓDIGO DE INDICADOR]],[1]!CMI[[#All],[TIPO DE FÓRMULA]])="Suma"),BC28+BE28+BG28+BI28,IF(OR(LOOKUP($J28,[1]!CMI[[#All],[CÓDIGO DE INDICADOR]],[1]!CMI[[#All],[TIPO DE FÓRMULA]])="Porcentaje",LOOKUP($J28,[1]!CMI[[#All],[CÓDIGO DE INDICADOR]],[1]!CMI[[#All],[TIPO DE FÓRMULA]])="División"),IF(LOOKUP($J28,[1]!CMI[[#All],[CÓDIGO DE INDICADOR]],[1]!CMI[[#All],[Variable2_14]])+LOOKUP($J28,[1]!CMI[[#All],[CÓDIGO DE INDICADOR]],[1]!CMI[[#All],[Variable2_15]])+LOOKUP($J28,[1]!CMI[[#All],[CÓDIGO DE INDICADOR]],[1]!CMI[[#All],[Variable2_16]])+LOOKUP($J28,[1]!CMI[[#All],[CÓDIGO DE INDICADOR]],[1]!CMI[[#All],[Variable2_17]])=0,0,(LOOKUP($J28,[1]!CMI[[#All],[CÓDIGO DE INDICADOR]],[1]!CMI[[#All],[Variable1_14]])+LOOKUP($J28,[1]!CMI[[#All],[CÓDIGO DE INDICADOR]],[1]!CMI[[#All],[Variable1_15]])+LOOKUP($J28,[1]!CMI[[#All],[CÓDIGO DE INDICADOR]],[1]!CMI[[#All],[Variable1_16]])+LOOKUP($J28,[1]!CMI[[#All],[CÓDIGO DE INDICADOR]],[1]!CMI[[#All],[Variable1_17]]))/(LOOKUP($J28,[1]!CMI[[#All],[CÓDIGO DE INDICADOR]],[1]!CMI[[#All],[Variable2_14]])+LOOKUP($J28,[1]!CMI[[#All],[CÓDIGO DE INDICADOR]],[1]!CMI[[#All],[Variable2_15]])+LOOKUP($J28,[1]!CMI[[#All],[CÓDIGO DE INDICADOR]],[1]!CMI[[#All],[Variable2_16]])+LOOKUP($J28,[1]!CMI[[#All],[CÓDIGO DE INDICADOR]],[1]!CMI[[#All],[Variable2_17]]))),IF(LOOKUP($J28,[1]!CMI[[#All],[CÓDIGO DE INDICADOR]],[1]!CMI[[#All],[TIPO DE FÓRMULA]])="Tasa de variación",LOOKUP($J28,[1]!CMI[[#All],[CÓDIGO DE INDICADOR]],[1]!CMI[[#All],[EjecuciónAcumulada_17]]),0)))</f>
        <v>0</v>
      </c>
      <c r="BL28" s="16">
        <f>IF(YEAR($M28)=2016,LOOKUP($J28,[1]!CMI[[#All],[CÓDIGO DE INDICADOR]],[1]!CMI[[#All],[ProgramadoAcumulado_1]]),IF(AND(YEAR($M28)=2017,MONTH($M28)&lt;=3),LOOKUP($J28,[1]!CMI[[#All],[CÓDIGO DE INDICADOR]],[1]!CMI[[#All],[ProgramadoAcumulado_2]]),IF(AND(YEAR($M28)=2017,MONTH($M28)&lt;=6),LOOKUP($J28,[1]!CMI[[#All],[CÓDIGO DE INDICADOR]],[1]!CMI[[#All],[ProgramadoAcumulado_3]]),IF(AND(YEAR($M28)=2017,MONTH($M28)&lt;=9),LOOKUP($J28,[1]!CMI[[#All],[CÓDIGO DE INDICADOR]],[1]!CMI[[#All],[ProgramadoAcumulado_4]]),IF(AND(YEAR($M28)=2017,MONTH($M28)&lt;=12),LOOKUP($J28,[1]!CMI[[#All],[CÓDIGO DE INDICADOR]],[1]!CMI[[#All],[ProgramadoAcumulado_5]]),IF(AND(YEAR($M28)=2018,MONTH($M28)&lt;=3),LOOKUP($J28,[1]!CMI[[#All],[CÓDIGO DE INDICADOR]],[1]!CMI[[#All],[ProgramadoAcumulado_6]]),IF(AND(YEAR($M28)=2018,MONTH($M28)&lt;=6),LOOKUP($J28,[1]!CMI[[#All],[CÓDIGO DE INDICADOR]],[1]!CMI[[#All],[ProgramadoAcumulado_7]]),IF(AND(YEAR($M28)=2018,MONTH($M28)&lt;=9),LOOKUP($J28,[1]!CMI[[#All],[CÓDIGO DE INDICADOR]],[1]!CMI[[#All],[ProgramadoAcumulado_8]]),IF(AND(YEAR($M28)=2018,MONTH($M28)&lt;=12),LOOKUP($J28,[1]!CMI[[#All],[CÓDIGO DE INDICADOR]],[1]!CMI[[#All],[ProgramadoAcumulado_9]]),IF(AND(YEAR($M28)=2019,MONTH($M28)&lt;=3),LOOKUP($J28,[1]!CMI[[#All],[CÓDIGO DE INDICADOR]],[1]!CMI[[#All],[ProgramadoAcumulado_10]]),IF(AND(YEAR($M28)=2019,MONTH($M28)&lt;=6),LOOKUP($J28,[1]!CMI[[#All],[CÓDIGO DE INDICADOR]],[1]!CMI[[#All],[ProgramadoAcumulado_11]]),IF(AND(YEAR($M28)=2019,MONTH($M28)&lt;=9),LOOKUP($J28,[1]!CMI[[#All],[CÓDIGO DE INDICADOR]],[1]!CMI[[#All],[ProgramadoAcumulado_12]]),IF(AND(YEAR($M28)=2019,MONTH($M28)&lt;=12),LOOKUP($J28,[1]!CMI[[#All],[CÓDIGO DE INDICADOR]],[1]!CMI[[#All],[ProgramadoAcumulado_13]]),IF(AND(YEAR($M28)=2020,MONTH($M28)&lt;=3),LOOKUP($J28,[1]!CMI[[#All],[CÓDIGO DE INDICADOR]],[1]!CMI[[#All],[ProgramadoAcumulado_14]]),IF(AND(YEAR($M28)=2020,MONTH($M28)&lt;=6),LOOKUP($J28,[1]!CMI[[#All],[CÓDIGO DE INDICADOR]],[1]!CMI[[#All],[ProgramadoAcumulado_15]]),IF(AND(YEAR($M28)=2020,MONTH($M28)&lt;=9),LOOKUP($J28,[1]!CMI[[#All],[CÓDIGO DE INDICADOR]],[1]!CMI[[#All],[ProgramadoAcumulado_16]]),IF(AND(YEAR($M28)=2020,MONTH($M28)&lt;=12),LOOKUP($J28,[1]!CMI[[#All],[CÓDIGO DE INDICADOR]],[1]!CMI[[#All],[ProgramadoAcumulado_17]]),"N.A")))))))))))))))))</f>
        <v>3</v>
      </c>
      <c r="BM28" s="16">
        <f>IF(YEAR($M28)=2016,LOOKUP($J28,[1]!CMI[[#All],[CÓDIGO DE INDICADOR]],[1]!CMI[[#All],[EjecuciónAcumulada_1]]),IF(AND(YEAR($M28)=2017,MONTH($M28)&lt;=3),LOOKUP($J28,[1]!CMI[[#All],[CÓDIGO DE INDICADOR]],[1]!CMI[[#All],[EjecuciónAcumulada_2]]),IF(AND(YEAR($M28)=2017,MONTH($M28)&lt;=6),LOOKUP($J28,[1]!CMI[[#All],[CÓDIGO DE INDICADOR]],[1]!CMI[[#All],[EjecuciónAcumulada_3]]),IF(AND(YEAR($M28)=2017,MONTH($M28)&lt;=9),LOOKUP($J28,[1]!CMI[[#All],[CÓDIGO DE INDICADOR]],[1]!CMI[[#All],[EjecuciónAcumulada_4]]),IF(AND(YEAR($M28)=2017,MONTH($M28)&lt;=12),LOOKUP($J28,[1]!CMI[[#All],[CÓDIGO DE INDICADOR]],[1]!CMI[[#All],[EjecuciónAcumulada_5]]),IF(AND(YEAR($M28)=2018,MONTH($M28)&lt;=3),LOOKUP($J28,[1]!CMI[[#All],[CÓDIGO DE INDICADOR]],[1]!CMI[[#All],[EjecuciónAcumulada_6]]),IF(AND(YEAR($M28)=2018,MONTH($M28)&lt;=6),LOOKUP($J28,[1]!CMI[[#All],[CÓDIGO DE INDICADOR]],[1]!CMI[[#All],[EjecuciónAcumulada_7]]),IF(AND(YEAR($M28)=2018,MONTH($M28)&lt;=9),LOOKUP($J28,[1]!CMI[[#All],[CÓDIGO DE INDICADOR]],[1]!CMI[[#All],[EjecuciónAcumulada_8]]),IF(AND(YEAR($M28)=2018,MONTH($M28)&lt;=12),LOOKUP($J28,[1]!CMI[[#All],[CÓDIGO DE INDICADOR]],[1]!CMI[[#All],[EjecuciónAcumulada_9]]),IF(AND(YEAR($M28)=2019,MONTH($M28)&lt;=3),LOOKUP($J28,[1]!CMI[[#All],[CÓDIGO DE INDICADOR]],[1]!CMI[[#All],[EjecuciónAcumulada_10]]),IF(AND(YEAR($M28)=2019,MONTH($M28)&lt;=6),LOOKUP($J28,[1]!CMI[[#All],[CÓDIGO DE INDICADOR]],[1]!CMI[[#All],[EjecuciónAcumulada_11]]),IF(AND(YEAR($M28)=2019,MONTH($M28)&lt;=9),LOOKUP($J28,[1]!CMI[[#All],[CÓDIGO DE INDICADOR]],[1]!CMI[[#All],[EjecuciónAcumulada_12]]),IF(AND(YEAR($M28)=2019,MONTH($M28)&lt;=12),LOOKUP($J28,[1]!CMI[[#All],[CÓDIGO DE INDICADOR]],[1]!CMI[[#All],[EjecuciónAcumulada_13]]),IF(AND(YEAR($M28)=2020,MONTH($M28)&lt;=3),LOOKUP($J28,[1]!CMI[[#All],[CÓDIGO DE INDICADOR]],[1]!CMI[[#All],[EjecuciónAcumulada_14]]),IF(AND(YEAR($M28)=2020,MONTH($M28)&lt;=6),LOOKUP($J28,[1]!CMI[[#All],[CÓDIGO DE INDICADOR]],[1]!CMI[[#All],[EjecuciónAcumulada_15]]),IF(AND(YEAR($M28)=2020,MONTH($M28)&lt;=9),LOOKUP($J28,[1]!CMI[[#All],[CÓDIGO DE INDICADOR]],[1]!CMI[[#All],[EjecuciónAcumulada_16]]),IF(AND(YEAR($M28)=2020,MONTH($M28)&lt;=12),LOOKUP($J28,[1]!CMI[[#All],[CÓDIGO DE INDICADOR]],[1]!CMI[[#All],[EjecuciónAcumulada_17]]),"N.A")))))))))))))))))</f>
        <v>3</v>
      </c>
      <c r="BN28" s="17">
        <f t="shared" si="7"/>
        <v>1</v>
      </c>
      <c r="BO28" s="16">
        <f t="shared" si="0"/>
        <v>6</v>
      </c>
      <c r="BP28" s="68">
        <f t="shared" si="8"/>
        <v>0.5</v>
      </c>
    </row>
    <row r="29" spans="2:68" ht="191.25" customHeight="1">
      <c r="B29" s="132" t="s">
        <v>140</v>
      </c>
      <c r="C29" s="10" t="s">
        <v>141</v>
      </c>
      <c r="D29" s="11" t="str">
        <f>LOOKUP($J29,[1]!CMI[[#All],[CÓDIGO DE INDICADOR]],[1]!CMI[[#All],[NOMBRE DEL INDICADOR]])</f>
        <v>Porcentaje de avance de la implementación de la AE</v>
      </c>
      <c r="E29" s="11" t="str">
        <f>LOOKUP($J29,[1]!CMI[[#All],[CÓDIGO DE INDICADOR]],[1]!CMI[[#All],[FÓRMULA DE CÁLCULO]])</f>
        <v>Porcentaje de actividades de la implementación de la AE</v>
      </c>
      <c r="F29" s="49">
        <f>LOOKUP($J29,[1]!CMI[[#All],[CÓDIGO DE INDICADOR]],[1]!CMI[[#All],[VALOR PROGRAMADO TOTAL]])</f>
        <v>1</v>
      </c>
      <c r="G29" s="10" t="s">
        <v>146</v>
      </c>
      <c r="H29" s="10" t="s">
        <v>147</v>
      </c>
      <c r="I29" s="11" t="str">
        <f>LOOKUP($J29,[1]!CMI[[#All],[CÓDIGO DE INDICADOR]],[1]!CMI[[#All],[DEPENDENCIA]])</f>
        <v>Dirección de Tecnologías de la Información y Comunicación DTIC</v>
      </c>
      <c r="J29" s="13" t="s">
        <v>156</v>
      </c>
      <c r="K29" s="11" t="str">
        <f>LOOKUP($J29,[1]!CMI[[#All],[CÓDIGO DE INDICADOR]],[1]!CMI[[#All],[CÁLCULO VALOR PROGRAMADO ACUMULADO]])</f>
        <v>Sumatoria</v>
      </c>
      <c r="L29" s="11" t="str">
        <f>LOOKUP($J29,[1]!CMI[[#All],[CÓDIGO DE INDICADOR]],[1]!CMI[[#All],[TENDENCIA DECRECIENTE]])</f>
        <v>No</v>
      </c>
      <c r="M29" s="14" t="str">
        <f>LOOKUP($J29,[1]!CMI[[#All],[CÓDIGO DE INDICADOR]],[1]!CMI[[#All],[FECHA DE CORTE]])</f>
        <v>30/06/2018</v>
      </c>
      <c r="N29" s="49">
        <v>0</v>
      </c>
      <c r="O29" s="49">
        <v>0</v>
      </c>
      <c r="P29" s="49">
        <v>0</v>
      </c>
      <c r="Q29" s="50">
        <v>0</v>
      </c>
      <c r="R29" s="50">
        <v>0</v>
      </c>
      <c r="S29" s="50">
        <v>0</v>
      </c>
      <c r="T29" s="50">
        <f>LOOKUP($J29,[1]!CMI[[#All],[CÓDIGO DE INDICADOR]],[1]!CMI[[#All],[Programado_1]])</f>
        <v>0</v>
      </c>
      <c r="U29" s="50">
        <f>IF(LOOKUP($J29,[1]!CMI[[#All],[CÓDIGO DE INDICADOR]],[1]!CMI[[#All],[Ejecutado_1]])="-",0,LOOKUP($J29,[1]!CMI[[#All],[CÓDIGO DE INDICADOR]],[1]!CMI[[#All],[Ejecutado_1]]))</f>
        <v>0</v>
      </c>
      <c r="V29" s="51">
        <f t="shared" si="1"/>
        <v>0</v>
      </c>
      <c r="W29" s="51">
        <f t="shared" si="2"/>
        <v>0</v>
      </c>
      <c r="X29" s="49">
        <f>LOOKUP($J29,[1]!CMI[[#All],[CÓDIGO DE INDICADOR]],[1]!CMI[[#All],[Programado_2]])</f>
        <v>0.05</v>
      </c>
      <c r="Y29" s="49">
        <f>IF(LOOKUP($J29,[1]!CMI[[#All],[CÓDIGO DE INDICADOR]],[1]!CMI[[#All],[Ejecutado_2]])="-",0,LOOKUP($J29,[1]!CMI[[#All],[CÓDIGO DE INDICADOR]],[1]!CMI[[#All],[Ejecutado_2]]))</f>
        <v>0.1</v>
      </c>
      <c r="Z29" s="49">
        <f>LOOKUP($J29,[1]!CMI[[#All],[CÓDIGO DE INDICADOR]],[1]!CMI[[#All],[Programado_3]])</f>
        <v>0.05</v>
      </c>
      <c r="AA29" s="50">
        <f>IF(LOOKUP($J29,[1]!CMI[[#All],[CÓDIGO DE INDICADOR]],[1]!CMI[[#All],[Ejecutado_3]])="-",0,LOOKUP($J29,[1]!CMI[[#All],[CÓDIGO DE INDICADOR]],[1]!CMI[[#All],[Ejecutado_3]]))</f>
        <v>0.1</v>
      </c>
      <c r="AB29" s="50">
        <f>LOOKUP($J29,[1]!CMI[[#All],[CÓDIGO DE INDICADOR]],[1]!CMI[[#All],[Programado_4]])</f>
        <v>0.1</v>
      </c>
      <c r="AC29" s="50">
        <f>IF(LOOKUP($J29,[1]!CMI[[#All],[CÓDIGO DE INDICADOR]],[1]!CMI[[#All],[Ejecutado_4]])="-",0,LOOKUP($J29,[1]!CMI[[#All],[CÓDIGO DE INDICADOR]],[1]!CMI[[#All],[Ejecutado_4]]))</f>
        <v>0.05</v>
      </c>
      <c r="AD29" s="50">
        <f>LOOKUP($J29,[1]!CMI[[#All],[CÓDIGO DE INDICADOR]],[1]!CMI[[#All],[Programado_5]])</f>
        <v>0.1</v>
      </c>
      <c r="AE29" s="50">
        <f>IF(LOOKUP($J29,[1]!CMI[[#All],[CÓDIGO DE INDICADOR]],[1]!CMI[[#All],[Ejecutado_5]])="-",0,LOOKUP($J29,[1]!CMI[[#All],[CÓDIGO DE INDICADOR]],[1]!CMI[[#All],[Ejecutado_5]]))</f>
        <v>0.05</v>
      </c>
      <c r="AF29" s="51">
        <f t="shared" si="3"/>
        <v>0.30000000000000004</v>
      </c>
      <c r="AG29" s="51">
        <f>IF(OR(LOOKUP($J29,[1]!CMI[[#All],[CÓDIGO DE INDICADOR]],[1]!CMI[[#All],[TIPO DE FÓRMULA]])="Valor absoluto",LOOKUP($J29,[1]!CMI[[#All],[CÓDIGO DE INDICADOR]],[1]!CMI[[#All],[TIPO DE FÓRMULA]])="Suma"),Y29+AA29+AC29+AE29,IF(OR(LOOKUP($J29,[1]!CMI[[#All],[CÓDIGO DE INDICADOR]],[1]!CMI[[#All],[TIPO DE FÓRMULA]])="Porcentaje",LOOKUP($J29,[1]!CMI[[#All],[CÓDIGO DE INDICADOR]],[1]!CMI[[#All],[TIPO DE FÓRMULA]])="División"),IF(LOOKUP($J29,[1]!CMI[[#All],[CÓDIGO DE INDICADOR]],[1]!CMI[[#All],[Variable2_2]])+LOOKUP($J29,[1]!CMI[[#All],[CÓDIGO DE INDICADOR]],[1]!CMI[[#All],[Variable2_3]])+LOOKUP($J29,[1]!CMI[[#All],[CÓDIGO DE INDICADOR]],[1]!CMI[[#All],[Variable2_4]])+LOOKUP($J29,[1]!CMI[[#All],[CÓDIGO DE INDICADOR]],[1]!CMI[[#All],[Variable2_5]])=0,0,(LOOKUP($J29,[1]!CMI[[#All],[CÓDIGO DE INDICADOR]],[1]!CMI[[#All],[Variable1_2]])+LOOKUP($J29,[1]!CMI[[#All],[CÓDIGO DE INDICADOR]],[1]!CMI[[#All],[Variable1_3]])+LOOKUP($J29,[1]!CMI[[#All],[CÓDIGO DE INDICADOR]],[1]!CMI[[#All],[Variable1_4]])+LOOKUP($J29,[1]!CMI[[#All],[CÓDIGO DE INDICADOR]],[1]!CMI[[#All],[Variable1_5]]))/(LOOKUP($J29,[1]!CMI[[#All],[CÓDIGO DE INDICADOR]],[1]!CMI[[#All],[Variable2_2]])+LOOKUP($J29,[1]!CMI[[#All],[CÓDIGO DE INDICADOR]],[1]!CMI[[#All],[Variable2_3]])+LOOKUP($J29,[1]!CMI[[#All],[CÓDIGO DE INDICADOR]],[1]!CMI[[#All],[Variable2_4]])+LOOKUP($J29,[1]!CMI[[#All],[CÓDIGO DE INDICADOR]],[1]!CMI[[#All],[Variable2_5]]))),IF(LOOKUP($J29,[1]!CMI[[#All],[CÓDIGO DE INDICADOR]],[1]!CMI[[#All],[TIPO DE FÓRMULA]])="Tasa de variación",LOOKUP($J29,[1]!CMI[[#All],[CÓDIGO DE INDICADOR]],[1]!CMI[[#All],[EjecuciónAcumulada_5]]),0)))</f>
        <v>0.3</v>
      </c>
      <c r="AH29" s="49">
        <f>LOOKUP($J29,[1]!CMI[[#All],[CÓDIGO DE INDICADOR]],[1]!CMI[[#All],[Programado_6]])</f>
        <v>0.05</v>
      </c>
      <c r="AI29" s="49">
        <f>IF(LOOKUP($J29,[1]!CMI[[#All],[CÓDIGO DE INDICADOR]],[1]!CMI[[#All],[Ejecutado_6]])="-",0,LOOKUP($J29,[1]!CMI[[#All],[CÓDIGO DE INDICADOR]],[1]!CMI[[#All],[Ejecutado_6]]))</f>
        <v>0.05</v>
      </c>
      <c r="AJ29" s="49">
        <f>LOOKUP($J29,[1]!CMI[[#All],[CÓDIGO DE INDICADOR]],[1]!CMI[[#All],[Programado_7]])</f>
        <v>0.05</v>
      </c>
      <c r="AK29" s="50">
        <f>IF(LOOKUP($J29,[1]!CMI[[#All],[CÓDIGO DE INDICADOR]],[1]!CMI[[#All],[Ejecutado_7]])="-",0,LOOKUP($J29,[1]!CMI[[#All],[CÓDIGO DE INDICADOR]],[1]!CMI[[#All],[Ejecutado_7]]))</f>
        <v>0.05</v>
      </c>
      <c r="AL29" s="50">
        <f>LOOKUP($J29,[1]!CMI[[#All],[CÓDIGO DE INDICADOR]],[1]!CMI[[#All],[Programado_8]])</f>
        <v>0.1</v>
      </c>
      <c r="AM29" s="50">
        <f>IF(LOOKUP($J29,[1]!CMI[[#All],[CÓDIGO DE INDICADOR]],[1]!CMI[[#All],[Ejecutado_8]])="-",0,LOOKUP($J29,[1]!CMI[[#All],[CÓDIGO DE INDICADOR]],[1]!CMI[[#All],[Ejecutado_8]]))</f>
        <v>0</v>
      </c>
      <c r="AN29" s="50">
        <f>LOOKUP($J29,[1]!CMI[[#All],[CÓDIGO DE INDICADOR]],[1]!CMI[[#All],[Programado_9]])</f>
        <v>0.1</v>
      </c>
      <c r="AO29" s="50">
        <f>IF(LOOKUP($J29,[1]!CMI[[#All],[CÓDIGO DE INDICADOR]],[1]!CMI[[#All],[Ejecutado_9]])="-",0,LOOKUP($J29,[1]!CMI[[#All],[CÓDIGO DE INDICADOR]],[1]!CMI[[#All],[Ejecutado_9]]))</f>
        <v>0</v>
      </c>
      <c r="AP29" s="51">
        <f t="shared" si="4"/>
        <v>0.30000000000000004</v>
      </c>
      <c r="AQ29" s="51">
        <f>IF(OR(LOOKUP($J29,[1]!CMI[[#All],[CÓDIGO DE INDICADOR]],[1]!CMI[[#All],[TIPO DE FÓRMULA]])="Valor absoluto",LOOKUP($J29,[1]!CMI[[#All],[CÓDIGO DE INDICADOR]],[1]!CMI[[#All],[TIPO DE FÓRMULA]])="Suma"),AI29+AK29+AM29+AO29,IF(OR(LOOKUP($J29,[1]!CMI[[#All],[CÓDIGO DE INDICADOR]],[1]!CMI[[#All],[TIPO DE FÓRMULA]])="Porcentaje",LOOKUP($J29,[1]!CMI[[#All],[CÓDIGO DE INDICADOR]],[1]!CMI[[#All],[TIPO DE FÓRMULA]])="División"),IF(LOOKUP($J29,[1]!CMI[[#All],[CÓDIGO DE INDICADOR]],[1]!CMI[[#All],[Variable2_6]])+LOOKUP($J29,[1]!CMI[[#All],[CÓDIGO DE INDICADOR]],[1]!CMI[[#All],[Variable2_7]])+LOOKUP($J29,[1]!CMI[[#All],[CÓDIGO DE INDICADOR]],[1]!CMI[[#All],[Variable2_8]])+LOOKUP($J29,[1]!CMI[[#All],[CÓDIGO DE INDICADOR]],[1]!CMI[[#All],[Variable2_9]])=0,0,(LOOKUP($J29,[1]!CMI[[#All],[CÓDIGO DE INDICADOR]],[1]!CMI[[#All],[Variable1_6]])+LOOKUP($J29,[1]!CMI[[#All],[CÓDIGO DE INDICADOR]],[1]!CMI[[#All],[Variable1_7]])+LOOKUP($J29,[1]!CMI[[#All],[CÓDIGO DE INDICADOR]],[1]!CMI[[#All],[Variable1_8]])+LOOKUP($J29,[1]!CMI[[#All],[CÓDIGO DE INDICADOR]],[1]!CMI[[#All],[Variable1_9]]))/(LOOKUP($J29,[1]!CMI[[#All],[CÓDIGO DE INDICADOR]],[1]!CMI[[#All],[Variable2_6]])+LOOKUP($J29,[1]!CMI[[#All],[CÓDIGO DE INDICADOR]],[1]!CMI[[#All],[Variable2_7]])+LOOKUP($J29,[1]!CMI[[#All],[CÓDIGO DE INDICADOR]],[1]!CMI[[#All],[Variable2_8]])+LOOKUP($J29,[1]!CMI[[#All],[CÓDIGO DE INDICADOR]],[1]!CMI[[#All],[Variable2_9]]))),IF(LOOKUP($J29,[1]!CMI[[#All],[CÓDIGO DE INDICADOR]],[1]!CMI[[#All],[TIPO DE FÓRMULA]])="Tasa de variación",LOOKUP($J29,[1]!CMI[[#All],[CÓDIGO DE INDICADOR]],[1]!CMI[[#All],[EjecuciónAcumulada_9]]),0)))</f>
        <v>0.1</v>
      </c>
      <c r="AR29" s="49">
        <f>LOOKUP($J29,[1]!CMI[[#All],[CÓDIGO DE INDICADOR]],[1]!CMI[[#All],[Programado_10]])</f>
        <v>0.05</v>
      </c>
      <c r="AS29" s="49">
        <f>IF(LOOKUP($J29,[1]!CMI[[#All],[CÓDIGO DE INDICADOR]],[1]!CMI[[#All],[Ejecutado_10]])="-",0,LOOKUP($J29,[1]!CMI[[#All],[CÓDIGO DE INDICADOR]],[1]!CMI[[#All],[Ejecutado_10]]))</f>
        <v>0</v>
      </c>
      <c r="AT29" s="49">
        <f>LOOKUP($J29,[1]!CMI[[#All],[CÓDIGO DE INDICADOR]],[1]!CMI[[#All],[Programado_11]])</f>
        <v>0.05</v>
      </c>
      <c r="AU29" s="50">
        <f>IF(LOOKUP($J29,[1]!CMI[[#All],[CÓDIGO DE INDICADOR]],[1]!CMI[[#All],[Ejecutado_11]])="-",0,LOOKUP($J29,[1]!CMI[[#All],[CÓDIGO DE INDICADOR]],[1]!CMI[[#All],[Ejecutado_11]]))</f>
        <v>0</v>
      </c>
      <c r="AV29" s="50">
        <f>LOOKUP($J29,[1]!CMI[[#All],[CÓDIGO DE INDICADOR]],[1]!CMI[[#All],[Programado_12]])</f>
        <v>0.1</v>
      </c>
      <c r="AW29" s="50">
        <f>IF(LOOKUP($J29,[1]!CMI[[#All],[CÓDIGO DE INDICADOR]],[1]!CMI[[#All],[Ejecutado_12]])="-",0,LOOKUP($J29,[1]!CMI[[#All],[CÓDIGO DE INDICADOR]],[1]!CMI[[#All],[Ejecutado_12]]))</f>
        <v>0</v>
      </c>
      <c r="AX29" s="50">
        <f>LOOKUP($J29,[1]!CMI[[#All],[CÓDIGO DE INDICADOR]],[1]!CMI[[#All],[Programado_13]])</f>
        <v>0.1</v>
      </c>
      <c r="AY29" s="50">
        <f>IF(LOOKUP($J29,[1]!CMI[[#All],[CÓDIGO DE INDICADOR]],[1]!CMI[[#All],[Ejecutado_13]])="-",0,LOOKUP($J29,[1]!CMI[[#All],[CÓDIGO DE INDICADOR]],[1]!CMI[[#All],[Ejecutado_13]]))</f>
        <v>0</v>
      </c>
      <c r="AZ29" s="51">
        <f t="shared" si="5"/>
        <v>0.30000000000000004</v>
      </c>
      <c r="BA29" s="51">
        <f>IF(OR(LOOKUP($J29,[1]!CMI[[#All],[CÓDIGO DE INDICADOR]],[1]!CMI[[#All],[TIPO DE FÓRMULA]])="Valor absoluto",LOOKUP($J29,[1]!CMI[[#All],[CÓDIGO DE INDICADOR]],[1]!CMI[[#All],[TIPO DE FÓRMULA]])="Suma"),AS29+AU29+AW29+AY29,IF(OR(LOOKUP($J29,[1]!CMI[[#All],[CÓDIGO DE INDICADOR]],[1]!CMI[[#All],[TIPO DE FÓRMULA]])="Porcentaje",LOOKUP($J29,[1]!CMI[[#All],[CÓDIGO DE INDICADOR]],[1]!CMI[[#All],[TIPO DE FÓRMULA]])="División"),IF(LOOKUP($J29,[1]!CMI[[#All],[CÓDIGO DE INDICADOR]],[1]!CMI[[#All],[Variable2_10]])+LOOKUP($J29,[1]!CMI[[#All],[CÓDIGO DE INDICADOR]],[1]!CMI[[#All],[Variable2_11]])+LOOKUP($J29,[1]!CMI[[#All],[CÓDIGO DE INDICADOR]],[1]!CMI[[#All],[Variable2_12]])+LOOKUP($J29,[1]!CMI[[#All],[CÓDIGO DE INDICADOR]],[1]!CMI[[#All],[Variable2_13]])=0,0,(LOOKUP($J29,[1]!CMI[[#All],[CÓDIGO DE INDICADOR]],[1]!CMI[[#All],[Variable1_10]])+LOOKUP($J29,[1]!CMI[[#All],[CÓDIGO DE INDICADOR]],[1]!CMI[[#All],[Variable1_11]])+LOOKUP($J29,[1]!CMI[[#All],[CÓDIGO DE INDICADOR]],[1]!CMI[[#All],[Variable1_12]])+LOOKUP($J29,[1]!CMI[[#All],[CÓDIGO DE INDICADOR]],[1]!CMI[[#All],[Variable1_13]]))/(LOOKUP($J29,[1]!CMI[[#All],[CÓDIGO DE INDICADOR]],[1]!CMI[[#All],[Variable2_10]])+LOOKUP($J29,[1]!CMI[[#All],[CÓDIGO DE INDICADOR]],[1]!CMI[[#All],[Variable2_11]])+LOOKUP($J29,[1]!CMI[[#All],[CÓDIGO DE INDICADOR]],[1]!CMI[[#All],[Variable2_12]])+LOOKUP($J29,[1]!CMI[[#All],[CÓDIGO DE INDICADOR]],[1]!CMI[[#All],[Variable2_13]]))),IF(LOOKUP($J29,[1]!CMI[[#All],[CÓDIGO DE INDICADOR]],[1]!CMI[[#All],[TIPO DE FÓRMULA]])="Tasa de variación",LOOKUP($J29,[1]!CMI[[#All],[CÓDIGO DE INDICADOR]],[1]!CMI[[#All],[EjecuciónAcumulada_13]]),0)))</f>
        <v>0</v>
      </c>
      <c r="BB29" s="49">
        <f>LOOKUP($J29,[1]!CMI[[#All],[CÓDIGO DE INDICADOR]],[1]!CMI[[#All],[Programado_14]])</f>
        <v>0.05</v>
      </c>
      <c r="BC29" s="49">
        <f>IF(LOOKUP($J29,[1]!CMI[[#All],[CÓDIGO DE INDICADOR]],[1]!CMI[[#All],[Ejecutado_14]])="-",0,LOOKUP($J29,[1]!CMI[[#All],[CÓDIGO DE INDICADOR]],[1]!CMI[[#All],[Ejecutado_14]]))</f>
        <v>0</v>
      </c>
      <c r="BD29" s="49">
        <f>LOOKUP($J29,[1]!CMI[[#All],[CÓDIGO DE INDICADOR]],[1]!CMI[[#All],[Programado_15]])</f>
        <v>0.05</v>
      </c>
      <c r="BE29" s="50">
        <f>IF(LOOKUP($J29,[1]!CMI[[#All],[CÓDIGO DE INDICADOR]],[1]!CMI[[#All],[Ejecutado_15]])="-",0,LOOKUP($J29,[1]!CMI[[#All],[CÓDIGO DE INDICADOR]],[1]!CMI[[#All],[Ejecutado_15]]))</f>
        <v>0</v>
      </c>
      <c r="BF29" s="50">
        <f>LOOKUP($J29,[1]!CMI[[#All],[CÓDIGO DE INDICADOR]],[1]!CMI[[#All],[Programado_16]])</f>
        <v>0</v>
      </c>
      <c r="BG29" s="50">
        <f>IF(LOOKUP($J29,[1]!CMI[[#All],[CÓDIGO DE INDICADOR]],[1]!CMI[[#All],[Ejecutado_16]])="-",0,LOOKUP($J29,[1]!CMI[[#All],[CÓDIGO DE INDICADOR]],[1]!CMI[[#All],[Ejecutado_16]]))</f>
        <v>0</v>
      </c>
      <c r="BH29" s="50">
        <f>LOOKUP($J29,[1]!CMI[[#All],[CÓDIGO DE INDICADOR]],[1]!CMI[[#All],[Programado_17]])</f>
        <v>0</v>
      </c>
      <c r="BI29" s="50">
        <f>IF(LOOKUP($J29,[1]!CMI[[#All],[CÓDIGO DE INDICADOR]],[1]!CMI[[#All],[Ejecutado_17]])="-",0,LOOKUP($J29,[1]!CMI[[#All],[CÓDIGO DE INDICADOR]],[1]!CMI[[#All],[Ejecutado_17]]))</f>
        <v>0</v>
      </c>
      <c r="BJ29" s="51">
        <f t="shared" si="6"/>
        <v>0.1</v>
      </c>
      <c r="BK29" s="51">
        <f>IF(OR(LOOKUP($J29,[1]!CMI[[#All],[CÓDIGO DE INDICADOR]],[1]!CMI[[#All],[TIPO DE FÓRMULA]])="Valor absoluto",LOOKUP($J29,[1]!CMI[[#All],[CÓDIGO DE INDICADOR]],[1]!CMI[[#All],[TIPO DE FÓRMULA]])="Suma"),BC29+BE29+BG29+BI29,IF(OR(LOOKUP($J29,[1]!CMI[[#All],[CÓDIGO DE INDICADOR]],[1]!CMI[[#All],[TIPO DE FÓRMULA]])="Porcentaje",LOOKUP($J29,[1]!CMI[[#All],[CÓDIGO DE INDICADOR]],[1]!CMI[[#All],[TIPO DE FÓRMULA]])="División"),IF(LOOKUP($J29,[1]!CMI[[#All],[CÓDIGO DE INDICADOR]],[1]!CMI[[#All],[Variable2_14]])+LOOKUP($J29,[1]!CMI[[#All],[CÓDIGO DE INDICADOR]],[1]!CMI[[#All],[Variable2_15]])+LOOKUP($J29,[1]!CMI[[#All],[CÓDIGO DE INDICADOR]],[1]!CMI[[#All],[Variable2_16]])+LOOKUP($J29,[1]!CMI[[#All],[CÓDIGO DE INDICADOR]],[1]!CMI[[#All],[Variable2_17]])=0,0,(LOOKUP($J29,[1]!CMI[[#All],[CÓDIGO DE INDICADOR]],[1]!CMI[[#All],[Variable1_14]])+LOOKUP($J29,[1]!CMI[[#All],[CÓDIGO DE INDICADOR]],[1]!CMI[[#All],[Variable1_15]])+LOOKUP($J29,[1]!CMI[[#All],[CÓDIGO DE INDICADOR]],[1]!CMI[[#All],[Variable1_16]])+LOOKUP($J29,[1]!CMI[[#All],[CÓDIGO DE INDICADOR]],[1]!CMI[[#All],[Variable1_17]]))/(LOOKUP($J29,[1]!CMI[[#All],[CÓDIGO DE INDICADOR]],[1]!CMI[[#All],[Variable2_14]])+LOOKUP($J29,[1]!CMI[[#All],[CÓDIGO DE INDICADOR]],[1]!CMI[[#All],[Variable2_15]])+LOOKUP($J29,[1]!CMI[[#All],[CÓDIGO DE INDICADOR]],[1]!CMI[[#All],[Variable2_16]])+LOOKUP($J29,[1]!CMI[[#All],[CÓDIGO DE INDICADOR]],[1]!CMI[[#All],[Variable2_17]]))),IF(LOOKUP($J29,[1]!CMI[[#All],[CÓDIGO DE INDICADOR]],[1]!CMI[[#All],[TIPO DE FÓRMULA]])="Tasa de variación",LOOKUP($J29,[1]!CMI[[#All],[CÓDIGO DE INDICADOR]],[1]!CMI[[#All],[EjecuciónAcumulada_17]]),0)))</f>
        <v>0</v>
      </c>
      <c r="BL29" s="51">
        <f>IF(YEAR($M29)=2016,LOOKUP($J29,[1]!CMI[[#All],[CÓDIGO DE INDICADOR]],[1]!CMI[[#All],[ProgramadoAcumulado_1]]),IF(AND(YEAR($M29)=2017,MONTH($M29)&lt;=3),LOOKUP($J29,[1]!CMI[[#All],[CÓDIGO DE INDICADOR]],[1]!CMI[[#All],[ProgramadoAcumulado_2]]),IF(AND(YEAR($M29)=2017,MONTH($M29)&lt;=6),LOOKUP($J29,[1]!CMI[[#All],[CÓDIGO DE INDICADOR]],[1]!CMI[[#All],[ProgramadoAcumulado_3]]),IF(AND(YEAR($M29)=2017,MONTH($M29)&lt;=9),LOOKUP($J29,[1]!CMI[[#All],[CÓDIGO DE INDICADOR]],[1]!CMI[[#All],[ProgramadoAcumulado_4]]),IF(AND(YEAR($M29)=2017,MONTH($M29)&lt;=12),LOOKUP($J29,[1]!CMI[[#All],[CÓDIGO DE INDICADOR]],[1]!CMI[[#All],[ProgramadoAcumulado_5]]),IF(AND(YEAR($M29)=2018,MONTH($M29)&lt;=3),LOOKUP($J29,[1]!CMI[[#All],[CÓDIGO DE INDICADOR]],[1]!CMI[[#All],[ProgramadoAcumulado_6]]),IF(AND(YEAR($M29)=2018,MONTH($M29)&lt;=6),LOOKUP($J29,[1]!CMI[[#All],[CÓDIGO DE INDICADOR]],[1]!CMI[[#All],[ProgramadoAcumulado_7]]),IF(AND(YEAR($M29)=2018,MONTH($M29)&lt;=9),LOOKUP($J29,[1]!CMI[[#All],[CÓDIGO DE INDICADOR]],[1]!CMI[[#All],[ProgramadoAcumulado_8]]),IF(AND(YEAR($M29)=2018,MONTH($M29)&lt;=12),LOOKUP($J29,[1]!CMI[[#All],[CÓDIGO DE INDICADOR]],[1]!CMI[[#All],[ProgramadoAcumulado_9]]),IF(AND(YEAR($M29)=2019,MONTH($M29)&lt;=3),LOOKUP($J29,[1]!CMI[[#All],[CÓDIGO DE INDICADOR]],[1]!CMI[[#All],[ProgramadoAcumulado_10]]),IF(AND(YEAR($M29)=2019,MONTH($M29)&lt;=6),LOOKUP($J29,[1]!CMI[[#All],[CÓDIGO DE INDICADOR]],[1]!CMI[[#All],[ProgramadoAcumulado_11]]),IF(AND(YEAR($M29)=2019,MONTH($M29)&lt;=9),LOOKUP($J29,[1]!CMI[[#All],[CÓDIGO DE INDICADOR]],[1]!CMI[[#All],[ProgramadoAcumulado_12]]),IF(AND(YEAR($M29)=2019,MONTH($M29)&lt;=12),LOOKUP($J29,[1]!CMI[[#All],[CÓDIGO DE INDICADOR]],[1]!CMI[[#All],[ProgramadoAcumulado_13]]),IF(AND(YEAR($M29)=2020,MONTH($M29)&lt;=3),LOOKUP($J29,[1]!CMI[[#All],[CÓDIGO DE INDICADOR]],[1]!CMI[[#All],[ProgramadoAcumulado_14]]),IF(AND(YEAR($M29)=2020,MONTH($M29)&lt;=6),LOOKUP($J29,[1]!CMI[[#All],[CÓDIGO DE INDICADOR]],[1]!CMI[[#All],[ProgramadoAcumulado_15]]),IF(AND(YEAR($M29)=2020,MONTH($M29)&lt;=9),LOOKUP($J29,[1]!CMI[[#All],[CÓDIGO DE INDICADOR]],[1]!CMI[[#All],[ProgramadoAcumulado_16]]),IF(AND(YEAR($M29)=2020,MONTH($M29)&lt;=12),LOOKUP($J29,[1]!CMI[[#All],[CÓDIGO DE INDICADOR]],[1]!CMI[[#All],[ProgramadoAcumulado_17]]),"N.A")))))))))))))))))</f>
        <v>0.4</v>
      </c>
      <c r="BM29" s="51">
        <f>IF(YEAR($M29)=2016,LOOKUP($J29,[1]!CMI[[#All],[CÓDIGO DE INDICADOR]],[1]!CMI[[#All],[EjecuciónAcumulada_1]]),IF(AND(YEAR($M29)=2017,MONTH($M29)&lt;=3),LOOKUP($J29,[1]!CMI[[#All],[CÓDIGO DE INDICADOR]],[1]!CMI[[#All],[EjecuciónAcumulada_2]]),IF(AND(YEAR($M29)=2017,MONTH($M29)&lt;=6),LOOKUP($J29,[1]!CMI[[#All],[CÓDIGO DE INDICADOR]],[1]!CMI[[#All],[EjecuciónAcumulada_3]]),IF(AND(YEAR($M29)=2017,MONTH($M29)&lt;=9),LOOKUP($J29,[1]!CMI[[#All],[CÓDIGO DE INDICADOR]],[1]!CMI[[#All],[EjecuciónAcumulada_4]]),IF(AND(YEAR($M29)=2017,MONTH($M29)&lt;=12),LOOKUP($J29,[1]!CMI[[#All],[CÓDIGO DE INDICADOR]],[1]!CMI[[#All],[EjecuciónAcumulada_5]]),IF(AND(YEAR($M29)=2018,MONTH($M29)&lt;=3),LOOKUP($J29,[1]!CMI[[#All],[CÓDIGO DE INDICADOR]],[1]!CMI[[#All],[EjecuciónAcumulada_6]]),IF(AND(YEAR($M29)=2018,MONTH($M29)&lt;=6),LOOKUP($J29,[1]!CMI[[#All],[CÓDIGO DE INDICADOR]],[1]!CMI[[#All],[EjecuciónAcumulada_7]]),IF(AND(YEAR($M29)=2018,MONTH($M29)&lt;=9),LOOKUP($J29,[1]!CMI[[#All],[CÓDIGO DE INDICADOR]],[1]!CMI[[#All],[EjecuciónAcumulada_8]]),IF(AND(YEAR($M29)=2018,MONTH($M29)&lt;=12),LOOKUP($J29,[1]!CMI[[#All],[CÓDIGO DE INDICADOR]],[1]!CMI[[#All],[EjecuciónAcumulada_9]]),IF(AND(YEAR($M29)=2019,MONTH($M29)&lt;=3),LOOKUP($J29,[1]!CMI[[#All],[CÓDIGO DE INDICADOR]],[1]!CMI[[#All],[EjecuciónAcumulada_10]]),IF(AND(YEAR($M29)=2019,MONTH($M29)&lt;=6),LOOKUP($J29,[1]!CMI[[#All],[CÓDIGO DE INDICADOR]],[1]!CMI[[#All],[EjecuciónAcumulada_11]]),IF(AND(YEAR($M29)=2019,MONTH($M29)&lt;=9),LOOKUP($J29,[1]!CMI[[#All],[CÓDIGO DE INDICADOR]],[1]!CMI[[#All],[EjecuciónAcumulada_12]]),IF(AND(YEAR($M29)=2019,MONTH($M29)&lt;=12),LOOKUP($J29,[1]!CMI[[#All],[CÓDIGO DE INDICADOR]],[1]!CMI[[#All],[EjecuciónAcumulada_13]]),IF(AND(YEAR($M29)=2020,MONTH($M29)&lt;=3),LOOKUP($J29,[1]!CMI[[#All],[CÓDIGO DE INDICADOR]],[1]!CMI[[#All],[EjecuciónAcumulada_14]]),IF(AND(YEAR($M29)=2020,MONTH($M29)&lt;=6),LOOKUP($J29,[1]!CMI[[#All],[CÓDIGO DE INDICADOR]],[1]!CMI[[#All],[EjecuciónAcumulada_15]]),IF(AND(YEAR($M29)=2020,MONTH($M29)&lt;=9),LOOKUP($J29,[1]!CMI[[#All],[CÓDIGO DE INDICADOR]],[1]!CMI[[#All],[EjecuciónAcumulada_16]]),IF(AND(YEAR($M29)=2020,MONTH($M29)&lt;=12),LOOKUP($J29,[1]!CMI[[#All],[CÓDIGO DE INDICADOR]],[1]!CMI[[#All],[EjecuciónAcumulada_17]]),"N.A")))))))))))))))))</f>
        <v>0.39999999999999997</v>
      </c>
      <c r="BN29" s="17">
        <f t="shared" si="7"/>
        <v>0.99999999999999989</v>
      </c>
      <c r="BO29" s="51">
        <f t="shared" si="0"/>
        <v>1.0000000000000002</v>
      </c>
      <c r="BP29" s="68">
        <f t="shared" si="8"/>
        <v>0.39999999999999986</v>
      </c>
    </row>
    <row r="30" spans="2:68" ht="240" customHeight="1">
      <c r="B30" s="132"/>
      <c r="C30" s="10" t="s">
        <v>142</v>
      </c>
      <c r="D30" s="11" t="str">
        <f>LOOKUP($J30,[1]!CMI[[#All],[CÓDIGO DE INDICADOR]],[1]!CMI[[#All],[NOMBRE DEL INDICADOR]])</f>
        <v xml:space="preserve">Porcentaje de avance del Portafolio de servicios de TI. </v>
      </c>
      <c r="E30" s="11" t="str">
        <f>LOOKUP($J30,[1]!CMI[[#All],[CÓDIGO DE INDICADOR]],[1]!CMI[[#All],[FÓRMULA DE CÁLCULO]])</f>
        <v xml:space="preserve">Porcentaje de actividades del Portafolio de servicios de TI. </v>
      </c>
      <c r="F30" s="49">
        <f>LOOKUP($J30,[1]!CMI[[#All],[CÓDIGO DE INDICADOR]],[1]!CMI[[#All],[VALOR PROGRAMADO TOTAL]])</f>
        <v>1</v>
      </c>
      <c r="G30" s="10" t="s">
        <v>148</v>
      </c>
      <c r="H30" s="10" t="s">
        <v>149</v>
      </c>
      <c r="I30" s="11" t="str">
        <f>LOOKUP($J30,[1]!CMI[[#All],[CÓDIGO DE INDICADOR]],[1]!CMI[[#All],[DEPENDENCIA]])</f>
        <v>Dirección de Tecnologías de la Información y Comunicación DTIC</v>
      </c>
      <c r="J30" s="13" t="s">
        <v>160</v>
      </c>
      <c r="K30" s="11" t="str">
        <f>LOOKUP($J30,[1]!CMI[[#All],[CÓDIGO DE INDICADOR]],[1]!CMI[[#All],[CÁLCULO VALOR PROGRAMADO ACUMULADO]])</f>
        <v>Sumatoria</v>
      </c>
      <c r="L30" s="11" t="str">
        <f>LOOKUP($J30,[1]!CMI[[#All],[CÓDIGO DE INDICADOR]],[1]!CMI[[#All],[TENDENCIA DECRECIENTE]])</f>
        <v>No</v>
      </c>
      <c r="M30" s="14" t="str">
        <f>LOOKUP($J30,[1]!CMI[[#All],[CÓDIGO DE INDICADOR]],[1]!CMI[[#All],[FECHA DE CORTE]])</f>
        <v>30/06/2018</v>
      </c>
      <c r="N30" s="49">
        <v>0</v>
      </c>
      <c r="O30" s="49">
        <v>0</v>
      </c>
      <c r="P30" s="49">
        <v>0</v>
      </c>
      <c r="Q30" s="50">
        <v>0</v>
      </c>
      <c r="R30" s="50">
        <v>0</v>
      </c>
      <c r="S30" s="50">
        <v>0</v>
      </c>
      <c r="T30" s="50">
        <f>LOOKUP($J30,[1]!CMI[[#All],[CÓDIGO DE INDICADOR]],[1]!CMI[[#All],[Programado_1]])</f>
        <v>0</v>
      </c>
      <c r="U30" s="50">
        <f>IF(LOOKUP($J30,[1]!CMI[[#All],[CÓDIGO DE INDICADOR]],[1]!CMI[[#All],[Ejecutado_1]])="-",0,LOOKUP($J30,[1]!CMI[[#All],[CÓDIGO DE INDICADOR]],[1]!CMI[[#All],[Ejecutado_1]]))</f>
        <v>0</v>
      </c>
      <c r="V30" s="51">
        <f t="shared" si="1"/>
        <v>0</v>
      </c>
      <c r="W30" s="51">
        <f t="shared" si="2"/>
        <v>0</v>
      </c>
      <c r="X30" s="49">
        <f>LOOKUP($J30,[1]!CMI[[#All],[CÓDIGO DE INDICADOR]],[1]!CMI[[#All],[Programado_2]])</f>
        <v>0.05</v>
      </c>
      <c r="Y30" s="49">
        <f>IF(LOOKUP($J30,[1]!CMI[[#All],[CÓDIGO DE INDICADOR]],[1]!CMI[[#All],[Ejecutado_2]])="-",0,LOOKUP($J30,[1]!CMI[[#All],[CÓDIGO DE INDICADOR]],[1]!CMI[[#All],[Ejecutado_2]]))</f>
        <v>0.05</v>
      </c>
      <c r="Z30" s="49">
        <f>LOOKUP($J30,[1]!CMI[[#All],[CÓDIGO DE INDICADOR]],[1]!CMI[[#All],[Programado_3]])</f>
        <v>0.05</v>
      </c>
      <c r="AA30" s="50">
        <f>IF(LOOKUP($J30,[1]!CMI[[#All],[CÓDIGO DE INDICADOR]],[1]!CMI[[#All],[Ejecutado_3]])="-",0,LOOKUP($J30,[1]!CMI[[#All],[CÓDIGO DE INDICADOR]],[1]!CMI[[#All],[Ejecutado_3]]))</f>
        <v>0.05</v>
      </c>
      <c r="AB30" s="50">
        <f>LOOKUP($J30,[1]!CMI[[#All],[CÓDIGO DE INDICADOR]],[1]!CMI[[#All],[Programado_4]])</f>
        <v>0.1</v>
      </c>
      <c r="AC30" s="50">
        <f>IF(LOOKUP($J30,[1]!CMI[[#All],[CÓDIGO DE INDICADOR]],[1]!CMI[[#All],[Ejecutado_4]])="-",0,LOOKUP($J30,[1]!CMI[[#All],[CÓDIGO DE INDICADOR]],[1]!CMI[[#All],[Ejecutado_4]]))</f>
        <v>0.1</v>
      </c>
      <c r="AD30" s="50">
        <f>LOOKUP($J30,[1]!CMI[[#All],[CÓDIGO DE INDICADOR]],[1]!CMI[[#All],[Programado_5]])</f>
        <v>0.1</v>
      </c>
      <c r="AE30" s="50">
        <f>IF(LOOKUP($J30,[1]!CMI[[#All],[CÓDIGO DE INDICADOR]],[1]!CMI[[#All],[Ejecutado_5]])="-",0,LOOKUP($J30,[1]!CMI[[#All],[CÓDIGO DE INDICADOR]],[1]!CMI[[#All],[Ejecutado_5]]))</f>
        <v>0.1</v>
      </c>
      <c r="AF30" s="51">
        <f t="shared" si="3"/>
        <v>0.30000000000000004</v>
      </c>
      <c r="AG30" s="51">
        <f>IF(OR(LOOKUP($J30,[1]!CMI[[#All],[CÓDIGO DE INDICADOR]],[1]!CMI[[#All],[TIPO DE FÓRMULA]])="Valor absoluto",LOOKUP($J30,[1]!CMI[[#All],[CÓDIGO DE INDICADOR]],[1]!CMI[[#All],[TIPO DE FÓRMULA]])="Suma"),Y30+AA30+AC30+AE30,IF(OR(LOOKUP($J30,[1]!CMI[[#All],[CÓDIGO DE INDICADOR]],[1]!CMI[[#All],[TIPO DE FÓRMULA]])="Porcentaje",LOOKUP($J30,[1]!CMI[[#All],[CÓDIGO DE INDICADOR]],[1]!CMI[[#All],[TIPO DE FÓRMULA]])="División"),IF(LOOKUP($J30,[1]!CMI[[#All],[CÓDIGO DE INDICADOR]],[1]!CMI[[#All],[Variable2_2]])+LOOKUP($J30,[1]!CMI[[#All],[CÓDIGO DE INDICADOR]],[1]!CMI[[#All],[Variable2_3]])+LOOKUP($J30,[1]!CMI[[#All],[CÓDIGO DE INDICADOR]],[1]!CMI[[#All],[Variable2_4]])+LOOKUP($J30,[1]!CMI[[#All],[CÓDIGO DE INDICADOR]],[1]!CMI[[#All],[Variable2_5]])=0,0,(LOOKUP($J30,[1]!CMI[[#All],[CÓDIGO DE INDICADOR]],[1]!CMI[[#All],[Variable1_2]])+LOOKUP($J30,[1]!CMI[[#All],[CÓDIGO DE INDICADOR]],[1]!CMI[[#All],[Variable1_3]])+LOOKUP($J30,[1]!CMI[[#All],[CÓDIGO DE INDICADOR]],[1]!CMI[[#All],[Variable1_4]])+LOOKUP($J30,[1]!CMI[[#All],[CÓDIGO DE INDICADOR]],[1]!CMI[[#All],[Variable1_5]]))/(LOOKUP($J30,[1]!CMI[[#All],[CÓDIGO DE INDICADOR]],[1]!CMI[[#All],[Variable2_2]])+LOOKUP($J30,[1]!CMI[[#All],[CÓDIGO DE INDICADOR]],[1]!CMI[[#All],[Variable2_3]])+LOOKUP($J30,[1]!CMI[[#All],[CÓDIGO DE INDICADOR]],[1]!CMI[[#All],[Variable2_4]])+LOOKUP($J30,[1]!CMI[[#All],[CÓDIGO DE INDICADOR]],[1]!CMI[[#All],[Variable2_5]]))),IF(LOOKUP($J30,[1]!CMI[[#All],[CÓDIGO DE INDICADOR]],[1]!CMI[[#All],[TIPO DE FÓRMULA]])="Tasa de variación",LOOKUP($J30,[1]!CMI[[#All],[CÓDIGO DE INDICADOR]],[1]!CMI[[#All],[EjecuciónAcumulada_5]]),0)))</f>
        <v>0.30000000000000004</v>
      </c>
      <c r="AH30" s="49">
        <f>LOOKUP($J30,[1]!CMI[[#All],[CÓDIGO DE INDICADOR]],[1]!CMI[[#All],[Programado_6]])</f>
        <v>0.1</v>
      </c>
      <c r="AI30" s="49">
        <f>IF(LOOKUP($J30,[1]!CMI[[#All],[CÓDIGO DE INDICADOR]],[1]!CMI[[#All],[Ejecutado_6]])="-",0,LOOKUP($J30,[1]!CMI[[#All],[CÓDIGO DE INDICADOR]],[1]!CMI[[#All],[Ejecutado_6]]))</f>
        <v>0</v>
      </c>
      <c r="AJ30" s="49">
        <f>LOOKUP($J30,[1]!CMI[[#All],[CÓDIGO DE INDICADOR]],[1]!CMI[[#All],[Programado_7]])</f>
        <v>0.1</v>
      </c>
      <c r="AK30" s="50">
        <f>IF(LOOKUP($J30,[1]!CMI[[#All],[CÓDIGO DE INDICADOR]],[1]!CMI[[#All],[Ejecutado_7]])="-",0,LOOKUP($J30,[1]!CMI[[#All],[CÓDIGO DE INDICADOR]],[1]!CMI[[#All],[Ejecutado_7]]))</f>
        <v>0.1</v>
      </c>
      <c r="AL30" s="50">
        <f>LOOKUP($J30,[1]!CMI[[#All],[CÓDIGO DE INDICADOR]],[1]!CMI[[#All],[Programado_8]])</f>
        <v>0.1</v>
      </c>
      <c r="AM30" s="50">
        <f>IF(LOOKUP($J30,[1]!CMI[[#All],[CÓDIGO DE INDICADOR]],[1]!CMI[[#All],[Ejecutado_8]])="-",0,LOOKUP($J30,[1]!CMI[[#All],[CÓDIGO DE INDICADOR]],[1]!CMI[[#All],[Ejecutado_8]]))</f>
        <v>0</v>
      </c>
      <c r="AN30" s="50">
        <f>LOOKUP($J30,[1]!CMI[[#All],[CÓDIGO DE INDICADOR]],[1]!CMI[[#All],[Programado_9]])</f>
        <v>0.1</v>
      </c>
      <c r="AO30" s="50">
        <f>IF(LOOKUP($J30,[1]!CMI[[#All],[CÓDIGO DE INDICADOR]],[1]!CMI[[#All],[Ejecutado_9]])="-",0,LOOKUP($J30,[1]!CMI[[#All],[CÓDIGO DE INDICADOR]],[1]!CMI[[#All],[Ejecutado_9]]))</f>
        <v>0</v>
      </c>
      <c r="AP30" s="51">
        <f t="shared" si="4"/>
        <v>0.4</v>
      </c>
      <c r="AQ30" s="51">
        <f>IF(OR(LOOKUP($J30,[1]!CMI[[#All],[CÓDIGO DE INDICADOR]],[1]!CMI[[#All],[TIPO DE FÓRMULA]])="Valor absoluto",LOOKUP($J30,[1]!CMI[[#All],[CÓDIGO DE INDICADOR]],[1]!CMI[[#All],[TIPO DE FÓRMULA]])="Suma"),AI30+AK30+AM30+AO30,IF(OR(LOOKUP($J30,[1]!CMI[[#All],[CÓDIGO DE INDICADOR]],[1]!CMI[[#All],[TIPO DE FÓRMULA]])="Porcentaje",LOOKUP($J30,[1]!CMI[[#All],[CÓDIGO DE INDICADOR]],[1]!CMI[[#All],[TIPO DE FÓRMULA]])="División"),IF(LOOKUP($J30,[1]!CMI[[#All],[CÓDIGO DE INDICADOR]],[1]!CMI[[#All],[Variable2_6]])+LOOKUP($J30,[1]!CMI[[#All],[CÓDIGO DE INDICADOR]],[1]!CMI[[#All],[Variable2_7]])+LOOKUP($J30,[1]!CMI[[#All],[CÓDIGO DE INDICADOR]],[1]!CMI[[#All],[Variable2_8]])+LOOKUP($J30,[1]!CMI[[#All],[CÓDIGO DE INDICADOR]],[1]!CMI[[#All],[Variable2_9]])=0,0,(LOOKUP($J30,[1]!CMI[[#All],[CÓDIGO DE INDICADOR]],[1]!CMI[[#All],[Variable1_6]])+LOOKUP($J30,[1]!CMI[[#All],[CÓDIGO DE INDICADOR]],[1]!CMI[[#All],[Variable1_7]])+LOOKUP($J30,[1]!CMI[[#All],[CÓDIGO DE INDICADOR]],[1]!CMI[[#All],[Variable1_8]])+LOOKUP($J30,[1]!CMI[[#All],[CÓDIGO DE INDICADOR]],[1]!CMI[[#All],[Variable1_9]]))/(LOOKUP($J30,[1]!CMI[[#All],[CÓDIGO DE INDICADOR]],[1]!CMI[[#All],[Variable2_6]])+LOOKUP($J30,[1]!CMI[[#All],[CÓDIGO DE INDICADOR]],[1]!CMI[[#All],[Variable2_7]])+LOOKUP($J30,[1]!CMI[[#All],[CÓDIGO DE INDICADOR]],[1]!CMI[[#All],[Variable2_8]])+LOOKUP($J30,[1]!CMI[[#All],[CÓDIGO DE INDICADOR]],[1]!CMI[[#All],[Variable2_9]]))),IF(LOOKUP($J30,[1]!CMI[[#All],[CÓDIGO DE INDICADOR]],[1]!CMI[[#All],[TIPO DE FÓRMULA]])="Tasa de variación",LOOKUP($J30,[1]!CMI[[#All],[CÓDIGO DE INDICADOR]],[1]!CMI[[#All],[EjecuciónAcumulada_9]]),0)))</f>
        <v>0.1</v>
      </c>
      <c r="AR30" s="49">
        <f>LOOKUP($J30,[1]!CMI[[#All],[CÓDIGO DE INDICADOR]],[1]!CMI[[#All],[Programado_10]])</f>
        <v>0.05</v>
      </c>
      <c r="AS30" s="49">
        <f>IF(LOOKUP($J30,[1]!CMI[[#All],[CÓDIGO DE INDICADOR]],[1]!CMI[[#All],[Ejecutado_10]])="-",0,LOOKUP($J30,[1]!CMI[[#All],[CÓDIGO DE INDICADOR]],[1]!CMI[[#All],[Ejecutado_10]]))</f>
        <v>0</v>
      </c>
      <c r="AT30" s="49">
        <f>LOOKUP($J30,[1]!CMI[[#All],[CÓDIGO DE INDICADOR]],[1]!CMI[[#All],[Programado_11]])</f>
        <v>0.05</v>
      </c>
      <c r="AU30" s="50">
        <f>IF(LOOKUP($J30,[1]!CMI[[#All],[CÓDIGO DE INDICADOR]],[1]!CMI[[#All],[Ejecutado_11]])="-",0,LOOKUP($J30,[1]!CMI[[#All],[CÓDIGO DE INDICADOR]],[1]!CMI[[#All],[Ejecutado_11]]))</f>
        <v>0</v>
      </c>
      <c r="AV30" s="50">
        <f>LOOKUP($J30,[1]!CMI[[#All],[CÓDIGO DE INDICADOR]],[1]!CMI[[#All],[Programado_12]])</f>
        <v>0.05</v>
      </c>
      <c r="AW30" s="50">
        <f>IF(LOOKUP($J30,[1]!CMI[[#All],[CÓDIGO DE INDICADOR]],[1]!CMI[[#All],[Ejecutado_12]])="-",0,LOOKUP($J30,[1]!CMI[[#All],[CÓDIGO DE INDICADOR]],[1]!CMI[[#All],[Ejecutado_12]]))</f>
        <v>0</v>
      </c>
      <c r="AX30" s="50">
        <f>LOOKUP($J30,[1]!CMI[[#All],[CÓDIGO DE INDICADOR]],[1]!CMI[[#All],[Programado_13]])</f>
        <v>0.05</v>
      </c>
      <c r="AY30" s="50">
        <f>IF(LOOKUP($J30,[1]!CMI[[#All],[CÓDIGO DE INDICADOR]],[1]!CMI[[#All],[Ejecutado_13]])="-",0,LOOKUP($J30,[1]!CMI[[#All],[CÓDIGO DE INDICADOR]],[1]!CMI[[#All],[Ejecutado_13]]))</f>
        <v>0</v>
      </c>
      <c r="AZ30" s="51">
        <f t="shared" si="5"/>
        <v>0.2</v>
      </c>
      <c r="BA30" s="51">
        <f>IF(OR(LOOKUP($J30,[1]!CMI[[#All],[CÓDIGO DE INDICADOR]],[1]!CMI[[#All],[TIPO DE FÓRMULA]])="Valor absoluto",LOOKUP($J30,[1]!CMI[[#All],[CÓDIGO DE INDICADOR]],[1]!CMI[[#All],[TIPO DE FÓRMULA]])="Suma"),AS30+AU30+AW30+AY30,IF(OR(LOOKUP($J30,[1]!CMI[[#All],[CÓDIGO DE INDICADOR]],[1]!CMI[[#All],[TIPO DE FÓRMULA]])="Porcentaje",LOOKUP($J30,[1]!CMI[[#All],[CÓDIGO DE INDICADOR]],[1]!CMI[[#All],[TIPO DE FÓRMULA]])="División"),IF(LOOKUP($J30,[1]!CMI[[#All],[CÓDIGO DE INDICADOR]],[1]!CMI[[#All],[Variable2_10]])+LOOKUP($J30,[1]!CMI[[#All],[CÓDIGO DE INDICADOR]],[1]!CMI[[#All],[Variable2_11]])+LOOKUP($J30,[1]!CMI[[#All],[CÓDIGO DE INDICADOR]],[1]!CMI[[#All],[Variable2_12]])+LOOKUP($J30,[1]!CMI[[#All],[CÓDIGO DE INDICADOR]],[1]!CMI[[#All],[Variable2_13]])=0,0,(LOOKUP($J30,[1]!CMI[[#All],[CÓDIGO DE INDICADOR]],[1]!CMI[[#All],[Variable1_10]])+LOOKUP($J30,[1]!CMI[[#All],[CÓDIGO DE INDICADOR]],[1]!CMI[[#All],[Variable1_11]])+LOOKUP($J30,[1]!CMI[[#All],[CÓDIGO DE INDICADOR]],[1]!CMI[[#All],[Variable1_12]])+LOOKUP($J30,[1]!CMI[[#All],[CÓDIGO DE INDICADOR]],[1]!CMI[[#All],[Variable1_13]]))/(LOOKUP($J30,[1]!CMI[[#All],[CÓDIGO DE INDICADOR]],[1]!CMI[[#All],[Variable2_10]])+LOOKUP($J30,[1]!CMI[[#All],[CÓDIGO DE INDICADOR]],[1]!CMI[[#All],[Variable2_11]])+LOOKUP($J30,[1]!CMI[[#All],[CÓDIGO DE INDICADOR]],[1]!CMI[[#All],[Variable2_12]])+LOOKUP($J30,[1]!CMI[[#All],[CÓDIGO DE INDICADOR]],[1]!CMI[[#All],[Variable2_13]]))),IF(LOOKUP($J30,[1]!CMI[[#All],[CÓDIGO DE INDICADOR]],[1]!CMI[[#All],[TIPO DE FÓRMULA]])="Tasa de variación",LOOKUP($J30,[1]!CMI[[#All],[CÓDIGO DE INDICADOR]],[1]!CMI[[#All],[EjecuciónAcumulada_13]]),0)))</f>
        <v>0</v>
      </c>
      <c r="BB30" s="49">
        <f>LOOKUP($J30,[1]!CMI[[#All],[CÓDIGO DE INDICADOR]],[1]!CMI[[#All],[Programado_14]])</f>
        <v>0.05</v>
      </c>
      <c r="BC30" s="49">
        <f>IF(LOOKUP($J30,[1]!CMI[[#All],[CÓDIGO DE INDICADOR]],[1]!CMI[[#All],[Ejecutado_14]])="-",0,LOOKUP($J30,[1]!CMI[[#All],[CÓDIGO DE INDICADOR]],[1]!CMI[[#All],[Ejecutado_14]]))</f>
        <v>0</v>
      </c>
      <c r="BD30" s="49">
        <f>LOOKUP($J30,[1]!CMI[[#All],[CÓDIGO DE INDICADOR]],[1]!CMI[[#All],[Programado_15]])</f>
        <v>0.05</v>
      </c>
      <c r="BE30" s="50">
        <f>IF(LOOKUP($J30,[1]!CMI[[#All],[CÓDIGO DE INDICADOR]],[1]!CMI[[#All],[Ejecutado_15]])="-",0,LOOKUP($J30,[1]!CMI[[#All],[CÓDIGO DE INDICADOR]],[1]!CMI[[#All],[Ejecutado_15]]))</f>
        <v>0</v>
      </c>
      <c r="BF30" s="50">
        <f>LOOKUP($J30,[1]!CMI[[#All],[CÓDIGO DE INDICADOR]],[1]!CMI[[#All],[Programado_16]])</f>
        <v>0</v>
      </c>
      <c r="BG30" s="50">
        <f>IF(LOOKUP($J30,[1]!CMI[[#All],[CÓDIGO DE INDICADOR]],[1]!CMI[[#All],[Ejecutado_16]])="-",0,LOOKUP($J30,[1]!CMI[[#All],[CÓDIGO DE INDICADOR]],[1]!CMI[[#All],[Ejecutado_16]]))</f>
        <v>0</v>
      </c>
      <c r="BH30" s="50">
        <f>LOOKUP($J30,[1]!CMI[[#All],[CÓDIGO DE INDICADOR]],[1]!CMI[[#All],[Programado_17]])</f>
        <v>0</v>
      </c>
      <c r="BI30" s="50">
        <f>IF(LOOKUP($J30,[1]!CMI[[#All],[CÓDIGO DE INDICADOR]],[1]!CMI[[#All],[Ejecutado_17]])="-",0,LOOKUP($J30,[1]!CMI[[#All],[CÓDIGO DE INDICADOR]],[1]!CMI[[#All],[Ejecutado_17]]))</f>
        <v>0</v>
      </c>
      <c r="BJ30" s="51">
        <f t="shared" si="6"/>
        <v>0.1</v>
      </c>
      <c r="BK30" s="51">
        <f>IF(OR(LOOKUP($J30,[1]!CMI[[#All],[CÓDIGO DE INDICADOR]],[1]!CMI[[#All],[TIPO DE FÓRMULA]])="Valor absoluto",LOOKUP($J30,[1]!CMI[[#All],[CÓDIGO DE INDICADOR]],[1]!CMI[[#All],[TIPO DE FÓRMULA]])="Suma"),BC30+BE30+BG30+BI30,IF(OR(LOOKUP($J30,[1]!CMI[[#All],[CÓDIGO DE INDICADOR]],[1]!CMI[[#All],[TIPO DE FÓRMULA]])="Porcentaje",LOOKUP($J30,[1]!CMI[[#All],[CÓDIGO DE INDICADOR]],[1]!CMI[[#All],[TIPO DE FÓRMULA]])="División"),IF(LOOKUP($J30,[1]!CMI[[#All],[CÓDIGO DE INDICADOR]],[1]!CMI[[#All],[Variable2_14]])+LOOKUP($J30,[1]!CMI[[#All],[CÓDIGO DE INDICADOR]],[1]!CMI[[#All],[Variable2_15]])+LOOKUP($J30,[1]!CMI[[#All],[CÓDIGO DE INDICADOR]],[1]!CMI[[#All],[Variable2_16]])+LOOKUP($J30,[1]!CMI[[#All],[CÓDIGO DE INDICADOR]],[1]!CMI[[#All],[Variable2_17]])=0,0,(LOOKUP($J30,[1]!CMI[[#All],[CÓDIGO DE INDICADOR]],[1]!CMI[[#All],[Variable1_14]])+LOOKUP($J30,[1]!CMI[[#All],[CÓDIGO DE INDICADOR]],[1]!CMI[[#All],[Variable1_15]])+LOOKUP($J30,[1]!CMI[[#All],[CÓDIGO DE INDICADOR]],[1]!CMI[[#All],[Variable1_16]])+LOOKUP($J30,[1]!CMI[[#All],[CÓDIGO DE INDICADOR]],[1]!CMI[[#All],[Variable1_17]]))/(LOOKUP($J30,[1]!CMI[[#All],[CÓDIGO DE INDICADOR]],[1]!CMI[[#All],[Variable2_14]])+LOOKUP($J30,[1]!CMI[[#All],[CÓDIGO DE INDICADOR]],[1]!CMI[[#All],[Variable2_15]])+LOOKUP($J30,[1]!CMI[[#All],[CÓDIGO DE INDICADOR]],[1]!CMI[[#All],[Variable2_16]])+LOOKUP($J30,[1]!CMI[[#All],[CÓDIGO DE INDICADOR]],[1]!CMI[[#All],[Variable2_17]]))),IF(LOOKUP($J30,[1]!CMI[[#All],[CÓDIGO DE INDICADOR]],[1]!CMI[[#All],[TIPO DE FÓRMULA]])="Tasa de variación",LOOKUP($J30,[1]!CMI[[#All],[CÓDIGO DE INDICADOR]],[1]!CMI[[#All],[EjecuciónAcumulada_17]]),0)))</f>
        <v>0</v>
      </c>
      <c r="BL30" s="51">
        <f>IF(YEAR($M30)=2016,LOOKUP($J30,[1]!CMI[[#All],[CÓDIGO DE INDICADOR]],[1]!CMI[[#All],[ProgramadoAcumulado_1]]),IF(AND(YEAR($M30)=2017,MONTH($M30)&lt;=3),LOOKUP($J30,[1]!CMI[[#All],[CÓDIGO DE INDICADOR]],[1]!CMI[[#All],[ProgramadoAcumulado_2]]),IF(AND(YEAR($M30)=2017,MONTH($M30)&lt;=6),LOOKUP($J30,[1]!CMI[[#All],[CÓDIGO DE INDICADOR]],[1]!CMI[[#All],[ProgramadoAcumulado_3]]),IF(AND(YEAR($M30)=2017,MONTH($M30)&lt;=9),LOOKUP($J30,[1]!CMI[[#All],[CÓDIGO DE INDICADOR]],[1]!CMI[[#All],[ProgramadoAcumulado_4]]),IF(AND(YEAR($M30)=2017,MONTH($M30)&lt;=12),LOOKUP($J30,[1]!CMI[[#All],[CÓDIGO DE INDICADOR]],[1]!CMI[[#All],[ProgramadoAcumulado_5]]),IF(AND(YEAR($M30)=2018,MONTH($M30)&lt;=3),LOOKUP($J30,[1]!CMI[[#All],[CÓDIGO DE INDICADOR]],[1]!CMI[[#All],[ProgramadoAcumulado_6]]),IF(AND(YEAR($M30)=2018,MONTH($M30)&lt;=6),LOOKUP($J30,[1]!CMI[[#All],[CÓDIGO DE INDICADOR]],[1]!CMI[[#All],[ProgramadoAcumulado_7]]),IF(AND(YEAR($M30)=2018,MONTH($M30)&lt;=9),LOOKUP($J30,[1]!CMI[[#All],[CÓDIGO DE INDICADOR]],[1]!CMI[[#All],[ProgramadoAcumulado_8]]),IF(AND(YEAR($M30)=2018,MONTH($M30)&lt;=12),LOOKUP($J30,[1]!CMI[[#All],[CÓDIGO DE INDICADOR]],[1]!CMI[[#All],[ProgramadoAcumulado_9]]),IF(AND(YEAR($M30)=2019,MONTH($M30)&lt;=3),LOOKUP($J30,[1]!CMI[[#All],[CÓDIGO DE INDICADOR]],[1]!CMI[[#All],[ProgramadoAcumulado_10]]),IF(AND(YEAR($M30)=2019,MONTH($M30)&lt;=6),LOOKUP($J30,[1]!CMI[[#All],[CÓDIGO DE INDICADOR]],[1]!CMI[[#All],[ProgramadoAcumulado_11]]),IF(AND(YEAR($M30)=2019,MONTH($M30)&lt;=9),LOOKUP($J30,[1]!CMI[[#All],[CÓDIGO DE INDICADOR]],[1]!CMI[[#All],[ProgramadoAcumulado_12]]),IF(AND(YEAR($M30)=2019,MONTH($M30)&lt;=12),LOOKUP($J30,[1]!CMI[[#All],[CÓDIGO DE INDICADOR]],[1]!CMI[[#All],[ProgramadoAcumulado_13]]),IF(AND(YEAR($M30)=2020,MONTH($M30)&lt;=3),LOOKUP($J30,[1]!CMI[[#All],[CÓDIGO DE INDICADOR]],[1]!CMI[[#All],[ProgramadoAcumulado_14]]),IF(AND(YEAR($M30)=2020,MONTH($M30)&lt;=6),LOOKUP($J30,[1]!CMI[[#All],[CÓDIGO DE INDICADOR]],[1]!CMI[[#All],[ProgramadoAcumulado_15]]),IF(AND(YEAR($M30)=2020,MONTH($M30)&lt;=9),LOOKUP($J30,[1]!CMI[[#All],[CÓDIGO DE INDICADOR]],[1]!CMI[[#All],[ProgramadoAcumulado_16]]),IF(AND(YEAR($M30)=2020,MONTH($M30)&lt;=12),LOOKUP($J30,[1]!CMI[[#All],[CÓDIGO DE INDICADOR]],[1]!CMI[[#All],[ProgramadoAcumulado_17]]),"N.A")))))))))))))))))</f>
        <v>0.5</v>
      </c>
      <c r="BM30" s="51">
        <f>IF(YEAR($M30)=2016,LOOKUP($J30,[1]!CMI[[#All],[CÓDIGO DE INDICADOR]],[1]!CMI[[#All],[EjecuciónAcumulada_1]]),IF(AND(YEAR($M30)=2017,MONTH($M30)&lt;=3),LOOKUP($J30,[1]!CMI[[#All],[CÓDIGO DE INDICADOR]],[1]!CMI[[#All],[EjecuciónAcumulada_2]]),IF(AND(YEAR($M30)=2017,MONTH($M30)&lt;=6),LOOKUP($J30,[1]!CMI[[#All],[CÓDIGO DE INDICADOR]],[1]!CMI[[#All],[EjecuciónAcumulada_3]]),IF(AND(YEAR($M30)=2017,MONTH($M30)&lt;=9),LOOKUP($J30,[1]!CMI[[#All],[CÓDIGO DE INDICADOR]],[1]!CMI[[#All],[EjecuciónAcumulada_4]]),IF(AND(YEAR($M30)=2017,MONTH($M30)&lt;=12),LOOKUP($J30,[1]!CMI[[#All],[CÓDIGO DE INDICADOR]],[1]!CMI[[#All],[EjecuciónAcumulada_5]]),IF(AND(YEAR($M30)=2018,MONTH($M30)&lt;=3),LOOKUP($J30,[1]!CMI[[#All],[CÓDIGO DE INDICADOR]],[1]!CMI[[#All],[EjecuciónAcumulada_6]]),IF(AND(YEAR($M30)=2018,MONTH($M30)&lt;=6),LOOKUP($J30,[1]!CMI[[#All],[CÓDIGO DE INDICADOR]],[1]!CMI[[#All],[EjecuciónAcumulada_7]]),IF(AND(YEAR($M30)=2018,MONTH($M30)&lt;=9),LOOKUP($J30,[1]!CMI[[#All],[CÓDIGO DE INDICADOR]],[1]!CMI[[#All],[EjecuciónAcumulada_8]]),IF(AND(YEAR($M30)=2018,MONTH($M30)&lt;=12),LOOKUP($J30,[1]!CMI[[#All],[CÓDIGO DE INDICADOR]],[1]!CMI[[#All],[EjecuciónAcumulada_9]]),IF(AND(YEAR($M30)=2019,MONTH($M30)&lt;=3),LOOKUP($J30,[1]!CMI[[#All],[CÓDIGO DE INDICADOR]],[1]!CMI[[#All],[EjecuciónAcumulada_10]]),IF(AND(YEAR($M30)=2019,MONTH($M30)&lt;=6),LOOKUP($J30,[1]!CMI[[#All],[CÓDIGO DE INDICADOR]],[1]!CMI[[#All],[EjecuciónAcumulada_11]]),IF(AND(YEAR($M30)=2019,MONTH($M30)&lt;=9),LOOKUP($J30,[1]!CMI[[#All],[CÓDIGO DE INDICADOR]],[1]!CMI[[#All],[EjecuciónAcumulada_12]]),IF(AND(YEAR($M30)=2019,MONTH($M30)&lt;=12),LOOKUP($J30,[1]!CMI[[#All],[CÓDIGO DE INDICADOR]],[1]!CMI[[#All],[EjecuciónAcumulada_13]]),IF(AND(YEAR($M30)=2020,MONTH($M30)&lt;=3),LOOKUP($J30,[1]!CMI[[#All],[CÓDIGO DE INDICADOR]],[1]!CMI[[#All],[EjecuciónAcumulada_14]]),IF(AND(YEAR($M30)=2020,MONTH($M30)&lt;=6),LOOKUP($J30,[1]!CMI[[#All],[CÓDIGO DE INDICADOR]],[1]!CMI[[#All],[EjecuciónAcumulada_15]]),IF(AND(YEAR($M30)=2020,MONTH($M30)&lt;=9),LOOKUP($J30,[1]!CMI[[#All],[CÓDIGO DE INDICADOR]],[1]!CMI[[#All],[EjecuciónAcumulada_16]]),IF(AND(YEAR($M30)=2020,MONTH($M30)&lt;=12),LOOKUP($J30,[1]!CMI[[#All],[CÓDIGO DE INDICADOR]],[1]!CMI[[#All],[EjecuciónAcumulada_17]]),"N.A")))))))))))))))))</f>
        <v>0.4</v>
      </c>
      <c r="BN30" s="17">
        <f t="shared" si="7"/>
        <v>0.8</v>
      </c>
      <c r="BO30" s="51">
        <f t="shared" si="0"/>
        <v>1.0000000000000002</v>
      </c>
      <c r="BP30" s="68">
        <f t="shared" si="8"/>
        <v>0.39999999999999991</v>
      </c>
    </row>
    <row r="31" spans="2:68" ht="162.75" customHeight="1">
      <c r="B31" s="132"/>
      <c r="C31" s="10" t="s">
        <v>143</v>
      </c>
      <c r="D31" s="11" t="str">
        <f>LOOKUP($J31,[1]!CMI[[#All],[CÓDIGO DE INDICADOR]],[1]!CMI[[#All],[NOMBRE DEL INDICADOR]])</f>
        <v>Porcentaje de avance de implementación del plan de seguridad y privacidad de la información SGSI</v>
      </c>
      <c r="E31" s="11" t="str">
        <f>LOOKUP($J31,[1]!CMI[[#All],[CÓDIGO DE INDICADOR]],[1]!CMI[[#All],[FÓRMULA DE CÁLCULO]])</f>
        <v>Porcentaje de actividades de la implementación del plan de seguridad y privacidad de la información SGSI</v>
      </c>
      <c r="F31" s="49">
        <f>LOOKUP($J31,[1]!CMI[[#All],[CÓDIGO DE INDICADOR]],[1]!CMI[[#All],[VALOR PROGRAMADO TOTAL]])</f>
        <v>1</v>
      </c>
      <c r="G31" s="10" t="s">
        <v>150</v>
      </c>
      <c r="H31" s="10" t="s">
        <v>151</v>
      </c>
      <c r="I31" s="11" t="str">
        <f>LOOKUP($J31,[1]!CMI[[#All],[CÓDIGO DE INDICADOR]],[1]!CMI[[#All],[DEPENDENCIA]])</f>
        <v>Dirección de Tecnologías de la Información y Comunicación DTIC</v>
      </c>
      <c r="J31" s="13" t="s">
        <v>159</v>
      </c>
      <c r="K31" s="11" t="str">
        <f>LOOKUP($J31,[1]!CMI[[#All],[CÓDIGO DE INDICADOR]],[1]!CMI[[#All],[CÁLCULO VALOR PROGRAMADO ACUMULADO]])</f>
        <v>Sumatoria</v>
      </c>
      <c r="L31" s="11" t="str">
        <f>LOOKUP($J31,[1]!CMI[[#All],[CÓDIGO DE INDICADOR]],[1]!CMI[[#All],[TENDENCIA DECRECIENTE]])</f>
        <v>No</v>
      </c>
      <c r="M31" s="14" t="str">
        <f>LOOKUP($J31,[1]!CMI[[#All],[CÓDIGO DE INDICADOR]],[1]!CMI[[#All],[FECHA DE CORTE]])</f>
        <v>30/06/2018</v>
      </c>
      <c r="N31" s="49">
        <v>0</v>
      </c>
      <c r="O31" s="49">
        <v>0</v>
      </c>
      <c r="P31" s="49">
        <v>0</v>
      </c>
      <c r="Q31" s="50">
        <v>0</v>
      </c>
      <c r="R31" s="50">
        <v>0</v>
      </c>
      <c r="S31" s="50">
        <v>0</v>
      </c>
      <c r="T31" s="50">
        <f>LOOKUP($J31,[1]!CMI[[#All],[CÓDIGO DE INDICADOR]],[1]!CMI[[#All],[Programado_1]])</f>
        <v>0</v>
      </c>
      <c r="U31" s="50">
        <f>IF(LOOKUP($J31,[1]!CMI[[#All],[CÓDIGO DE INDICADOR]],[1]!CMI[[#All],[Ejecutado_1]])="-",0,LOOKUP($J31,[1]!CMI[[#All],[CÓDIGO DE INDICADOR]],[1]!CMI[[#All],[Ejecutado_1]]))</f>
        <v>0</v>
      </c>
      <c r="V31" s="51">
        <f t="shared" ref="V31:V46" si="9">T31</f>
        <v>0</v>
      </c>
      <c r="W31" s="51">
        <f t="shared" ref="W31:W46" si="10">U31</f>
        <v>0</v>
      </c>
      <c r="X31" s="49">
        <f>LOOKUP($J31,[1]!CMI[[#All],[CÓDIGO DE INDICADOR]],[1]!CMI[[#All],[Programado_2]])</f>
        <v>0.05</v>
      </c>
      <c r="Y31" s="49">
        <f>IF(LOOKUP($J31,[1]!CMI[[#All],[CÓDIGO DE INDICADOR]],[1]!CMI[[#All],[Ejecutado_2]])="-",0,LOOKUP($J31,[1]!CMI[[#All],[CÓDIGO DE INDICADOR]],[1]!CMI[[#All],[Ejecutado_2]]))</f>
        <v>0.05</v>
      </c>
      <c r="Z31" s="49">
        <f>LOOKUP($J31,[1]!CMI[[#All],[CÓDIGO DE INDICADOR]],[1]!CMI[[#All],[Programado_3]])</f>
        <v>0.05</v>
      </c>
      <c r="AA31" s="50">
        <f>IF(LOOKUP($J31,[1]!CMI[[#All],[CÓDIGO DE INDICADOR]],[1]!CMI[[#All],[Ejecutado_3]])="-",0,LOOKUP($J31,[1]!CMI[[#All],[CÓDIGO DE INDICADOR]],[1]!CMI[[#All],[Ejecutado_3]]))</f>
        <v>0.05</v>
      </c>
      <c r="AB31" s="50">
        <f>LOOKUP($J31,[1]!CMI[[#All],[CÓDIGO DE INDICADOR]],[1]!CMI[[#All],[Programado_4]])</f>
        <v>0.1</v>
      </c>
      <c r="AC31" s="50">
        <f>IF(LOOKUP($J31,[1]!CMI[[#All],[CÓDIGO DE INDICADOR]],[1]!CMI[[#All],[Ejecutado_4]])="-",0,LOOKUP($J31,[1]!CMI[[#All],[CÓDIGO DE INDICADOR]],[1]!CMI[[#All],[Ejecutado_4]]))</f>
        <v>0.1</v>
      </c>
      <c r="AD31" s="50">
        <f>LOOKUP($J31,[1]!CMI[[#All],[CÓDIGO DE INDICADOR]],[1]!CMI[[#All],[Programado_5]])</f>
        <v>0.1</v>
      </c>
      <c r="AE31" s="50">
        <f>IF(LOOKUP($J31,[1]!CMI[[#All],[CÓDIGO DE INDICADOR]],[1]!CMI[[#All],[Ejecutado_5]])="-",0,LOOKUP($J31,[1]!CMI[[#All],[CÓDIGO DE INDICADOR]],[1]!CMI[[#All],[Ejecutado_5]]))</f>
        <v>0.1</v>
      </c>
      <c r="AF31" s="51">
        <f t="shared" ref="AF31:AF46" si="11">IF($K31="Sumatoria",X31+Z31+AB31+AD31,IF($K31="Constante",$F31,AD31))</f>
        <v>0.30000000000000004</v>
      </c>
      <c r="AG31" s="51">
        <f>IF(OR(LOOKUP($J31,[1]!CMI[[#All],[CÓDIGO DE INDICADOR]],[1]!CMI[[#All],[TIPO DE FÓRMULA]])="Valor absoluto",LOOKUP($J31,[1]!CMI[[#All],[CÓDIGO DE INDICADOR]],[1]!CMI[[#All],[TIPO DE FÓRMULA]])="Suma"),Y31+AA31+AC31+AE31,IF(OR(LOOKUP($J31,[1]!CMI[[#All],[CÓDIGO DE INDICADOR]],[1]!CMI[[#All],[TIPO DE FÓRMULA]])="Porcentaje",LOOKUP($J31,[1]!CMI[[#All],[CÓDIGO DE INDICADOR]],[1]!CMI[[#All],[TIPO DE FÓRMULA]])="División"),IF(LOOKUP($J31,[1]!CMI[[#All],[CÓDIGO DE INDICADOR]],[1]!CMI[[#All],[Variable2_2]])+LOOKUP($J31,[1]!CMI[[#All],[CÓDIGO DE INDICADOR]],[1]!CMI[[#All],[Variable2_3]])+LOOKUP($J31,[1]!CMI[[#All],[CÓDIGO DE INDICADOR]],[1]!CMI[[#All],[Variable2_4]])+LOOKUP($J31,[1]!CMI[[#All],[CÓDIGO DE INDICADOR]],[1]!CMI[[#All],[Variable2_5]])=0,0,(LOOKUP($J31,[1]!CMI[[#All],[CÓDIGO DE INDICADOR]],[1]!CMI[[#All],[Variable1_2]])+LOOKUP($J31,[1]!CMI[[#All],[CÓDIGO DE INDICADOR]],[1]!CMI[[#All],[Variable1_3]])+LOOKUP($J31,[1]!CMI[[#All],[CÓDIGO DE INDICADOR]],[1]!CMI[[#All],[Variable1_4]])+LOOKUP($J31,[1]!CMI[[#All],[CÓDIGO DE INDICADOR]],[1]!CMI[[#All],[Variable1_5]]))/(LOOKUP($J31,[1]!CMI[[#All],[CÓDIGO DE INDICADOR]],[1]!CMI[[#All],[Variable2_2]])+LOOKUP($J31,[1]!CMI[[#All],[CÓDIGO DE INDICADOR]],[1]!CMI[[#All],[Variable2_3]])+LOOKUP($J31,[1]!CMI[[#All],[CÓDIGO DE INDICADOR]],[1]!CMI[[#All],[Variable2_4]])+LOOKUP($J31,[1]!CMI[[#All],[CÓDIGO DE INDICADOR]],[1]!CMI[[#All],[Variable2_5]]))),IF(LOOKUP($J31,[1]!CMI[[#All],[CÓDIGO DE INDICADOR]],[1]!CMI[[#All],[TIPO DE FÓRMULA]])="Tasa de variación",LOOKUP($J31,[1]!CMI[[#All],[CÓDIGO DE INDICADOR]],[1]!CMI[[#All],[EjecuciónAcumulada_5]]),0)))</f>
        <v>0.30000000000000004</v>
      </c>
      <c r="AH31" s="49">
        <f>LOOKUP($J31,[1]!CMI[[#All],[CÓDIGO DE INDICADOR]],[1]!CMI[[#All],[Programado_6]])</f>
        <v>0.1</v>
      </c>
      <c r="AI31" s="49">
        <f>IF(LOOKUP($J31,[1]!CMI[[#All],[CÓDIGO DE INDICADOR]],[1]!CMI[[#All],[Ejecutado_6]])="-",0,LOOKUP($J31,[1]!CMI[[#All],[CÓDIGO DE INDICADOR]],[1]!CMI[[#All],[Ejecutado_6]]))</f>
        <v>0.1</v>
      </c>
      <c r="AJ31" s="49">
        <f>LOOKUP($J31,[1]!CMI[[#All],[CÓDIGO DE INDICADOR]],[1]!CMI[[#All],[Programado_7]])</f>
        <v>0.1</v>
      </c>
      <c r="AK31" s="50">
        <f>IF(LOOKUP($J31,[1]!CMI[[#All],[CÓDIGO DE INDICADOR]],[1]!CMI[[#All],[Ejecutado_7]])="-",0,LOOKUP($J31,[1]!CMI[[#All],[CÓDIGO DE INDICADOR]],[1]!CMI[[#All],[Ejecutado_7]]))</f>
        <v>0.1</v>
      </c>
      <c r="AL31" s="50">
        <f>LOOKUP($J31,[1]!CMI[[#All],[CÓDIGO DE INDICADOR]],[1]!CMI[[#All],[Programado_8]])</f>
        <v>0.1</v>
      </c>
      <c r="AM31" s="50">
        <f>IF(LOOKUP($J31,[1]!CMI[[#All],[CÓDIGO DE INDICADOR]],[1]!CMI[[#All],[Ejecutado_8]])="-",0,LOOKUP($J31,[1]!CMI[[#All],[CÓDIGO DE INDICADOR]],[1]!CMI[[#All],[Ejecutado_8]]))</f>
        <v>0</v>
      </c>
      <c r="AN31" s="50">
        <f>LOOKUP($J31,[1]!CMI[[#All],[CÓDIGO DE INDICADOR]],[1]!CMI[[#All],[Programado_9]])</f>
        <v>0.1</v>
      </c>
      <c r="AO31" s="50">
        <f>IF(LOOKUP($J31,[1]!CMI[[#All],[CÓDIGO DE INDICADOR]],[1]!CMI[[#All],[Ejecutado_9]])="-",0,LOOKUP($J31,[1]!CMI[[#All],[CÓDIGO DE INDICADOR]],[1]!CMI[[#All],[Ejecutado_9]]))</f>
        <v>0</v>
      </c>
      <c r="AP31" s="51">
        <f t="shared" ref="AP31:AP46" si="12">IF($K31="Sumatoria",AH31+AJ31+AL31+AN31,IF($K31="Constante",$F31,AN31))</f>
        <v>0.4</v>
      </c>
      <c r="AQ31" s="51">
        <f>IF(OR(LOOKUP($J31,[1]!CMI[[#All],[CÓDIGO DE INDICADOR]],[1]!CMI[[#All],[TIPO DE FÓRMULA]])="Valor absoluto",LOOKUP($J31,[1]!CMI[[#All],[CÓDIGO DE INDICADOR]],[1]!CMI[[#All],[TIPO DE FÓRMULA]])="Suma"),AI31+AK31+AM31+AO31,IF(OR(LOOKUP($J31,[1]!CMI[[#All],[CÓDIGO DE INDICADOR]],[1]!CMI[[#All],[TIPO DE FÓRMULA]])="Porcentaje",LOOKUP($J31,[1]!CMI[[#All],[CÓDIGO DE INDICADOR]],[1]!CMI[[#All],[TIPO DE FÓRMULA]])="División"),IF(LOOKUP($J31,[1]!CMI[[#All],[CÓDIGO DE INDICADOR]],[1]!CMI[[#All],[Variable2_6]])+LOOKUP($J31,[1]!CMI[[#All],[CÓDIGO DE INDICADOR]],[1]!CMI[[#All],[Variable2_7]])+LOOKUP($J31,[1]!CMI[[#All],[CÓDIGO DE INDICADOR]],[1]!CMI[[#All],[Variable2_8]])+LOOKUP($J31,[1]!CMI[[#All],[CÓDIGO DE INDICADOR]],[1]!CMI[[#All],[Variable2_9]])=0,0,(LOOKUP($J31,[1]!CMI[[#All],[CÓDIGO DE INDICADOR]],[1]!CMI[[#All],[Variable1_6]])+LOOKUP($J31,[1]!CMI[[#All],[CÓDIGO DE INDICADOR]],[1]!CMI[[#All],[Variable1_7]])+LOOKUP($J31,[1]!CMI[[#All],[CÓDIGO DE INDICADOR]],[1]!CMI[[#All],[Variable1_8]])+LOOKUP($J31,[1]!CMI[[#All],[CÓDIGO DE INDICADOR]],[1]!CMI[[#All],[Variable1_9]]))/(LOOKUP($J31,[1]!CMI[[#All],[CÓDIGO DE INDICADOR]],[1]!CMI[[#All],[Variable2_6]])+LOOKUP($J31,[1]!CMI[[#All],[CÓDIGO DE INDICADOR]],[1]!CMI[[#All],[Variable2_7]])+LOOKUP($J31,[1]!CMI[[#All],[CÓDIGO DE INDICADOR]],[1]!CMI[[#All],[Variable2_8]])+LOOKUP($J31,[1]!CMI[[#All],[CÓDIGO DE INDICADOR]],[1]!CMI[[#All],[Variable2_9]]))),IF(LOOKUP($J31,[1]!CMI[[#All],[CÓDIGO DE INDICADOR]],[1]!CMI[[#All],[TIPO DE FÓRMULA]])="Tasa de variación",LOOKUP($J31,[1]!CMI[[#All],[CÓDIGO DE INDICADOR]],[1]!CMI[[#All],[EjecuciónAcumulada_9]]),0)))</f>
        <v>0.2</v>
      </c>
      <c r="AR31" s="49">
        <f>LOOKUP($J31,[1]!CMI[[#All],[CÓDIGO DE INDICADOR]],[1]!CMI[[#All],[Programado_10]])</f>
        <v>0.05</v>
      </c>
      <c r="AS31" s="49">
        <f>IF(LOOKUP($J31,[1]!CMI[[#All],[CÓDIGO DE INDICADOR]],[1]!CMI[[#All],[Ejecutado_10]])="-",0,LOOKUP($J31,[1]!CMI[[#All],[CÓDIGO DE INDICADOR]],[1]!CMI[[#All],[Ejecutado_10]]))</f>
        <v>0</v>
      </c>
      <c r="AT31" s="49">
        <f>LOOKUP($J31,[1]!CMI[[#All],[CÓDIGO DE INDICADOR]],[1]!CMI[[#All],[Programado_11]])</f>
        <v>0.05</v>
      </c>
      <c r="AU31" s="50">
        <f>IF(LOOKUP($J31,[1]!CMI[[#All],[CÓDIGO DE INDICADOR]],[1]!CMI[[#All],[Ejecutado_11]])="-",0,LOOKUP($J31,[1]!CMI[[#All],[CÓDIGO DE INDICADOR]],[1]!CMI[[#All],[Ejecutado_11]]))</f>
        <v>0</v>
      </c>
      <c r="AV31" s="50">
        <f>LOOKUP($J31,[1]!CMI[[#All],[CÓDIGO DE INDICADOR]],[1]!CMI[[#All],[Programado_12]])</f>
        <v>0.05</v>
      </c>
      <c r="AW31" s="50">
        <f>IF(LOOKUP($J31,[1]!CMI[[#All],[CÓDIGO DE INDICADOR]],[1]!CMI[[#All],[Ejecutado_12]])="-",0,LOOKUP($J31,[1]!CMI[[#All],[CÓDIGO DE INDICADOR]],[1]!CMI[[#All],[Ejecutado_12]]))</f>
        <v>0</v>
      </c>
      <c r="AX31" s="50">
        <f>LOOKUP($J31,[1]!CMI[[#All],[CÓDIGO DE INDICADOR]],[1]!CMI[[#All],[Programado_13]])</f>
        <v>0.05</v>
      </c>
      <c r="AY31" s="50">
        <f>IF(LOOKUP($J31,[1]!CMI[[#All],[CÓDIGO DE INDICADOR]],[1]!CMI[[#All],[Ejecutado_13]])="-",0,LOOKUP($J31,[1]!CMI[[#All],[CÓDIGO DE INDICADOR]],[1]!CMI[[#All],[Ejecutado_13]]))</f>
        <v>0</v>
      </c>
      <c r="AZ31" s="51">
        <f t="shared" ref="AZ31:AZ46" si="13">IF($K31="Sumatoria",AR31+AT31+AV31+AX31,IF($K31="Constante",$F31,AX31))</f>
        <v>0.2</v>
      </c>
      <c r="BA31" s="51">
        <f>IF(OR(LOOKUP($J31,[1]!CMI[[#All],[CÓDIGO DE INDICADOR]],[1]!CMI[[#All],[TIPO DE FÓRMULA]])="Valor absoluto",LOOKUP($J31,[1]!CMI[[#All],[CÓDIGO DE INDICADOR]],[1]!CMI[[#All],[TIPO DE FÓRMULA]])="Suma"),AS31+AU31+AW31+AY31,IF(OR(LOOKUP($J31,[1]!CMI[[#All],[CÓDIGO DE INDICADOR]],[1]!CMI[[#All],[TIPO DE FÓRMULA]])="Porcentaje",LOOKUP($J31,[1]!CMI[[#All],[CÓDIGO DE INDICADOR]],[1]!CMI[[#All],[TIPO DE FÓRMULA]])="División"),IF(LOOKUP($J31,[1]!CMI[[#All],[CÓDIGO DE INDICADOR]],[1]!CMI[[#All],[Variable2_10]])+LOOKUP($J31,[1]!CMI[[#All],[CÓDIGO DE INDICADOR]],[1]!CMI[[#All],[Variable2_11]])+LOOKUP($J31,[1]!CMI[[#All],[CÓDIGO DE INDICADOR]],[1]!CMI[[#All],[Variable2_12]])+LOOKUP($J31,[1]!CMI[[#All],[CÓDIGO DE INDICADOR]],[1]!CMI[[#All],[Variable2_13]])=0,0,(LOOKUP($J31,[1]!CMI[[#All],[CÓDIGO DE INDICADOR]],[1]!CMI[[#All],[Variable1_10]])+LOOKUP($J31,[1]!CMI[[#All],[CÓDIGO DE INDICADOR]],[1]!CMI[[#All],[Variable1_11]])+LOOKUP($J31,[1]!CMI[[#All],[CÓDIGO DE INDICADOR]],[1]!CMI[[#All],[Variable1_12]])+LOOKUP($J31,[1]!CMI[[#All],[CÓDIGO DE INDICADOR]],[1]!CMI[[#All],[Variable1_13]]))/(LOOKUP($J31,[1]!CMI[[#All],[CÓDIGO DE INDICADOR]],[1]!CMI[[#All],[Variable2_10]])+LOOKUP($J31,[1]!CMI[[#All],[CÓDIGO DE INDICADOR]],[1]!CMI[[#All],[Variable2_11]])+LOOKUP($J31,[1]!CMI[[#All],[CÓDIGO DE INDICADOR]],[1]!CMI[[#All],[Variable2_12]])+LOOKUP($J31,[1]!CMI[[#All],[CÓDIGO DE INDICADOR]],[1]!CMI[[#All],[Variable2_13]]))),IF(LOOKUP($J31,[1]!CMI[[#All],[CÓDIGO DE INDICADOR]],[1]!CMI[[#All],[TIPO DE FÓRMULA]])="Tasa de variación",LOOKUP($J31,[1]!CMI[[#All],[CÓDIGO DE INDICADOR]],[1]!CMI[[#All],[EjecuciónAcumulada_13]]),0)))</f>
        <v>0</v>
      </c>
      <c r="BB31" s="49">
        <f>LOOKUP($J31,[1]!CMI[[#All],[CÓDIGO DE INDICADOR]],[1]!CMI[[#All],[Programado_14]])</f>
        <v>0.05</v>
      </c>
      <c r="BC31" s="49">
        <f>IF(LOOKUP($J31,[1]!CMI[[#All],[CÓDIGO DE INDICADOR]],[1]!CMI[[#All],[Ejecutado_14]])="-",0,LOOKUP($J31,[1]!CMI[[#All],[CÓDIGO DE INDICADOR]],[1]!CMI[[#All],[Ejecutado_14]]))</f>
        <v>0</v>
      </c>
      <c r="BD31" s="49">
        <f>LOOKUP($J31,[1]!CMI[[#All],[CÓDIGO DE INDICADOR]],[1]!CMI[[#All],[Programado_15]])</f>
        <v>0.05</v>
      </c>
      <c r="BE31" s="50">
        <f>IF(LOOKUP($J31,[1]!CMI[[#All],[CÓDIGO DE INDICADOR]],[1]!CMI[[#All],[Ejecutado_15]])="-",0,LOOKUP($J31,[1]!CMI[[#All],[CÓDIGO DE INDICADOR]],[1]!CMI[[#All],[Ejecutado_15]]))</f>
        <v>0</v>
      </c>
      <c r="BF31" s="50">
        <f>LOOKUP($J31,[1]!CMI[[#All],[CÓDIGO DE INDICADOR]],[1]!CMI[[#All],[Programado_16]])</f>
        <v>0</v>
      </c>
      <c r="BG31" s="50">
        <f>IF(LOOKUP($J31,[1]!CMI[[#All],[CÓDIGO DE INDICADOR]],[1]!CMI[[#All],[Ejecutado_16]])="-",0,LOOKUP($J31,[1]!CMI[[#All],[CÓDIGO DE INDICADOR]],[1]!CMI[[#All],[Ejecutado_16]]))</f>
        <v>0</v>
      </c>
      <c r="BH31" s="50">
        <f>LOOKUP($J31,[1]!CMI[[#All],[CÓDIGO DE INDICADOR]],[1]!CMI[[#All],[Programado_17]])</f>
        <v>0</v>
      </c>
      <c r="BI31" s="50">
        <f>IF(LOOKUP($J31,[1]!CMI[[#All],[CÓDIGO DE INDICADOR]],[1]!CMI[[#All],[Ejecutado_17]])="-",0,LOOKUP($J31,[1]!CMI[[#All],[CÓDIGO DE INDICADOR]],[1]!CMI[[#All],[Ejecutado_17]]))</f>
        <v>0</v>
      </c>
      <c r="BJ31" s="51">
        <f t="shared" ref="BJ31:BJ46" si="14">IF($K31="Sumatoria",BB31+BD31+BF31+BH31,IF($K31="Constante",$F31,BH31))</f>
        <v>0.1</v>
      </c>
      <c r="BK31" s="51">
        <f>IF(OR(LOOKUP($J31,[1]!CMI[[#All],[CÓDIGO DE INDICADOR]],[1]!CMI[[#All],[TIPO DE FÓRMULA]])="Valor absoluto",LOOKUP($J31,[1]!CMI[[#All],[CÓDIGO DE INDICADOR]],[1]!CMI[[#All],[TIPO DE FÓRMULA]])="Suma"),BC31+BE31+BG31+BI31,IF(OR(LOOKUP($J31,[1]!CMI[[#All],[CÓDIGO DE INDICADOR]],[1]!CMI[[#All],[TIPO DE FÓRMULA]])="Porcentaje",LOOKUP($J31,[1]!CMI[[#All],[CÓDIGO DE INDICADOR]],[1]!CMI[[#All],[TIPO DE FÓRMULA]])="División"),IF(LOOKUP($J31,[1]!CMI[[#All],[CÓDIGO DE INDICADOR]],[1]!CMI[[#All],[Variable2_14]])+LOOKUP($J31,[1]!CMI[[#All],[CÓDIGO DE INDICADOR]],[1]!CMI[[#All],[Variable2_15]])+LOOKUP($J31,[1]!CMI[[#All],[CÓDIGO DE INDICADOR]],[1]!CMI[[#All],[Variable2_16]])+LOOKUP($J31,[1]!CMI[[#All],[CÓDIGO DE INDICADOR]],[1]!CMI[[#All],[Variable2_17]])=0,0,(LOOKUP($J31,[1]!CMI[[#All],[CÓDIGO DE INDICADOR]],[1]!CMI[[#All],[Variable1_14]])+LOOKUP($J31,[1]!CMI[[#All],[CÓDIGO DE INDICADOR]],[1]!CMI[[#All],[Variable1_15]])+LOOKUP($J31,[1]!CMI[[#All],[CÓDIGO DE INDICADOR]],[1]!CMI[[#All],[Variable1_16]])+LOOKUP($J31,[1]!CMI[[#All],[CÓDIGO DE INDICADOR]],[1]!CMI[[#All],[Variable1_17]]))/(LOOKUP($J31,[1]!CMI[[#All],[CÓDIGO DE INDICADOR]],[1]!CMI[[#All],[Variable2_14]])+LOOKUP($J31,[1]!CMI[[#All],[CÓDIGO DE INDICADOR]],[1]!CMI[[#All],[Variable2_15]])+LOOKUP($J31,[1]!CMI[[#All],[CÓDIGO DE INDICADOR]],[1]!CMI[[#All],[Variable2_16]])+LOOKUP($J31,[1]!CMI[[#All],[CÓDIGO DE INDICADOR]],[1]!CMI[[#All],[Variable2_17]]))),IF(LOOKUP($J31,[1]!CMI[[#All],[CÓDIGO DE INDICADOR]],[1]!CMI[[#All],[TIPO DE FÓRMULA]])="Tasa de variación",LOOKUP($J31,[1]!CMI[[#All],[CÓDIGO DE INDICADOR]],[1]!CMI[[#All],[EjecuciónAcumulada_17]]),0)))</f>
        <v>0</v>
      </c>
      <c r="BL31" s="51">
        <f>IF(YEAR($M31)=2016,LOOKUP($J31,[1]!CMI[[#All],[CÓDIGO DE INDICADOR]],[1]!CMI[[#All],[ProgramadoAcumulado_1]]),IF(AND(YEAR($M31)=2017,MONTH($M31)&lt;=3),LOOKUP($J31,[1]!CMI[[#All],[CÓDIGO DE INDICADOR]],[1]!CMI[[#All],[ProgramadoAcumulado_2]]),IF(AND(YEAR($M31)=2017,MONTH($M31)&lt;=6),LOOKUP($J31,[1]!CMI[[#All],[CÓDIGO DE INDICADOR]],[1]!CMI[[#All],[ProgramadoAcumulado_3]]),IF(AND(YEAR($M31)=2017,MONTH($M31)&lt;=9),LOOKUP($J31,[1]!CMI[[#All],[CÓDIGO DE INDICADOR]],[1]!CMI[[#All],[ProgramadoAcumulado_4]]),IF(AND(YEAR($M31)=2017,MONTH($M31)&lt;=12),LOOKUP($J31,[1]!CMI[[#All],[CÓDIGO DE INDICADOR]],[1]!CMI[[#All],[ProgramadoAcumulado_5]]),IF(AND(YEAR($M31)=2018,MONTH($M31)&lt;=3),LOOKUP($J31,[1]!CMI[[#All],[CÓDIGO DE INDICADOR]],[1]!CMI[[#All],[ProgramadoAcumulado_6]]),IF(AND(YEAR($M31)=2018,MONTH($M31)&lt;=6),LOOKUP($J31,[1]!CMI[[#All],[CÓDIGO DE INDICADOR]],[1]!CMI[[#All],[ProgramadoAcumulado_7]]),IF(AND(YEAR($M31)=2018,MONTH($M31)&lt;=9),LOOKUP($J31,[1]!CMI[[#All],[CÓDIGO DE INDICADOR]],[1]!CMI[[#All],[ProgramadoAcumulado_8]]),IF(AND(YEAR($M31)=2018,MONTH($M31)&lt;=12),LOOKUP($J31,[1]!CMI[[#All],[CÓDIGO DE INDICADOR]],[1]!CMI[[#All],[ProgramadoAcumulado_9]]),IF(AND(YEAR($M31)=2019,MONTH($M31)&lt;=3),LOOKUP($J31,[1]!CMI[[#All],[CÓDIGO DE INDICADOR]],[1]!CMI[[#All],[ProgramadoAcumulado_10]]),IF(AND(YEAR($M31)=2019,MONTH($M31)&lt;=6),LOOKUP($J31,[1]!CMI[[#All],[CÓDIGO DE INDICADOR]],[1]!CMI[[#All],[ProgramadoAcumulado_11]]),IF(AND(YEAR($M31)=2019,MONTH($M31)&lt;=9),LOOKUP($J31,[1]!CMI[[#All],[CÓDIGO DE INDICADOR]],[1]!CMI[[#All],[ProgramadoAcumulado_12]]),IF(AND(YEAR($M31)=2019,MONTH($M31)&lt;=12),LOOKUP($J31,[1]!CMI[[#All],[CÓDIGO DE INDICADOR]],[1]!CMI[[#All],[ProgramadoAcumulado_13]]),IF(AND(YEAR($M31)=2020,MONTH($M31)&lt;=3),LOOKUP($J31,[1]!CMI[[#All],[CÓDIGO DE INDICADOR]],[1]!CMI[[#All],[ProgramadoAcumulado_14]]),IF(AND(YEAR($M31)=2020,MONTH($M31)&lt;=6),LOOKUP($J31,[1]!CMI[[#All],[CÓDIGO DE INDICADOR]],[1]!CMI[[#All],[ProgramadoAcumulado_15]]),IF(AND(YEAR($M31)=2020,MONTH($M31)&lt;=9),LOOKUP($J31,[1]!CMI[[#All],[CÓDIGO DE INDICADOR]],[1]!CMI[[#All],[ProgramadoAcumulado_16]]),IF(AND(YEAR($M31)=2020,MONTH($M31)&lt;=12),LOOKUP($J31,[1]!CMI[[#All],[CÓDIGO DE INDICADOR]],[1]!CMI[[#All],[ProgramadoAcumulado_17]]),"N.A")))))))))))))))))</f>
        <v>0.5</v>
      </c>
      <c r="BM31" s="51">
        <f>IF(YEAR($M31)=2016,LOOKUP($J31,[1]!CMI[[#All],[CÓDIGO DE INDICADOR]],[1]!CMI[[#All],[EjecuciónAcumulada_1]]),IF(AND(YEAR($M31)=2017,MONTH($M31)&lt;=3),LOOKUP($J31,[1]!CMI[[#All],[CÓDIGO DE INDICADOR]],[1]!CMI[[#All],[EjecuciónAcumulada_2]]),IF(AND(YEAR($M31)=2017,MONTH($M31)&lt;=6),LOOKUP($J31,[1]!CMI[[#All],[CÓDIGO DE INDICADOR]],[1]!CMI[[#All],[EjecuciónAcumulada_3]]),IF(AND(YEAR($M31)=2017,MONTH($M31)&lt;=9),LOOKUP($J31,[1]!CMI[[#All],[CÓDIGO DE INDICADOR]],[1]!CMI[[#All],[EjecuciónAcumulada_4]]),IF(AND(YEAR($M31)=2017,MONTH($M31)&lt;=12),LOOKUP($J31,[1]!CMI[[#All],[CÓDIGO DE INDICADOR]],[1]!CMI[[#All],[EjecuciónAcumulada_5]]),IF(AND(YEAR($M31)=2018,MONTH($M31)&lt;=3),LOOKUP($J31,[1]!CMI[[#All],[CÓDIGO DE INDICADOR]],[1]!CMI[[#All],[EjecuciónAcumulada_6]]),IF(AND(YEAR($M31)=2018,MONTH($M31)&lt;=6),LOOKUP($J31,[1]!CMI[[#All],[CÓDIGO DE INDICADOR]],[1]!CMI[[#All],[EjecuciónAcumulada_7]]),IF(AND(YEAR($M31)=2018,MONTH($M31)&lt;=9),LOOKUP($J31,[1]!CMI[[#All],[CÓDIGO DE INDICADOR]],[1]!CMI[[#All],[EjecuciónAcumulada_8]]),IF(AND(YEAR($M31)=2018,MONTH($M31)&lt;=12),LOOKUP($J31,[1]!CMI[[#All],[CÓDIGO DE INDICADOR]],[1]!CMI[[#All],[EjecuciónAcumulada_9]]),IF(AND(YEAR($M31)=2019,MONTH($M31)&lt;=3),LOOKUP($J31,[1]!CMI[[#All],[CÓDIGO DE INDICADOR]],[1]!CMI[[#All],[EjecuciónAcumulada_10]]),IF(AND(YEAR($M31)=2019,MONTH($M31)&lt;=6),LOOKUP($J31,[1]!CMI[[#All],[CÓDIGO DE INDICADOR]],[1]!CMI[[#All],[EjecuciónAcumulada_11]]),IF(AND(YEAR($M31)=2019,MONTH($M31)&lt;=9),LOOKUP($J31,[1]!CMI[[#All],[CÓDIGO DE INDICADOR]],[1]!CMI[[#All],[EjecuciónAcumulada_12]]),IF(AND(YEAR($M31)=2019,MONTH($M31)&lt;=12),LOOKUP($J31,[1]!CMI[[#All],[CÓDIGO DE INDICADOR]],[1]!CMI[[#All],[EjecuciónAcumulada_13]]),IF(AND(YEAR($M31)=2020,MONTH($M31)&lt;=3),LOOKUP($J31,[1]!CMI[[#All],[CÓDIGO DE INDICADOR]],[1]!CMI[[#All],[EjecuciónAcumulada_14]]),IF(AND(YEAR($M31)=2020,MONTH($M31)&lt;=6),LOOKUP($J31,[1]!CMI[[#All],[CÓDIGO DE INDICADOR]],[1]!CMI[[#All],[EjecuciónAcumulada_15]]),IF(AND(YEAR($M31)=2020,MONTH($M31)&lt;=9),LOOKUP($J31,[1]!CMI[[#All],[CÓDIGO DE INDICADOR]],[1]!CMI[[#All],[EjecuciónAcumulada_16]]),IF(AND(YEAR($M31)=2020,MONTH($M31)&lt;=12),LOOKUP($J31,[1]!CMI[[#All],[CÓDIGO DE INDICADOR]],[1]!CMI[[#All],[EjecuciónAcumulada_17]]),"N.A")))))))))))))))))</f>
        <v>0.5</v>
      </c>
      <c r="BN31" s="17">
        <f t="shared" si="7"/>
        <v>1</v>
      </c>
      <c r="BO31" s="51">
        <f t="shared" si="0"/>
        <v>1.0000000000000002</v>
      </c>
      <c r="BP31" s="68">
        <f t="shared" si="8"/>
        <v>0.49999999999999989</v>
      </c>
    </row>
    <row r="32" spans="2:68" ht="183.75" customHeight="1">
      <c r="B32" s="132"/>
      <c r="C32" s="10" t="s">
        <v>144</v>
      </c>
      <c r="D32" s="11" t="str">
        <f>LOOKUP($J32,[1]!CMI[[#All],[CÓDIGO DE INDICADOR]],[1]!CMI[[#All],[NOMBRE DEL INDICADOR]])</f>
        <v>Porcentaje de avance de optimización del sistema de información</v>
      </c>
      <c r="E32" s="11" t="str">
        <f>LOOKUP($J32,[1]!CMI[[#All],[CÓDIGO DE INDICADOR]],[1]!CMI[[#All],[FÓRMULA DE CÁLCULO]])</f>
        <v>Porcentaje de actividades de optimización del sistema de información</v>
      </c>
      <c r="F32" s="49">
        <f>LOOKUP($J32,[1]!CMI[[#All],[CÓDIGO DE INDICADOR]],[1]!CMI[[#All],[VALOR PROGRAMADO TOTAL]])</f>
        <v>1</v>
      </c>
      <c r="G32" s="10" t="s">
        <v>152</v>
      </c>
      <c r="H32" s="10" t="s">
        <v>153</v>
      </c>
      <c r="I32" s="11" t="str">
        <f>LOOKUP($J32,[1]!CMI[[#All],[CÓDIGO DE INDICADOR]],[1]!CMI[[#All],[DEPENDENCIA]])</f>
        <v>Dirección de Tecnologías de la Información y Comunicación DTIC</v>
      </c>
      <c r="J32" s="13" t="s">
        <v>158</v>
      </c>
      <c r="K32" s="11" t="str">
        <f>LOOKUP($J32,[1]!CMI[[#All],[CÓDIGO DE INDICADOR]],[1]!CMI[[#All],[CÁLCULO VALOR PROGRAMADO ACUMULADO]])</f>
        <v>Sumatoria</v>
      </c>
      <c r="L32" s="11" t="str">
        <f>LOOKUP($J32,[1]!CMI[[#All],[CÓDIGO DE INDICADOR]],[1]!CMI[[#All],[TENDENCIA DECRECIENTE]])</f>
        <v>No</v>
      </c>
      <c r="M32" s="14" t="str">
        <f>LOOKUP($J32,[1]!CMI[[#All],[CÓDIGO DE INDICADOR]],[1]!CMI[[#All],[FECHA DE CORTE]])</f>
        <v>30/06/2018</v>
      </c>
      <c r="N32" s="49">
        <v>0</v>
      </c>
      <c r="O32" s="49">
        <v>0</v>
      </c>
      <c r="P32" s="49">
        <v>0</v>
      </c>
      <c r="Q32" s="50">
        <v>0</v>
      </c>
      <c r="R32" s="50">
        <v>0</v>
      </c>
      <c r="S32" s="50">
        <v>0</v>
      </c>
      <c r="T32" s="50">
        <f>LOOKUP($J32,[1]!CMI[[#All],[CÓDIGO DE INDICADOR]],[1]!CMI[[#All],[Programado_1]])</f>
        <v>0</v>
      </c>
      <c r="U32" s="50">
        <f>IF(LOOKUP($J32,[1]!CMI[[#All],[CÓDIGO DE INDICADOR]],[1]!CMI[[#All],[Ejecutado_1]])="-",0,LOOKUP($J32,[1]!CMI[[#All],[CÓDIGO DE INDICADOR]],[1]!CMI[[#All],[Ejecutado_1]]))</f>
        <v>0</v>
      </c>
      <c r="V32" s="51">
        <f t="shared" si="9"/>
        <v>0</v>
      </c>
      <c r="W32" s="51">
        <f t="shared" si="10"/>
        <v>0</v>
      </c>
      <c r="X32" s="49">
        <f>LOOKUP($J32,[1]!CMI[[#All],[CÓDIGO DE INDICADOR]],[1]!CMI[[#All],[Programado_2]])</f>
        <v>0.05</v>
      </c>
      <c r="Y32" s="49">
        <f>IF(LOOKUP($J32,[1]!CMI[[#All],[CÓDIGO DE INDICADOR]],[1]!CMI[[#All],[Ejecutado_2]])="-",0,LOOKUP($J32,[1]!CMI[[#All],[CÓDIGO DE INDICADOR]],[1]!CMI[[#All],[Ejecutado_2]]))</f>
        <v>0.05</v>
      </c>
      <c r="Z32" s="49">
        <f>LOOKUP($J32,[1]!CMI[[#All],[CÓDIGO DE INDICADOR]],[1]!CMI[[#All],[Programado_3]])</f>
        <v>0.05</v>
      </c>
      <c r="AA32" s="50">
        <f>IF(LOOKUP($J32,[1]!CMI[[#All],[CÓDIGO DE INDICADOR]],[1]!CMI[[#All],[Ejecutado_3]])="-",0,LOOKUP($J32,[1]!CMI[[#All],[CÓDIGO DE INDICADOR]],[1]!CMI[[#All],[Ejecutado_3]]))</f>
        <v>0.05</v>
      </c>
      <c r="AB32" s="50">
        <f>LOOKUP($J32,[1]!CMI[[#All],[CÓDIGO DE INDICADOR]],[1]!CMI[[#All],[Programado_4]])</f>
        <v>0.1</v>
      </c>
      <c r="AC32" s="50">
        <f>IF(LOOKUP($J32,[1]!CMI[[#All],[CÓDIGO DE INDICADOR]],[1]!CMI[[#All],[Ejecutado_4]])="-",0,LOOKUP($J32,[1]!CMI[[#All],[CÓDIGO DE INDICADOR]],[1]!CMI[[#All],[Ejecutado_4]]))</f>
        <v>0.1</v>
      </c>
      <c r="AD32" s="50">
        <f>LOOKUP($J32,[1]!CMI[[#All],[CÓDIGO DE INDICADOR]],[1]!CMI[[#All],[Programado_5]])</f>
        <v>0.1</v>
      </c>
      <c r="AE32" s="50">
        <f>IF(LOOKUP($J32,[1]!CMI[[#All],[CÓDIGO DE INDICADOR]],[1]!CMI[[#All],[Ejecutado_5]])="-",0,LOOKUP($J32,[1]!CMI[[#All],[CÓDIGO DE INDICADOR]],[1]!CMI[[#All],[Ejecutado_5]]))</f>
        <v>0.1</v>
      </c>
      <c r="AF32" s="51">
        <f t="shared" si="11"/>
        <v>0.30000000000000004</v>
      </c>
      <c r="AG32" s="51">
        <f>IF(OR(LOOKUP($J32,[1]!CMI[[#All],[CÓDIGO DE INDICADOR]],[1]!CMI[[#All],[TIPO DE FÓRMULA]])="Valor absoluto",LOOKUP($J32,[1]!CMI[[#All],[CÓDIGO DE INDICADOR]],[1]!CMI[[#All],[TIPO DE FÓRMULA]])="Suma"),Y32+AA32+AC32+AE32,IF(OR(LOOKUP($J32,[1]!CMI[[#All],[CÓDIGO DE INDICADOR]],[1]!CMI[[#All],[TIPO DE FÓRMULA]])="Porcentaje",LOOKUP($J32,[1]!CMI[[#All],[CÓDIGO DE INDICADOR]],[1]!CMI[[#All],[TIPO DE FÓRMULA]])="División"),IF(LOOKUP($J32,[1]!CMI[[#All],[CÓDIGO DE INDICADOR]],[1]!CMI[[#All],[Variable2_2]])+LOOKUP($J32,[1]!CMI[[#All],[CÓDIGO DE INDICADOR]],[1]!CMI[[#All],[Variable2_3]])+LOOKUP($J32,[1]!CMI[[#All],[CÓDIGO DE INDICADOR]],[1]!CMI[[#All],[Variable2_4]])+LOOKUP($J32,[1]!CMI[[#All],[CÓDIGO DE INDICADOR]],[1]!CMI[[#All],[Variable2_5]])=0,0,(LOOKUP($J32,[1]!CMI[[#All],[CÓDIGO DE INDICADOR]],[1]!CMI[[#All],[Variable1_2]])+LOOKUP($J32,[1]!CMI[[#All],[CÓDIGO DE INDICADOR]],[1]!CMI[[#All],[Variable1_3]])+LOOKUP($J32,[1]!CMI[[#All],[CÓDIGO DE INDICADOR]],[1]!CMI[[#All],[Variable1_4]])+LOOKUP($J32,[1]!CMI[[#All],[CÓDIGO DE INDICADOR]],[1]!CMI[[#All],[Variable1_5]]))/(LOOKUP($J32,[1]!CMI[[#All],[CÓDIGO DE INDICADOR]],[1]!CMI[[#All],[Variable2_2]])+LOOKUP($J32,[1]!CMI[[#All],[CÓDIGO DE INDICADOR]],[1]!CMI[[#All],[Variable2_3]])+LOOKUP($J32,[1]!CMI[[#All],[CÓDIGO DE INDICADOR]],[1]!CMI[[#All],[Variable2_4]])+LOOKUP($J32,[1]!CMI[[#All],[CÓDIGO DE INDICADOR]],[1]!CMI[[#All],[Variable2_5]]))),IF(LOOKUP($J32,[1]!CMI[[#All],[CÓDIGO DE INDICADOR]],[1]!CMI[[#All],[TIPO DE FÓRMULA]])="Tasa de variación",LOOKUP($J32,[1]!CMI[[#All],[CÓDIGO DE INDICADOR]],[1]!CMI[[#All],[EjecuciónAcumulada_5]]),0)))</f>
        <v>0.30000000000000004</v>
      </c>
      <c r="AH32" s="49">
        <f>LOOKUP($J32,[1]!CMI[[#All],[CÓDIGO DE INDICADOR]],[1]!CMI[[#All],[Programado_6]])</f>
        <v>0.1</v>
      </c>
      <c r="AI32" s="49">
        <f>IF(LOOKUP($J32,[1]!CMI[[#All],[CÓDIGO DE INDICADOR]],[1]!CMI[[#All],[Ejecutado_6]])="-",0,LOOKUP($J32,[1]!CMI[[#All],[CÓDIGO DE INDICADOR]],[1]!CMI[[#All],[Ejecutado_6]]))</f>
        <v>0.1</v>
      </c>
      <c r="AJ32" s="49">
        <f>LOOKUP($J32,[1]!CMI[[#All],[CÓDIGO DE INDICADOR]],[1]!CMI[[#All],[Programado_7]])</f>
        <v>0.1</v>
      </c>
      <c r="AK32" s="50">
        <f>IF(LOOKUP($J32,[1]!CMI[[#All],[CÓDIGO DE INDICADOR]],[1]!CMI[[#All],[Ejecutado_7]])="-",0,LOOKUP($J32,[1]!CMI[[#All],[CÓDIGO DE INDICADOR]],[1]!CMI[[#All],[Ejecutado_7]]))</f>
        <v>0.1</v>
      </c>
      <c r="AL32" s="50">
        <f>LOOKUP($J32,[1]!CMI[[#All],[CÓDIGO DE INDICADOR]],[1]!CMI[[#All],[Programado_8]])</f>
        <v>0.1</v>
      </c>
      <c r="AM32" s="50">
        <f>IF(LOOKUP($J32,[1]!CMI[[#All],[CÓDIGO DE INDICADOR]],[1]!CMI[[#All],[Ejecutado_8]])="-",0,LOOKUP($J32,[1]!CMI[[#All],[CÓDIGO DE INDICADOR]],[1]!CMI[[#All],[Ejecutado_8]]))</f>
        <v>0</v>
      </c>
      <c r="AN32" s="50">
        <f>LOOKUP($J32,[1]!CMI[[#All],[CÓDIGO DE INDICADOR]],[1]!CMI[[#All],[Programado_9]])</f>
        <v>0.1</v>
      </c>
      <c r="AO32" s="50">
        <f>IF(LOOKUP($J32,[1]!CMI[[#All],[CÓDIGO DE INDICADOR]],[1]!CMI[[#All],[Ejecutado_9]])="-",0,LOOKUP($J32,[1]!CMI[[#All],[CÓDIGO DE INDICADOR]],[1]!CMI[[#All],[Ejecutado_9]]))</f>
        <v>0</v>
      </c>
      <c r="AP32" s="51">
        <f t="shared" si="12"/>
        <v>0.4</v>
      </c>
      <c r="AQ32" s="51">
        <f>IF(OR(LOOKUP($J32,[1]!CMI[[#All],[CÓDIGO DE INDICADOR]],[1]!CMI[[#All],[TIPO DE FÓRMULA]])="Valor absoluto",LOOKUP($J32,[1]!CMI[[#All],[CÓDIGO DE INDICADOR]],[1]!CMI[[#All],[TIPO DE FÓRMULA]])="Suma"),AI32+AK32+AM32+AO32,IF(OR(LOOKUP($J32,[1]!CMI[[#All],[CÓDIGO DE INDICADOR]],[1]!CMI[[#All],[TIPO DE FÓRMULA]])="Porcentaje",LOOKUP($J32,[1]!CMI[[#All],[CÓDIGO DE INDICADOR]],[1]!CMI[[#All],[TIPO DE FÓRMULA]])="División"),IF(LOOKUP($J32,[1]!CMI[[#All],[CÓDIGO DE INDICADOR]],[1]!CMI[[#All],[Variable2_6]])+LOOKUP($J32,[1]!CMI[[#All],[CÓDIGO DE INDICADOR]],[1]!CMI[[#All],[Variable2_7]])+LOOKUP($J32,[1]!CMI[[#All],[CÓDIGO DE INDICADOR]],[1]!CMI[[#All],[Variable2_8]])+LOOKUP($J32,[1]!CMI[[#All],[CÓDIGO DE INDICADOR]],[1]!CMI[[#All],[Variable2_9]])=0,0,(LOOKUP($J32,[1]!CMI[[#All],[CÓDIGO DE INDICADOR]],[1]!CMI[[#All],[Variable1_6]])+LOOKUP($J32,[1]!CMI[[#All],[CÓDIGO DE INDICADOR]],[1]!CMI[[#All],[Variable1_7]])+LOOKUP($J32,[1]!CMI[[#All],[CÓDIGO DE INDICADOR]],[1]!CMI[[#All],[Variable1_8]])+LOOKUP($J32,[1]!CMI[[#All],[CÓDIGO DE INDICADOR]],[1]!CMI[[#All],[Variable1_9]]))/(LOOKUP($J32,[1]!CMI[[#All],[CÓDIGO DE INDICADOR]],[1]!CMI[[#All],[Variable2_6]])+LOOKUP($J32,[1]!CMI[[#All],[CÓDIGO DE INDICADOR]],[1]!CMI[[#All],[Variable2_7]])+LOOKUP($J32,[1]!CMI[[#All],[CÓDIGO DE INDICADOR]],[1]!CMI[[#All],[Variable2_8]])+LOOKUP($J32,[1]!CMI[[#All],[CÓDIGO DE INDICADOR]],[1]!CMI[[#All],[Variable2_9]]))),IF(LOOKUP($J32,[1]!CMI[[#All],[CÓDIGO DE INDICADOR]],[1]!CMI[[#All],[TIPO DE FÓRMULA]])="Tasa de variación",LOOKUP($J32,[1]!CMI[[#All],[CÓDIGO DE INDICADOR]],[1]!CMI[[#All],[EjecuciónAcumulada_9]]),0)))</f>
        <v>0.2</v>
      </c>
      <c r="AR32" s="49">
        <f>LOOKUP($J32,[1]!CMI[[#All],[CÓDIGO DE INDICADOR]],[1]!CMI[[#All],[Programado_10]])</f>
        <v>0.05</v>
      </c>
      <c r="AS32" s="49">
        <f>IF(LOOKUP($J32,[1]!CMI[[#All],[CÓDIGO DE INDICADOR]],[1]!CMI[[#All],[Ejecutado_10]])="-",0,LOOKUP($J32,[1]!CMI[[#All],[CÓDIGO DE INDICADOR]],[1]!CMI[[#All],[Ejecutado_10]]))</f>
        <v>0</v>
      </c>
      <c r="AT32" s="49">
        <f>LOOKUP($J32,[1]!CMI[[#All],[CÓDIGO DE INDICADOR]],[1]!CMI[[#All],[Programado_11]])</f>
        <v>0.05</v>
      </c>
      <c r="AU32" s="50">
        <f>IF(LOOKUP($J32,[1]!CMI[[#All],[CÓDIGO DE INDICADOR]],[1]!CMI[[#All],[Ejecutado_11]])="-",0,LOOKUP($J32,[1]!CMI[[#All],[CÓDIGO DE INDICADOR]],[1]!CMI[[#All],[Ejecutado_11]]))</f>
        <v>0</v>
      </c>
      <c r="AV32" s="50">
        <f>LOOKUP($J32,[1]!CMI[[#All],[CÓDIGO DE INDICADOR]],[1]!CMI[[#All],[Programado_12]])</f>
        <v>0.05</v>
      </c>
      <c r="AW32" s="50">
        <f>IF(LOOKUP($J32,[1]!CMI[[#All],[CÓDIGO DE INDICADOR]],[1]!CMI[[#All],[Ejecutado_12]])="-",0,LOOKUP($J32,[1]!CMI[[#All],[CÓDIGO DE INDICADOR]],[1]!CMI[[#All],[Ejecutado_12]]))</f>
        <v>0</v>
      </c>
      <c r="AX32" s="50">
        <f>LOOKUP($J32,[1]!CMI[[#All],[CÓDIGO DE INDICADOR]],[1]!CMI[[#All],[Programado_13]])</f>
        <v>0.05</v>
      </c>
      <c r="AY32" s="50">
        <f>IF(LOOKUP($J32,[1]!CMI[[#All],[CÓDIGO DE INDICADOR]],[1]!CMI[[#All],[Ejecutado_13]])="-",0,LOOKUP($J32,[1]!CMI[[#All],[CÓDIGO DE INDICADOR]],[1]!CMI[[#All],[Ejecutado_13]]))</f>
        <v>0</v>
      </c>
      <c r="AZ32" s="51">
        <f t="shared" si="13"/>
        <v>0.2</v>
      </c>
      <c r="BA32" s="51">
        <f>IF(OR(LOOKUP($J32,[1]!CMI[[#All],[CÓDIGO DE INDICADOR]],[1]!CMI[[#All],[TIPO DE FÓRMULA]])="Valor absoluto",LOOKUP($J32,[1]!CMI[[#All],[CÓDIGO DE INDICADOR]],[1]!CMI[[#All],[TIPO DE FÓRMULA]])="Suma"),AS32+AU32+AW32+AY32,IF(OR(LOOKUP($J32,[1]!CMI[[#All],[CÓDIGO DE INDICADOR]],[1]!CMI[[#All],[TIPO DE FÓRMULA]])="Porcentaje",LOOKUP($J32,[1]!CMI[[#All],[CÓDIGO DE INDICADOR]],[1]!CMI[[#All],[TIPO DE FÓRMULA]])="División"),IF(LOOKUP($J32,[1]!CMI[[#All],[CÓDIGO DE INDICADOR]],[1]!CMI[[#All],[Variable2_10]])+LOOKUP($J32,[1]!CMI[[#All],[CÓDIGO DE INDICADOR]],[1]!CMI[[#All],[Variable2_11]])+LOOKUP($J32,[1]!CMI[[#All],[CÓDIGO DE INDICADOR]],[1]!CMI[[#All],[Variable2_12]])+LOOKUP($J32,[1]!CMI[[#All],[CÓDIGO DE INDICADOR]],[1]!CMI[[#All],[Variable2_13]])=0,0,(LOOKUP($J32,[1]!CMI[[#All],[CÓDIGO DE INDICADOR]],[1]!CMI[[#All],[Variable1_10]])+LOOKUP($J32,[1]!CMI[[#All],[CÓDIGO DE INDICADOR]],[1]!CMI[[#All],[Variable1_11]])+LOOKUP($J32,[1]!CMI[[#All],[CÓDIGO DE INDICADOR]],[1]!CMI[[#All],[Variable1_12]])+LOOKUP($J32,[1]!CMI[[#All],[CÓDIGO DE INDICADOR]],[1]!CMI[[#All],[Variable1_13]]))/(LOOKUP($J32,[1]!CMI[[#All],[CÓDIGO DE INDICADOR]],[1]!CMI[[#All],[Variable2_10]])+LOOKUP($J32,[1]!CMI[[#All],[CÓDIGO DE INDICADOR]],[1]!CMI[[#All],[Variable2_11]])+LOOKUP($J32,[1]!CMI[[#All],[CÓDIGO DE INDICADOR]],[1]!CMI[[#All],[Variable2_12]])+LOOKUP($J32,[1]!CMI[[#All],[CÓDIGO DE INDICADOR]],[1]!CMI[[#All],[Variable2_13]]))),IF(LOOKUP($J32,[1]!CMI[[#All],[CÓDIGO DE INDICADOR]],[1]!CMI[[#All],[TIPO DE FÓRMULA]])="Tasa de variación",LOOKUP($J32,[1]!CMI[[#All],[CÓDIGO DE INDICADOR]],[1]!CMI[[#All],[EjecuciónAcumulada_13]]),0)))</f>
        <v>0</v>
      </c>
      <c r="BB32" s="49">
        <f>LOOKUP($J32,[1]!CMI[[#All],[CÓDIGO DE INDICADOR]],[1]!CMI[[#All],[Programado_14]])</f>
        <v>0.05</v>
      </c>
      <c r="BC32" s="49">
        <f>IF(LOOKUP($J32,[1]!CMI[[#All],[CÓDIGO DE INDICADOR]],[1]!CMI[[#All],[Ejecutado_14]])="-",0,LOOKUP($J32,[1]!CMI[[#All],[CÓDIGO DE INDICADOR]],[1]!CMI[[#All],[Ejecutado_14]]))</f>
        <v>0</v>
      </c>
      <c r="BD32" s="49">
        <f>LOOKUP($J32,[1]!CMI[[#All],[CÓDIGO DE INDICADOR]],[1]!CMI[[#All],[Programado_15]])</f>
        <v>0.05</v>
      </c>
      <c r="BE32" s="50">
        <f>IF(LOOKUP($J32,[1]!CMI[[#All],[CÓDIGO DE INDICADOR]],[1]!CMI[[#All],[Ejecutado_15]])="-",0,LOOKUP($J32,[1]!CMI[[#All],[CÓDIGO DE INDICADOR]],[1]!CMI[[#All],[Ejecutado_15]]))</f>
        <v>0</v>
      </c>
      <c r="BF32" s="50">
        <f>LOOKUP($J32,[1]!CMI[[#All],[CÓDIGO DE INDICADOR]],[1]!CMI[[#All],[Programado_16]])</f>
        <v>0</v>
      </c>
      <c r="BG32" s="50">
        <f>IF(LOOKUP($J32,[1]!CMI[[#All],[CÓDIGO DE INDICADOR]],[1]!CMI[[#All],[Ejecutado_16]])="-",0,LOOKUP($J32,[1]!CMI[[#All],[CÓDIGO DE INDICADOR]],[1]!CMI[[#All],[Ejecutado_16]]))</f>
        <v>0</v>
      </c>
      <c r="BH32" s="50">
        <f>LOOKUP($J32,[1]!CMI[[#All],[CÓDIGO DE INDICADOR]],[1]!CMI[[#All],[Programado_17]])</f>
        <v>0</v>
      </c>
      <c r="BI32" s="50">
        <f>IF(LOOKUP($J32,[1]!CMI[[#All],[CÓDIGO DE INDICADOR]],[1]!CMI[[#All],[Ejecutado_17]])="-",0,LOOKUP($J32,[1]!CMI[[#All],[CÓDIGO DE INDICADOR]],[1]!CMI[[#All],[Ejecutado_17]]))</f>
        <v>0</v>
      </c>
      <c r="BJ32" s="51">
        <f t="shared" si="14"/>
        <v>0.1</v>
      </c>
      <c r="BK32" s="51">
        <f>IF(OR(LOOKUP($J32,[1]!CMI[[#All],[CÓDIGO DE INDICADOR]],[1]!CMI[[#All],[TIPO DE FÓRMULA]])="Valor absoluto",LOOKUP($J32,[1]!CMI[[#All],[CÓDIGO DE INDICADOR]],[1]!CMI[[#All],[TIPO DE FÓRMULA]])="Suma"),BC32+BE32+BG32+BI32,IF(OR(LOOKUP($J32,[1]!CMI[[#All],[CÓDIGO DE INDICADOR]],[1]!CMI[[#All],[TIPO DE FÓRMULA]])="Porcentaje",LOOKUP($J32,[1]!CMI[[#All],[CÓDIGO DE INDICADOR]],[1]!CMI[[#All],[TIPO DE FÓRMULA]])="División"),IF(LOOKUP($J32,[1]!CMI[[#All],[CÓDIGO DE INDICADOR]],[1]!CMI[[#All],[Variable2_14]])+LOOKUP($J32,[1]!CMI[[#All],[CÓDIGO DE INDICADOR]],[1]!CMI[[#All],[Variable2_15]])+LOOKUP($J32,[1]!CMI[[#All],[CÓDIGO DE INDICADOR]],[1]!CMI[[#All],[Variable2_16]])+LOOKUP($J32,[1]!CMI[[#All],[CÓDIGO DE INDICADOR]],[1]!CMI[[#All],[Variable2_17]])=0,0,(LOOKUP($J32,[1]!CMI[[#All],[CÓDIGO DE INDICADOR]],[1]!CMI[[#All],[Variable1_14]])+LOOKUP($J32,[1]!CMI[[#All],[CÓDIGO DE INDICADOR]],[1]!CMI[[#All],[Variable1_15]])+LOOKUP($J32,[1]!CMI[[#All],[CÓDIGO DE INDICADOR]],[1]!CMI[[#All],[Variable1_16]])+LOOKUP($J32,[1]!CMI[[#All],[CÓDIGO DE INDICADOR]],[1]!CMI[[#All],[Variable1_17]]))/(LOOKUP($J32,[1]!CMI[[#All],[CÓDIGO DE INDICADOR]],[1]!CMI[[#All],[Variable2_14]])+LOOKUP($J32,[1]!CMI[[#All],[CÓDIGO DE INDICADOR]],[1]!CMI[[#All],[Variable2_15]])+LOOKUP($J32,[1]!CMI[[#All],[CÓDIGO DE INDICADOR]],[1]!CMI[[#All],[Variable2_16]])+LOOKUP($J32,[1]!CMI[[#All],[CÓDIGO DE INDICADOR]],[1]!CMI[[#All],[Variable2_17]]))),IF(LOOKUP($J32,[1]!CMI[[#All],[CÓDIGO DE INDICADOR]],[1]!CMI[[#All],[TIPO DE FÓRMULA]])="Tasa de variación",LOOKUP($J32,[1]!CMI[[#All],[CÓDIGO DE INDICADOR]],[1]!CMI[[#All],[EjecuciónAcumulada_17]]),0)))</f>
        <v>0</v>
      </c>
      <c r="BL32" s="51">
        <f>IF(YEAR($M32)=2016,LOOKUP($J32,[1]!CMI[[#All],[CÓDIGO DE INDICADOR]],[1]!CMI[[#All],[ProgramadoAcumulado_1]]),IF(AND(YEAR($M32)=2017,MONTH($M32)&lt;=3),LOOKUP($J32,[1]!CMI[[#All],[CÓDIGO DE INDICADOR]],[1]!CMI[[#All],[ProgramadoAcumulado_2]]),IF(AND(YEAR($M32)=2017,MONTH($M32)&lt;=6),LOOKUP($J32,[1]!CMI[[#All],[CÓDIGO DE INDICADOR]],[1]!CMI[[#All],[ProgramadoAcumulado_3]]),IF(AND(YEAR($M32)=2017,MONTH($M32)&lt;=9),LOOKUP($J32,[1]!CMI[[#All],[CÓDIGO DE INDICADOR]],[1]!CMI[[#All],[ProgramadoAcumulado_4]]),IF(AND(YEAR($M32)=2017,MONTH($M32)&lt;=12),LOOKUP($J32,[1]!CMI[[#All],[CÓDIGO DE INDICADOR]],[1]!CMI[[#All],[ProgramadoAcumulado_5]]),IF(AND(YEAR($M32)=2018,MONTH($M32)&lt;=3),LOOKUP($J32,[1]!CMI[[#All],[CÓDIGO DE INDICADOR]],[1]!CMI[[#All],[ProgramadoAcumulado_6]]),IF(AND(YEAR($M32)=2018,MONTH($M32)&lt;=6),LOOKUP($J32,[1]!CMI[[#All],[CÓDIGO DE INDICADOR]],[1]!CMI[[#All],[ProgramadoAcumulado_7]]),IF(AND(YEAR($M32)=2018,MONTH($M32)&lt;=9),LOOKUP($J32,[1]!CMI[[#All],[CÓDIGO DE INDICADOR]],[1]!CMI[[#All],[ProgramadoAcumulado_8]]),IF(AND(YEAR($M32)=2018,MONTH($M32)&lt;=12),LOOKUP($J32,[1]!CMI[[#All],[CÓDIGO DE INDICADOR]],[1]!CMI[[#All],[ProgramadoAcumulado_9]]),IF(AND(YEAR($M32)=2019,MONTH($M32)&lt;=3),LOOKUP($J32,[1]!CMI[[#All],[CÓDIGO DE INDICADOR]],[1]!CMI[[#All],[ProgramadoAcumulado_10]]),IF(AND(YEAR($M32)=2019,MONTH($M32)&lt;=6),LOOKUP($J32,[1]!CMI[[#All],[CÓDIGO DE INDICADOR]],[1]!CMI[[#All],[ProgramadoAcumulado_11]]),IF(AND(YEAR($M32)=2019,MONTH($M32)&lt;=9),LOOKUP($J32,[1]!CMI[[#All],[CÓDIGO DE INDICADOR]],[1]!CMI[[#All],[ProgramadoAcumulado_12]]),IF(AND(YEAR($M32)=2019,MONTH($M32)&lt;=12),LOOKUP($J32,[1]!CMI[[#All],[CÓDIGO DE INDICADOR]],[1]!CMI[[#All],[ProgramadoAcumulado_13]]),IF(AND(YEAR($M32)=2020,MONTH($M32)&lt;=3),LOOKUP($J32,[1]!CMI[[#All],[CÓDIGO DE INDICADOR]],[1]!CMI[[#All],[ProgramadoAcumulado_14]]),IF(AND(YEAR($M32)=2020,MONTH($M32)&lt;=6),LOOKUP($J32,[1]!CMI[[#All],[CÓDIGO DE INDICADOR]],[1]!CMI[[#All],[ProgramadoAcumulado_15]]),IF(AND(YEAR($M32)=2020,MONTH($M32)&lt;=9),LOOKUP($J32,[1]!CMI[[#All],[CÓDIGO DE INDICADOR]],[1]!CMI[[#All],[ProgramadoAcumulado_16]]),IF(AND(YEAR($M32)=2020,MONTH($M32)&lt;=12),LOOKUP($J32,[1]!CMI[[#All],[CÓDIGO DE INDICADOR]],[1]!CMI[[#All],[ProgramadoAcumulado_17]]),"N.A")))))))))))))))))</f>
        <v>0.5</v>
      </c>
      <c r="BM32" s="51">
        <f>IF(YEAR($M32)=2016,LOOKUP($J32,[1]!CMI[[#All],[CÓDIGO DE INDICADOR]],[1]!CMI[[#All],[EjecuciónAcumulada_1]]),IF(AND(YEAR($M32)=2017,MONTH($M32)&lt;=3),LOOKUP($J32,[1]!CMI[[#All],[CÓDIGO DE INDICADOR]],[1]!CMI[[#All],[EjecuciónAcumulada_2]]),IF(AND(YEAR($M32)=2017,MONTH($M32)&lt;=6),LOOKUP($J32,[1]!CMI[[#All],[CÓDIGO DE INDICADOR]],[1]!CMI[[#All],[EjecuciónAcumulada_3]]),IF(AND(YEAR($M32)=2017,MONTH($M32)&lt;=9),LOOKUP($J32,[1]!CMI[[#All],[CÓDIGO DE INDICADOR]],[1]!CMI[[#All],[EjecuciónAcumulada_4]]),IF(AND(YEAR($M32)=2017,MONTH($M32)&lt;=12),LOOKUP($J32,[1]!CMI[[#All],[CÓDIGO DE INDICADOR]],[1]!CMI[[#All],[EjecuciónAcumulada_5]]),IF(AND(YEAR($M32)=2018,MONTH($M32)&lt;=3),LOOKUP($J32,[1]!CMI[[#All],[CÓDIGO DE INDICADOR]],[1]!CMI[[#All],[EjecuciónAcumulada_6]]),IF(AND(YEAR($M32)=2018,MONTH($M32)&lt;=6),LOOKUP($J32,[1]!CMI[[#All],[CÓDIGO DE INDICADOR]],[1]!CMI[[#All],[EjecuciónAcumulada_7]]),IF(AND(YEAR($M32)=2018,MONTH($M32)&lt;=9),LOOKUP($J32,[1]!CMI[[#All],[CÓDIGO DE INDICADOR]],[1]!CMI[[#All],[EjecuciónAcumulada_8]]),IF(AND(YEAR($M32)=2018,MONTH($M32)&lt;=12),LOOKUP($J32,[1]!CMI[[#All],[CÓDIGO DE INDICADOR]],[1]!CMI[[#All],[EjecuciónAcumulada_9]]),IF(AND(YEAR($M32)=2019,MONTH($M32)&lt;=3),LOOKUP($J32,[1]!CMI[[#All],[CÓDIGO DE INDICADOR]],[1]!CMI[[#All],[EjecuciónAcumulada_10]]),IF(AND(YEAR($M32)=2019,MONTH($M32)&lt;=6),LOOKUP($J32,[1]!CMI[[#All],[CÓDIGO DE INDICADOR]],[1]!CMI[[#All],[EjecuciónAcumulada_11]]),IF(AND(YEAR($M32)=2019,MONTH($M32)&lt;=9),LOOKUP($J32,[1]!CMI[[#All],[CÓDIGO DE INDICADOR]],[1]!CMI[[#All],[EjecuciónAcumulada_12]]),IF(AND(YEAR($M32)=2019,MONTH($M32)&lt;=12),LOOKUP($J32,[1]!CMI[[#All],[CÓDIGO DE INDICADOR]],[1]!CMI[[#All],[EjecuciónAcumulada_13]]),IF(AND(YEAR($M32)=2020,MONTH($M32)&lt;=3),LOOKUP($J32,[1]!CMI[[#All],[CÓDIGO DE INDICADOR]],[1]!CMI[[#All],[EjecuciónAcumulada_14]]),IF(AND(YEAR($M32)=2020,MONTH($M32)&lt;=6),LOOKUP($J32,[1]!CMI[[#All],[CÓDIGO DE INDICADOR]],[1]!CMI[[#All],[EjecuciónAcumulada_15]]),IF(AND(YEAR($M32)=2020,MONTH($M32)&lt;=9),LOOKUP($J32,[1]!CMI[[#All],[CÓDIGO DE INDICADOR]],[1]!CMI[[#All],[EjecuciónAcumulada_16]]),IF(AND(YEAR($M32)=2020,MONTH($M32)&lt;=12),LOOKUP($J32,[1]!CMI[[#All],[CÓDIGO DE INDICADOR]],[1]!CMI[[#All],[EjecuciónAcumulada_17]]),"N.A")))))))))))))))))</f>
        <v>0.5</v>
      </c>
      <c r="BN32" s="17">
        <f t="shared" si="7"/>
        <v>1</v>
      </c>
      <c r="BO32" s="51">
        <f t="shared" si="0"/>
        <v>1.0000000000000002</v>
      </c>
      <c r="BP32" s="68">
        <f t="shared" si="8"/>
        <v>0.49999999999999989</v>
      </c>
    </row>
    <row r="33" spans="2:68" ht="140.25" customHeight="1">
      <c r="B33" s="132"/>
      <c r="C33" s="10" t="s">
        <v>145</v>
      </c>
      <c r="D33" s="11" t="str">
        <f>LOOKUP($J33,[1]!CMI[[#All],[CÓDIGO DE INDICADOR]],[1]!CMI[[#All],[NOMBRE DEL INDICADOR]])</f>
        <v>Porcentaje de actividades del fortalecimiento de los canales tecnológicos de comunicación</v>
      </c>
      <c r="E33" s="11" t="str">
        <f>LOOKUP($J33,[1]!CMI[[#All],[CÓDIGO DE INDICADOR]],[1]!CMI[[#All],[FÓRMULA DE CÁLCULO]])</f>
        <v/>
      </c>
      <c r="F33" s="49">
        <f>LOOKUP($J33,[1]!CMI[[#All],[CÓDIGO DE INDICADOR]],[1]!CMI[[#All],[VALOR PROGRAMADO TOTAL]])</f>
        <v>1</v>
      </c>
      <c r="G33" s="10" t="s">
        <v>154</v>
      </c>
      <c r="H33" s="10" t="s">
        <v>155</v>
      </c>
      <c r="I33" s="11" t="str">
        <f>LOOKUP($J33,[1]!CMI[[#All],[CÓDIGO DE INDICADOR]],[1]!CMI[[#All],[DEPENDENCIA]])</f>
        <v>Dirección de Tecnologías de la Información y Comunicación DTIC</v>
      </c>
      <c r="J33" s="13" t="s">
        <v>157</v>
      </c>
      <c r="K33" s="11" t="str">
        <f>LOOKUP($J33,[1]!CMI[[#All],[CÓDIGO DE INDICADOR]],[1]!CMI[[#All],[CÁLCULO VALOR PROGRAMADO ACUMULADO]])</f>
        <v>Sumatoria</v>
      </c>
      <c r="L33" s="11" t="str">
        <f>LOOKUP($J33,[1]!CMI[[#All],[CÓDIGO DE INDICADOR]],[1]!CMI[[#All],[TENDENCIA DECRECIENTE]])</f>
        <v>No</v>
      </c>
      <c r="M33" s="14" t="str">
        <f>LOOKUP($J33,[1]!CMI[[#All],[CÓDIGO DE INDICADOR]],[1]!CMI[[#All],[FECHA DE CORTE]])</f>
        <v>30/06/2018</v>
      </c>
      <c r="N33" s="49">
        <v>0</v>
      </c>
      <c r="O33" s="49">
        <v>0</v>
      </c>
      <c r="P33" s="49">
        <v>0</v>
      </c>
      <c r="Q33" s="50">
        <v>0</v>
      </c>
      <c r="R33" s="50">
        <v>0</v>
      </c>
      <c r="S33" s="50">
        <v>0</v>
      </c>
      <c r="T33" s="50">
        <f>LOOKUP($J33,[1]!CMI[[#All],[CÓDIGO DE INDICADOR]],[1]!CMI[[#All],[Programado_1]])</f>
        <v>0</v>
      </c>
      <c r="U33" s="50">
        <f>IF(LOOKUP($J33,[1]!CMI[[#All],[CÓDIGO DE INDICADOR]],[1]!CMI[[#All],[Ejecutado_1]])="-",0,LOOKUP($J33,[1]!CMI[[#All],[CÓDIGO DE INDICADOR]],[1]!CMI[[#All],[Ejecutado_1]]))</f>
        <v>0</v>
      </c>
      <c r="V33" s="51">
        <f t="shared" si="9"/>
        <v>0</v>
      </c>
      <c r="W33" s="51">
        <f t="shared" si="10"/>
        <v>0</v>
      </c>
      <c r="X33" s="49">
        <f>LOOKUP($J33,[1]!CMI[[#All],[CÓDIGO DE INDICADOR]],[1]!CMI[[#All],[Programado_2]])</f>
        <v>0.05</v>
      </c>
      <c r="Y33" s="49">
        <f>IF(LOOKUP($J33,[1]!CMI[[#All],[CÓDIGO DE INDICADOR]],[1]!CMI[[#All],[Ejecutado_2]])="-",0,LOOKUP($J33,[1]!CMI[[#All],[CÓDIGO DE INDICADOR]],[1]!CMI[[#All],[Ejecutado_2]]))</f>
        <v>0.05</v>
      </c>
      <c r="Z33" s="49">
        <f>LOOKUP($J33,[1]!CMI[[#All],[CÓDIGO DE INDICADOR]],[1]!CMI[[#All],[Programado_3]])</f>
        <v>0.05</v>
      </c>
      <c r="AA33" s="50">
        <f>IF(LOOKUP($J33,[1]!CMI[[#All],[CÓDIGO DE INDICADOR]],[1]!CMI[[#All],[Ejecutado_3]])="-",0,LOOKUP($J33,[1]!CMI[[#All],[CÓDIGO DE INDICADOR]],[1]!CMI[[#All],[Ejecutado_3]]))</f>
        <v>0.05</v>
      </c>
      <c r="AB33" s="50">
        <f>LOOKUP($J33,[1]!CMI[[#All],[CÓDIGO DE INDICADOR]],[1]!CMI[[#All],[Programado_4]])</f>
        <v>0.1</v>
      </c>
      <c r="AC33" s="50">
        <f>IF(LOOKUP($J33,[1]!CMI[[#All],[CÓDIGO DE INDICADOR]],[1]!CMI[[#All],[Ejecutado_4]])="-",0,LOOKUP($J33,[1]!CMI[[#All],[CÓDIGO DE INDICADOR]],[1]!CMI[[#All],[Ejecutado_4]]))</f>
        <v>0.1</v>
      </c>
      <c r="AD33" s="50">
        <f>LOOKUP($J33,[1]!CMI[[#All],[CÓDIGO DE INDICADOR]],[1]!CMI[[#All],[Programado_5]])</f>
        <v>0.1</v>
      </c>
      <c r="AE33" s="50">
        <f>IF(LOOKUP($J33,[1]!CMI[[#All],[CÓDIGO DE INDICADOR]],[1]!CMI[[#All],[Ejecutado_5]])="-",0,LOOKUP($J33,[1]!CMI[[#All],[CÓDIGO DE INDICADOR]],[1]!CMI[[#All],[Ejecutado_5]]))</f>
        <v>0.1</v>
      </c>
      <c r="AF33" s="51">
        <f t="shared" si="11"/>
        <v>0.30000000000000004</v>
      </c>
      <c r="AG33" s="51">
        <f>IF(OR(LOOKUP($J33,[1]!CMI[[#All],[CÓDIGO DE INDICADOR]],[1]!CMI[[#All],[TIPO DE FÓRMULA]])="Valor absoluto",LOOKUP($J33,[1]!CMI[[#All],[CÓDIGO DE INDICADOR]],[1]!CMI[[#All],[TIPO DE FÓRMULA]])="Suma"),Y33+AA33+AC33+AE33,IF(OR(LOOKUP($J33,[1]!CMI[[#All],[CÓDIGO DE INDICADOR]],[1]!CMI[[#All],[TIPO DE FÓRMULA]])="Porcentaje",LOOKUP($J33,[1]!CMI[[#All],[CÓDIGO DE INDICADOR]],[1]!CMI[[#All],[TIPO DE FÓRMULA]])="División"),IF(LOOKUP($J33,[1]!CMI[[#All],[CÓDIGO DE INDICADOR]],[1]!CMI[[#All],[Variable2_2]])+LOOKUP($J33,[1]!CMI[[#All],[CÓDIGO DE INDICADOR]],[1]!CMI[[#All],[Variable2_3]])+LOOKUP($J33,[1]!CMI[[#All],[CÓDIGO DE INDICADOR]],[1]!CMI[[#All],[Variable2_4]])+LOOKUP($J33,[1]!CMI[[#All],[CÓDIGO DE INDICADOR]],[1]!CMI[[#All],[Variable2_5]])=0,0,(LOOKUP($J33,[1]!CMI[[#All],[CÓDIGO DE INDICADOR]],[1]!CMI[[#All],[Variable1_2]])+LOOKUP($J33,[1]!CMI[[#All],[CÓDIGO DE INDICADOR]],[1]!CMI[[#All],[Variable1_3]])+LOOKUP($J33,[1]!CMI[[#All],[CÓDIGO DE INDICADOR]],[1]!CMI[[#All],[Variable1_4]])+LOOKUP($J33,[1]!CMI[[#All],[CÓDIGO DE INDICADOR]],[1]!CMI[[#All],[Variable1_5]]))/(LOOKUP($J33,[1]!CMI[[#All],[CÓDIGO DE INDICADOR]],[1]!CMI[[#All],[Variable2_2]])+LOOKUP($J33,[1]!CMI[[#All],[CÓDIGO DE INDICADOR]],[1]!CMI[[#All],[Variable2_3]])+LOOKUP($J33,[1]!CMI[[#All],[CÓDIGO DE INDICADOR]],[1]!CMI[[#All],[Variable2_4]])+LOOKUP($J33,[1]!CMI[[#All],[CÓDIGO DE INDICADOR]],[1]!CMI[[#All],[Variable2_5]]))),IF(LOOKUP($J33,[1]!CMI[[#All],[CÓDIGO DE INDICADOR]],[1]!CMI[[#All],[TIPO DE FÓRMULA]])="Tasa de variación",LOOKUP($J33,[1]!CMI[[#All],[CÓDIGO DE INDICADOR]],[1]!CMI[[#All],[EjecuciónAcumulada_5]]),0)))</f>
        <v>0.30000000000000004</v>
      </c>
      <c r="AH33" s="49">
        <f>LOOKUP($J33,[1]!CMI[[#All],[CÓDIGO DE INDICADOR]],[1]!CMI[[#All],[Programado_6]])</f>
        <v>0.1</v>
      </c>
      <c r="AI33" s="49">
        <f>IF(LOOKUP($J33,[1]!CMI[[#All],[CÓDIGO DE INDICADOR]],[1]!CMI[[#All],[Ejecutado_6]])="-",0,LOOKUP($J33,[1]!CMI[[#All],[CÓDIGO DE INDICADOR]],[1]!CMI[[#All],[Ejecutado_6]]))</f>
        <v>0.1</v>
      </c>
      <c r="AJ33" s="49">
        <f>LOOKUP($J33,[1]!CMI[[#All],[CÓDIGO DE INDICADOR]],[1]!CMI[[#All],[Programado_7]])</f>
        <v>0.1</v>
      </c>
      <c r="AK33" s="50">
        <f>IF(LOOKUP($J33,[1]!CMI[[#All],[CÓDIGO DE INDICADOR]],[1]!CMI[[#All],[Ejecutado_7]])="-",0,LOOKUP($J33,[1]!CMI[[#All],[CÓDIGO DE INDICADOR]],[1]!CMI[[#All],[Ejecutado_7]]))</f>
        <v>0.1</v>
      </c>
      <c r="AL33" s="50">
        <f>LOOKUP($J33,[1]!CMI[[#All],[CÓDIGO DE INDICADOR]],[1]!CMI[[#All],[Programado_8]])</f>
        <v>0.1</v>
      </c>
      <c r="AM33" s="50">
        <f>IF(LOOKUP($J33,[1]!CMI[[#All],[CÓDIGO DE INDICADOR]],[1]!CMI[[#All],[Ejecutado_8]])="-",0,LOOKUP($J33,[1]!CMI[[#All],[CÓDIGO DE INDICADOR]],[1]!CMI[[#All],[Ejecutado_8]]))</f>
        <v>0</v>
      </c>
      <c r="AN33" s="50">
        <f>LOOKUP($J33,[1]!CMI[[#All],[CÓDIGO DE INDICADOR]],[1]!CMI[[#All],[Programado_9]])</f>
        <v>0.1</v>
      </c>
      <c r="AO33" s="50">
        <f>IF(LOOKUP($J33,[1]!CMI[[#All],[CÓDIGO DE INDICADOR]],[1]!CMI[[#All],[Ejecutado_9]])="-",0,LOOKUP($J33,[1]!CMI[[#All],[CÓDIGO DE INDICADOR]],[1]!CMI[[#All],[Ejecutado_9]]))</f>
        <v>0</v>
      </c>
      <c r="AP33" s="51">
        <f t="shared" si="12"/>
        <v>0.4</v>
      </c>
      <c r="AQ33" s="51">
        <f>IF(OR(LOOKUP($J33,[1]!CMI[[#All],[CÓDIGO DE INDICADOR]],[1]!CMI[[#All],[TIPO DE FÓRMULA]])="Valor absoluto",LOOKUP($J33,[1]!CMI[[#All],[CÓDIGO DE INDICADOR]],[1]!CMI[[#All],[TIPO DE FÓRMULA]])="Suma"),AI33+AK33+AM33+AO33,IF(OR(LOOKUP($J33,[1]!CMI[[#All],[CÓDIGO DE INDICADOR]],[1]!CMI[[#All],[TIPO DE FÓRMULA]])="Porcentaje",LOOKUP($J33,[1]!CMI[[#All],[CÓDIGO DE INDICADOR]],[1]!CMI[[#All],[TIPO DE FÓRMULA]])="División"),IF(LOOKUP($J33,[1]!CMI[[#All],[CÓDIGO DE INDICADOR]],[1]!CMI[[#All],[Variable2_6]])+LOOKUP($J33,[1]!CMI[[#All],[CÓDIGO DE INDICADOR]],[1]!CMI[[#All],[Variable2_7]])+LOOKUP($J33,[1]!CMI[[#All],[CÓDIGO DE INDICADOR]],[1]!CMI[[#All],[Variable2_8]])+LOOKUP($J33,[1]!CMI[[#All],[CÓDIGO DE INDICADOR]],[1]!CMI[[#All],[Variable2_9]])=0,0,(LOOKUP($J33,[1]!CMI[[#All],[CÓDIGO DE INDICADOR]],[1]!CMI[[#All],[Variable1_6]])+LOOKUP($J33,[1]!CMI[[#All],[CÓDIGO DE INDICADOR]],[1]!CMI[[#All],[Variable1_7]])+LOOKUP($J33,[1]!CMI[[#All],[CÓDIGO DE INDICADOR]],[1]!CMI[[#All],[Variable1_8]])+LOOKUP($J33,[1]!CMI[[#All],[CÓDIGO DE INDICADOR]],[1]!CMI[[#All],[Variable1_9]]))/(LOOKUP($J33,[1]!CMI[[#All],[CÓDIGO DE INDICADOR]],[1]!CMI[[#All],[Variable2_6]])+LOOKUP($J33,[1]!CMI[[#All],[CÓDIGO DE INDICADOR]],[1]!CMI[[#All],[Variable2_7]])+LOOKUP($J33,[1]!CMI[[#All],[CÓDIGO DE INDICADOR]],[1]!CMI[[#All],[Variable2_8]])+LOOKUP($J33,[1]!CMI[[#All],[CÓDIGO DE INDICADOR]],[1]!CMI[[#All],[Variable2_9]]))),IF(LOOKUP($J33,[1]!CMI[[#All],[CÓDIGO DE INDICADOR]],[1]!CMI[[#All],[TIPO DE FÓRMULA]])="Tasa de variación",LOOKUP($J33,[1]!CMI[[#All],[CÓDIGO DE INDICADOR]],[1]!CMI[[#All],[EjecuciónAcumulada_9]]),0)))</f>
        <v>0.2</v>
      </c>
      <c r="AR33" s="49">
        <f>LOOKUP($J33,[1]!CMI[[#All],[CÓDIGO DE INDICADOR]],[1]!CMI[[#All],[Programado_10]])</f>
        <v>0.05</v>
      </c>
      <c r="AS33" s="49">
        <f>IF(LOOKUP($J33,[1]!CMI[[#All],[CÓDIGO DE INDICADOR]],[1]!CMI[[#All],[Ejecutado_10]])="-",0,LOOKUP($J33,[1]!CMI[[#All],[CÓDIGO DE INDICADOR]],[1]!CMI[[#All],[Ejecutado_10]]))</f>
        <v>0</v>
      </c>
      <c r="AT33" s="49">
        <f>LOOKUP($J33,[1]!CMI[[#All],[CÓDIGO DE INDICADOR]],[1]!CMI[[#All],[Programado_11]])</f>
        <v>0.05</v>
      </c>
      <c r="AU33" s="50">
        <f>IF(LOOKUP($J33,[1]!CMI[[#All],[CÓDIGO DE INDICADOR]],[1]!CMI[[#All],[Ejecutado_11]])="-",0,LOOKUP($J33,[1]!CMI[[#All],[CÓDIGO DE INDICADOR]],[1]!CMI[[#All],[Ejecutado_11]]))</f>
        <v>0</v>
      </c>
      <c r="AV33" s="50">
        <f>LOOKUP($J33,[1]!CMI[[#All],[CÓDIGO DE INDICADOR]],[1]!CMI[[#All],[Programado_12]])</f>
        <v>0.05</v>
      </c>
      <c r="AW33" s="50">
        <f>IF(LOOKUP($J33,[1]!CMI[[#All],[CÓDIGO DE INDICADOR]],[1]!CMI[[#All],[Ejecutado_12]])="-",0,LOOKUP($J33,[1]!CMI[[#All],[CÓDIGO DE INDICADOR]],[1]!CMI[[#All],[Ejecutado_12]]))</f>
        <v>0</v>
      </c>
      <c r="AX33" s="50">
        <f>LOOKUP($J33,[1]!CMI[[#All],[CÓDIGO DE INDICADOR]],[1]!CMI[[#All],[Programado_13]])</f>
        <v>0.05</v>
      </c>
      <c r="AY33" s="50">
        <f>IF(LOOKUP($J33,[1]!CMI[[#All],[CÓDIGO DE INDICADOR]],[1]!CMI[[#All],[Ejecutado_13]])="-",0,LOOKUP($J33,[1]!CMI[[#All],[CÓDIGO DE INDICADOR]],[1]!CMI[[#All],[Ejecutado_13]]))</f>
        <v>0</v>
      </c>
      <c r="AZ33" s="51">
        <f t="shared" si="13"/>
        <v>0.2</v>
      </c>
      <c r="BA33" s="51">
        <f>IF(OR(LOOKUP($J33,[1]!CMI[[#All],[CÓDIGO DE INDICADOR]],[1]!CMI[[#All],[TIPO DE FÓRMULA]])="Valor absoluto",LOOKUP($J33,[1]!CMI[[#All],[CÓDIGO DE INDICADOR]],[1]!CMI[[#All],[TIPO DE FÓRMULA]])="Suma"),AS33+AU33+AW33+AY33,IF(OR(LOOKUP($J33,[1]!CMI[[#All],[CÓDIGO DE INDICADOR]],[1]!CMI[[#All],[TIPO DE FÓRMULA]])="Porcentaje",LOOKUP($J33,[1]!CMI[[#All],[CÓDIGO DE INDICADOR]],[1]!CMI[[#All],[TIPO DE FÓRMULA]])="División"),IF(LOOKUP($J33,[1]!CMI[[#All],[CÓDIGO DE INDICADOR]],[1]!CMI[[#All],[Variable2_10]])+LOOKUP($J33,[1]!CMI[[#All],[CÓDIGO DE INDICADOR]],[1]!CMI[[#All],[Variable2_11]])+LOOKUP($J33,[1]!CMI[[#All],[CÓDIGO DE INDICADOR]],[1]!CMI[[#All],[Variable2_12]])+LOOKUP($J33,[1]!CMI[[#All],[CÓDIGO DE INDICADOR]],[1]!CMI[[#All],[Variable2_13]])=0,0,(LOOKUP($J33,[1]!CMI[[#All],[CÓDIGO DE INDICADOR]],[1]!CMI[[#All],[Variable1_10]])+LOOKUP($J33,[1]!CMI[[#All],[CÓDIGO DE INDICADOR]],[1]!CMI[[#All],[Variable1_11]])+LOOKUP($J33,[1]!CMI[[#All],[CÓDIGO DE INDICADOR]],[1]!CMI[[#All],[Variable1_12]])+LOOKUP($J33,[1]!CMI[[#All],[CÓDIGO DE INDICADOR]],[1]!CMI[[#All],[Variable1_13]]))/(LOOKUP($J33,[1]!CMI[[#All],[CÓDIGO DE INDICADOR]],[1]!CMI[[#All],[Variable2_10]])+LOOKUP($J33,[1]!CMI[[#All],[CÓDIGO DE INDICADOR]],[1]!CMI[[#All],[Variable2_11]])+LOOKUP($J33,[1]!CMI[[#All],[CÓDIGO DE INDICADOR]],[1]!CMI[[#All],[Variable2_12]])+LOOKUP($J33,[1]!CMI[[#All],[CÓDIGO DE INDICADOR]],[1]!CMI[[#All],[Variable2_13]]))),IF(LOOKUP($J33,[1]!CMI[[#All],[CÓDIGO DE INDICADOR]],[1]!CMI[[#All],[TIPO DE FÓRMULA]])="Tasa de variación",LOOKUP($J33,[1]!CMI[[#All],[CÓDIGO DE INDICADOR]],[1]!CMI[[#All],[EjecuciónAcumulada_13]]),0)))</f>
        <v>0</v>
      </c>
      <c r="BB33" s="49">
        <f>LOOKUP($J33,[1]!CMI[[#All],[CÓDIGO DE INDICADOR]],[1]!CMI[[#All],[Programado_14]])</f>
        <v>0.05</v>
      </c>
      <c r="BC33" s="49">
        <f>IF(LOOKUP($J33,[1]!CMI[[#All],[CÓDIGO DE INDICADOR]],[1]!CMI[[#All],[Ejecutado_14]])="-",0,LOOKUP($J33,[1]!CMI[[#All],[CÓDIGO DE INDICADOR]],[1]!CMI[[#All],[Ejecutado_14]]))</f>
        <v>0</v>
      </c>
      <c r="BD33" s="49">
        <f>LOOKUP($J33,[1]!CMI[[#All],[CÓDIGO DE INDICADOR]],[1]!CMI[[#All],[Programado_15]])</f>
        <v>0.05</v>
      </c>
      <c r="BE33" s="50">
        <f>IF(LOOKUP($J33,[1]!CMI[[#All],[CÓDIGO DE INDICADOR]],[1]!CMI[[#All],[Ejecutado_15]])="-",0,LOOKUP($J33,[1]!CMI[[#All],[CÓDIGO DE INDICADOR]],[1]!CMI[[#All],[Ejecutado_15]]))</f>
        <v>0</v>
      </c>
      <c r="BF33" s="50">
        <f>LOOKUP($J33,[1]!CMI[[#All],[CÓDIGO DE INDICADOR]],[1]!CMI[[#All],[Programado_16]])</f>
        <v>0</v>
      </c>
      <c r="BG33" s="50">
        <f>IF(LOOKUP($J33,[1]!CMI[[#All],[CÓDIGO DE INDICADOR]],[1]!CMI[[#All],[Ejecutado_16]])="-",0,LOOKUP($J33,[1]!CMI[[#All],[CÓDIGO DE INDICADOR]],[1]!CMI[[#All],[Ejecutado_16]]))</f>
        <v>0</v>
      </c>
      <c r="BH33" s="50">
        <f>LOOKUP($J33,[1]!CMI[[#All],[CÓDIGO DE INDICADOR]],[1]!CMI[[#All],[Programado_17]])</f>
        <v>0</v>
      </c>
      <c r="BI33" s="50">
        <f>IF(LOOKUP($J33,[1]!CMI[[#All],[CÓDIGO DE INDICADOR]],[1]!CMI[[#All],[Ejecutado_17]])="-",0,LOOKUP($J33,[1]!CMI[[#All],[CÓDIGO DE INDICADOR]],[1]!CMI[[#All],[Ejecutado_17]]))</f>
        <v>0</v>
      </c>
      <c r="BJ33" s="51">
        <f t="shared" si="14"/>
        <v>0.1</v>
      </c>
      <c r="BK33" s="51">
        <f>IF(OR(LOOKUP($J33,[1]!CMI[[#All],[CÓDIGO DE INDICADOR]],[1]!CMI[[#All],[TIPO DE FÓRMULA]])="Valor absoluto",LOOKUP($J33,[1]!CMI[[#All],[CÓDIGO DE INDICADOR]],[1]!CMI[[#All],[TIPO DE FÓRMULA]])="Suma"),BC33+BE33+BG33+BI33,IF(OR(LOOKUP($J33,[1]!CMI[[#All],[CÓDIGO DE INDICADOR]],[1]!CMI[[#All],[TIPO DE FÓRMULA]])="Porcentaje",LOOKUP($J33,[1]!CMI[[#All],[CÓDIGO DE INDICADOR]],[1]!CMI[[#All],[TIPO DE FÓRMULA]])="División"),IF(LOOKUP($J33,[1]!CMI[[#All],[CÓDIGO DE INDICADOR]],[1]!CMI[[#All],[Variable2_14]])+LOOKUP($J33,[1]!CMI[[#All],[CÓDIGO DE INDICADOR]],[1]!CMI[[#All],[Variable2_15]])+LOOKUP($J33,[1]!CMI[[#All],[CÓDIGO DE INDICADOR]],[1]!CMI[[#All],[Variable2_16]])+LOOKUP($J33,[1]!CMI[[#All],[CÓDIGO DE INDICADOR]],[1]!CMI[[#All],[Variable2_17]])=0,0,(LOOKUP($J33,[1]!CMI[[#All],[CÓDIGO DE INDICADOR]],[1]!CMI[[#All],[Variable1_14]])+LOOKUP($J33,[1]!CMI[[#All],[CÓDIGO DE INDICADOR]],[1]!CMI[[#All],[Variable1_15]])+LOOKUP($J33,[1]!CMI[[#All],[CÓDIGO DE INDICADOR]],[1]!CMI[[#All],[Variable1_16]])+LOOKUP($J33,[1]!CMI[[#All],[CÓDIGO DE INDICADOR]],[1]!CMI[[#All],[Variable1_17]]))/(LOOKUP($J33,[1]!CMI[[#All],[CÓDIGO DE INDICADOR]],[1]!CMI[[#All],[Variable2_14]])+LOOKUP($J33,[1]!CMI[[#All],[CÓDIGO DE INDICADOR]],[1]!CMI[[#All],[Variable2_15]])+LOOKUP($J33,[1]!CMI[[#All],[CÓDIGO DE INDICADOR]],[1]!CMI[[#All],[Variable2_16]])+LOOKUP($J33,[1]!CMI[[#All],[CÓDIGO DE INDICADOR]],[1]!CMI[[#All],[Variable2_17]]))),IF(LOOKUP($J33,[1]!CMI[[#All],[CÓDIGO DE INDICADOR]],[1]!CMI[[#All],[TIPO DE FÓRMULA]])="Tasa de variación",LOOKUP($J33,[1]!CMI[[#All],[CÓDIGO DE INDICADOR]],[1]!CMI[[#All],[EjecuciónAcumulada_17]]),0)))</f>
        <v>0</v>
      </c>
      <c r="BL33" s="51">
        <f>IF(YEAR($M33)=2016,LOOKUP($J33,[1]!CMI[[#All],[CÓDIGO DE INDICADOR]],[1]!CMI[[#All],[ProgramadoAcumulado_1]]),IF(AND(YEAR($M33)=2017,MONTH($M33)&lt;=3),LOOKUP($J33,[1]!CMI[[#All],[CÓDIGO DE INDICADOR]],[1]!CMI[[#All],[ProgramadoAcumulado_2]]),IF(AND(YEAR($M33)=2017,MONTH($M33)&lt;=6),LOOKUP($J33,[1]!CMI[[#All],[CÓDIGO DE INDICADOR]],[1]!CMI[[#All],[ProgramadoAcumulado_3]]),IF(AND(YEAR($M33)=2017,MONTH($M33)&lt;=9),LOOKUP($J33,[1]!CMI[[#All],[CÓDIGO DE INDICADOR]],[1]!CMI[[#All],[ProgramadoAcumulado_4]]),IF(AND(YEAR($M33)=2017,MONTH($M33)&lt;=12),LOOKUP($J33,[1]!CMI[[#All],[CÓDIGO DE INDICADOR]],[1]!CMI[[#All],[ProgramadoAcumulado_5]]),IF(AND(YEAR($M33)=2018,MONTH($M33)&lt;=3),LOOKUP($J33,[1]!CMI[[#All],[CÓDIGO DE INDICADOR]],[1]!CMI[[#All],[ProgramadoAcumulado_6]]),IF(AND(YEAR($M33)=2018,MONTH($M33)&lt;=6),LOOKUP($J33,[1]!CMI[[#All],[CÓDIGO DE INDICADOR]],[1]!CMI[[#All],[ProgramadoAcumulado_7]]),IF(AND(YEAR($M33)=2018,MONTH($M33)&lt;=9),LOOKUP($J33,[1]!CMI[[#All],[CÓDIGO DE INDICADOR]],[1]!CMI[[#All],[ProgramadoAcumulado_8]]),IF(AND(YEAR($M33)=2018,MONTH($M33)&lt;=12),LOOKUP($J33,[1]!CMI[[#All],[CÓDIGO DE INDICADOR]],[1]!CMI[[#All],[ProgramadoAcumulado_9]]),IF(AND(YEAR($M33)=2019,MONTH($M33)&lt;=3),LOOKUP($J33,[1]!CMI[[#All],[CÓDIGO DE INDICADOR]],[1]!CMI[[#All],[ProgramadoAcumulado_10]]),IF(AND(YEAR($M33)=2019,MONTH($M33)&lt;=6),LOOKUP($J33,[1]!CMI[[#All],[CÓDIGO DE INDICADOR]],[1]!CMI[[#All],[ProgramadoAcumulado_11]]),IF(AND(YEAR($M33)=2019,MONTH($M33)&lt;=9),LOOKUP($J33,[1]!CMI[[#All],[CÓDIGO DE INDICADOR]],[1]!CMI[[#All],[ProgramadoAcumulado_12]]),IF(AND(YEAR($M33)=2019,MONTH($M33)&lt;=12),LOOKUP($J33,[1]!CMI[[#All],[CÓDIGO DE INDICADOR]],[1]!CMI[[#All],[ProgramadoAcumulado_13]]),IF(AND(YEAR($M33)=2020,MONTH($M33)&lt;=3),LOOKUP($J33,[1]!CMI[[#All],[CÓDIGO DE INDICADOR]],[1]!CMI[[#All],[ProgramadoAcumulado_14]]),IF(AND(YEAR($M33)=2020,MONTH($M33)&lt;=6),LOOKUP($J33,[1]!CMI[[#All],[CÓDIGO DE INDICADOR]],[1]!CMI[[#All],[ProgramadoAcumulado_15]]),IF(AND(YEAR($M33)=2020,MONTH($M33)&lt;=9),LOOKUP($J33,[1]!CMI[[#All],[CÓDIGO DE INDICADOR]],[1]!CMI[[#All],[ProgramadoAcumulado_16]]),IF(AND(YEAR($M33)=2020,MONTH($M33)&lt;=12),LOOKUP($J33,[1]!CMI[[#All],[CÓDIGO DE INDICADOR]],[1]!CMI[[#All],[ProgramadoAcumulado_17]]),"N.A")))))))))))))))))</f>
        <v>0.5</v>
      </c>
      <c r="BM33" s="51">
        <f>IF(YEAR($M33)=2016,LOOKUP($J33,[1]!CMI[[#All],[CÓDIGO DE INDICADOR]],[1]!CMI[[#All],[EjecuciónAcumulada_1]]),IF(AND(YEAR($M33)=2017,MONTH($M33)&lt;=3),LOOKUP($J33,[1]!CMI[[#All],[CÓDIGO DE INDICADOR]],[1]!CMI[[#All],[EjecuciónAcumulada_2]]),IF(AND(YEAR($M33)=2017,MONTH($M33)&lt;=6),LOOKUP($J33,[1]!CMI[[#All],[CÓDIGO DE INDICADOR]],[1]!CMI[[#All],[EjecuciónAcumulada_3]]),IF(AND(YEAR($M33)=2017,MONTH($M33)&lt;=9),LOOKUP($J33,[1]!CMI[[#All],[CÓDIGO DE INDICADOR]],[1]!CMI[[#All],[EjecuciónAcumulada_4]]),IF(AND(YEAR($M33)=2017,MONTH($M33)&lt;=12),LOOKUP($J33,[1]!CMI[[#All],[CÓDIGO DE INDICADOR]],[1]!CMI[[#All],[EjecuciónAcumulada_5]]),IF(AND(YEAR($M33)=2018,MONTH($M33)&lt;=3),LOOKUP($J33,[1]!CMI[[#All],[CÓDIGO DE INDICADOR]],[1]!CMI[[#All],[EjecuciónAcumulada_6]]),IF(AND(YEAR($M33)=2018,MONTH($M33)&lt;=6),LOOKUP($J33,[1]!CMI[[#All],[CÓDIGO DE INDICADOR]],[1]!CMI[[#All],[EjecuciónAcumulada_7]]),IF(AND(YEAR($M33)=2018,MONTH($M33)&lt;=9),LOOKUP($J33,[1]!CMI[[#All],[CÓDIGO DE INDICADOR]],[1]!CMI[[#All],[EjecuciónAcumulada_8]]),IF(AND(YEAR($M33)=2018,MONTH($M33)&lt;=12),LOOKUP($J33,[1]!CMI[[#All],[CÓDIGO DE INDICADOR]],[1]!CMI[[#All],[EjecuciónAcumulada_9]]),IF(AND(YEAR($M33)=2019,MONTH($M33)&lt;=3),LOOKUP($J33,[1]!CMI[[#All],[CÓDIGO DE INDICADOR]],[1]!CMI[[#All],[EjecuciónAcumulada_10]]),IF(AND(YEAR($M33)=2019,MONTH($M33)&lt;=6),LOOKUP($J33,[1]!CMI[[#All],[CÓDIGO DE INDICADOR]],[1]!CMI[[#All],[EjecuciónAcumulada_11]]),IF(AND(YEAR($M33)=2019,MONTH($M33)&lt;=9),LOOKUP($J33,[1]!CMI[[#All],[CÓDIGO DE INDICADOR]],[1]!CMI[[#All],[EjecuciónAcumulada_12]]),IF(AND(YEAR($M33)=2019,MONTH($M33)&lt;=12),LOOKUP($J33,[1]!CMI[[#All],[CÓDIGO DE INDICADOR]],[1]!CMI[[#All],[EjecuciónAcumulada_13]]),IF(AND(YEAR($M33)=2020,MONTH($M33)&lt;=3),LOOKUP($J33,[1]!CMI[[#All],[CÓDIGO DE INDICADOR]],[1]!CMI[[#All],[EjecuciónAcumulada_14]]),IF(AND(YEAR($M33)=2020,MONTH($M33)&lt;=6),LOOKUP($J33,[1]!CMI[[#All],[CÓDIGO DE INDICADOR]],[1]!CMI[[#All],[EjecuciónAcumulada_15]]),IF(AND(YEAR($M33)=2020,MONTH($M33)&lt;=9),LOOKUP($J33,[1]!CMI[[#All],[CÓDIGO DE INDICADOR]],[1]!CMI[[#All],[EjecuciónAcumulada_16]]),IF(AND(YEAR($M33)=2020,MONTH($M33)&lt;=12),LOOKUP($J33,[1]!CMI[[#All],[CÓDIGO DE INDICADOR]],[1]!CMI[[#All],[EjecuciónAcumulada_17]]),"N.A")))))))))))))))))</f>
        <v>0.5</v>
      </c>
      <c r="BN33" s="17">
        <f t="shared" si="7"/>
        <v>1</v>
      </c>
      <c r="BO33" s="51">
        <f t="shared" si="0"/>
        <v>1.0000000000000002</v>
      </c>
      <c r="BP33" s="68">
        <f t="shared" si="8"/>
        <v>0.49999999999999989</v>
      </c>
    </row>
    <row r="34" spans="2:68" ht="136.5" customHeight="1">
      <c r="B34" s="134" t="s">
        <v>161</v>
      </c>
      <c r="C34" s="10" t="s">
        <v>255</v>
      </c>
      <c r="D34" s="11" t="str">
        <f>LOOKUP($J34,[1]!CMI[[#All],[CÓDIGO DE INDICADOR]],[1]!CMI[[#All],[NOMBRE DEL INDICADOR]])</f>
        <v>Avance en la readecuación de la infraestructura física de las sedes de la Entidad</v>
      </c>
      <c r="E34" s="11" t="str">
        <f>LOOKUP($J34,[1]!CMI[[#All],[CÓDIGO DE INDICADOR]],[1]!CMI[[#All],[FÓRMULA DE CÁLCULO]])</f>
        <v xml:space="preserve">% de avance de las actividades programadas </v>
      </c>
      <c r="F34" s="49">
        <f>LOOKUP($J34,[1]!CMI[[#All],[CÓDIGO DE INDICADOR]],[1]!CMI[[#All],[VALOR PROGRAMADO TOTAL]])</f>
        <v>1</v>
      </c>
      <c r="G34" s="10" t="s">
        <v>162</v>
      </c>
      <c r="H34" s="10" t="s">
        <v>163</v>
      </c>
      <c r="I34" s="11" t="str">
        <f>LOOKUP($J34,[1]!CMI[[#All],[CÓDIGO DE INDICADOR]],[1]!CMI[[#All],[DEPENDENCIA]])</f>
        <v>DIRECCIÓN ADMINISTRATIVA Y FINANCIERA</v>
      </c>
      <c r="J34" s="54" t="s">
        <v>243</v>
      </c>
      <c r="K34" s="11" t="str">
        <f>LOOKUP($J34,[1]!CMI[[#All],[CÓDIGO DE INDICADOR]],[1]!CMI[[#All],[CÁLCULO VALOR PROGRAMADO ACUMULADO]])</f>
        <v>Sumatoria</v>
      </c>
      <c r="L34" s="11" t="str">
        <f>LOOKUP($J34,[1]!CMI[[#All],[CÓDIGO DE INDICADOR]],[1]!CMI[[#All],[TENDENCIA DECRECIENTE]])</f>
        <v>No</v>
      </c>
      <c r="M34" s="14">
        <f>LOOKUP($J34,[1]!CMI[[#All],[CÓDIGO DE INDICADOR]],[1]!CMI[[#All],[FECHA DE CORTE]])</f>
        <v>43281</v>
      </c>
      <c r="N34" s="49">
        <v>0</v>
      </c>
      <c r="O34" s="49">
        <v>0</v>
      </c>
      <c r="P34" s="49">
        <v>0</v>
      </c>
      <c r="Q34" s="50">
        <v>0</v>
      </c>
      <c r="R34" s="50">
        <v>0</v>
      </c>
      <c r="S34" s="50">
        <v>0</v>
      </c>
      <c r="T34" s="50">
        <f>LOOKUP($J34,[1]!CMI[[#All],[CÓDIGO DE INDICADOR]],[1]!CMI[[#All],[Programado_1]])</f>
        <v>0</v>
      </c>
      <c r="U34" s="50">
        <f>IF(LOOKUP($J34,[1]!CMI[[#All],[CÓDIGO DE INDICADOR]],[1]!CMI[[#All],[Ejecutado_1]])="-",0,LOOKUP($J34,[1]!CMI[[#All],[CÓDIGO DE INDICADOR]],[1]!CMI[[#All],[Ejecutado_1]]))</f>
        <v>0</v>
      </c>
      <c r="V34" s="51">
        <f t="shared" si="9"/>
        <v>0</v>
      </c>
      <c r="W34" s="51">
        <f t="shared" si="10"/>
        <v>0</v>
      </c>
      <c r="X34" s="49">
        <f>LOOKUP($J34,[1]!CMI[[#All],[CÓDIGO DE INDICADOR]],[1]!CMI[[#All],[Programado_2]])</f>
        <v>0</v>
      </c>
      <c r="Y34" s="49">
        <f>IF(LOOKUP($J34,[1]!CMI[[#All],[CÓDIGO DE INDICADOR]],[1]!CMI[[#All],[Ejecutado_2]])="-",0,LOOKUP($J34,[1]!CMI[[#All],[CÓDIGO DE INDICADOR]],[1]!CMI[[#All],[Ejecutado_2]]))</f>
        <v>0</v>
      </c>
      <c r="Z34" s="49">
        <f>LOOKUP($J34,[1]!CMI[[#All],[CÓDIGO DE INDICADOR]],[1]!CMI[[#All],[Programado_3]])</f>
        <v>0</v>
      </c>
      <c r="AA34" s="50">
        <f>IF(LOOKUP($J34,[1]!CMI[[#All],[CÓDIGO DE INDICADOR]],[1]!CMI[[#All],[Ejecutado_3]])="-",0,LOOKUP($J34,[1]!CMI[[#All],[CÓDIGO DE INDICADOR]],[1]!CMI[[#All],[Ejecutado_3]]))</f>
        <v>0.08</v>
      </c>
      <c r="AB34" s="50">
        <f>LOOKUP($J34,[1]!CMI[[#All],[CÓDIGO DE INDICADOR]],[1]!CMI[[#All],[Programado_4]])</f>
        <v>0</v>
      </c>
      <c r="AC34" s="50">
        <f>IF(LOOKUP($J34,[1]!CMI[[#All],[CÓDIGO DE INDICADOR]],[1]!CMI[[#All],[Ejecutado_4]])="-",0,LOOKUP($J34,[1]!CMI[[#All],[CÓDIGO DE INDICADOR]],[1]!CMI[[#All],[Ejecutado_4]]))</f>
        <v>0</v>
      </c>
      <c r="AD34" s="50">
        <f>LOOKUP($J34,[1]!CMI[[#All],[CÓDIGO DE INDICADOR]],[1]!CMI[[#All],[Programado_5]])</f>
        <v>0.25</v>
      </c>
      <c r="AE34" s="50">
        <f>IF(LOOKUP($J34,[1]!CMI[[#All],[CÓDIGO DE INDICADOR]],[1]!CMI[[#All],[Ejecutado_5]])="-",0,LOOKUP($J34,[1]!CMI[[#All],[CÓDIGO DE INDICADOR]],[1]!CMI[[#All],[Ejecutado_5]]))</f>
        <v>0.17</v>
      </c>
      <c r="AF34" s="51">
        <f t="shared" si="11"/>
        <v>0.25</v>
      </c>
      <c r="AG34" s="51">
        <f>IF(OR(LOOKUP($J34,[1]!CMI[[#All],[CÓDIGO DE INDICADOR]],[1]!CMI[[#All],[TIPO DE FÓRMULA]])="Valor absoluto",LOOKUP($J34,[1]!CMI[[#All],[CÓDIGO DE INDICADOR]],[1]!CMI[[#All],[TIPO DE FÓRMULA]])="Suma"),Y34+AA34+AC34+AE34,IF(OR(LOOKUP($J34,[1]!CMI[[#All],[CÓDIGO DE INDICADOR]],[1]!CMI[[#All],[TIPO DE FÓRMULA]])="Porcentaje",LOOKUP($J34,[1]!CMI[[#All],[CÓDIGO DE INDICADOR]],[1]!CMI[[#All],[TIPO DE FÓRMULA]])="División"),IF(LOOKUP($J34,[1]!CMI[[#All],[CÓDIGO DE INDICADOR]],[1]!CMI[[#All],[Variable2_2]])+LOOKUP($J34,[1]!CMI[[#All],[CÓDIGO DE INDICADOR]],[1]!CMI[[#All],[Variable2_3]])+LOOKUP($J34,[1]!CMI[[#All],[CÓDIGO DE INDICADOR]],[1]!CMI[[#All],[Variable2_4]])+LOOKUP($J34,[1]!CMI[[#All],[CÓDIGO DE INDICADOR]],[1]!CMI[[#All],[Variable2_5]])=0,0,(LOOKUP($J34,[1]!CMI[[#All],[CÓDIGO DE INDICADOR]],[1]!CMI[[#All],[Variable1_2]])+LOOKUP($J34,[1]!CMI[[#All],[CÓDIGO DE INDICADOR]],[1]!CMI[[#All],[Variable1_3]])+LOOKUP($J34,[1]!CMI[[#All],[CÓDIGO DE INDICADOR]],[1]!CMI[[#All],[Variable1_4]])+LOOKUP($J34,[1]!CMI[[#All],[CÓDIGO DE INDICADOR]],[1]!CMI[[#All],[Variable1_5]]))/(LOOKUP($J34,[1]!CMI[[#All],[CÓDIGO DE INDICADOR]],[1]!CMI[[#All],[Variable2_2]])+LOOKUP($J34,[1]!CMI[[#All],[CÓDIGO DE INDICADOR]],[1]!CMI[[#All],[Variable2_3]])+LOOKUP($J34,[1]!CMI[[#All],[CÓDIGO DE INDICADOR]],[1]!CMI[[#All],[Variable2_4]])+LOOKUP($J34,[1]!CMI[[#All],[CÓDIGO DE INDICADOR]],[1]!CMI[[#All],[Variable2_5]]))),IF(LOOKUP($J34,[1]!CMI[[#All],[CÓDIGO DE INDICADOR]],[1]!CMI[[#All],[TIPO DE FÓRMULA]])="Tasa de variación",LOOKUP($J34,[1]!CMI[[#All],[CÓDIGO DE INDICADOR]],[1]!CMI[[#All],[EjecuciónAcumulada_5]]),0)))</f>
        <v>0.25</v>
      </c>
      <c r="AH34" s="49">
        <f>LOOKUP($J34,[1]!CMI[[#All],[CÓDIGO DE INDICADOR]],[1]!CMI[[#All],[Programado_6]])</f>
        <v>0</v>
      </c>
      <c r="AI34" s="49">
        <f>IF(LOOKUP($J34,[1]!CMI[[#All],[CÓDIGO DE INDICADOR]],[1]!CMI[[#All],[Ejecutado_6]])="-",0,LOOKUP($J34,[1]!CMI[[#All],[CÓDIGO DE INDICADOR]],[1]!CMI[[#All],[Ejecutado_6]]))</f>
        <v>0</v>
      </c>
      <c r="AJ34" s="49">
        <f>LOOKUP($J34,[1]!CMI[[#All],[CÓDIGO DE INDICADOR]],[1]!CMI[[#All],[Programado_7]])</f>
        <v>0.125</v>
      </c>
      <c r="AK34" s="50">
        <f>IF(LOOKUP($J34,[1]!CMI[[#All],[CÓDIGO DE INDICADOR]],[1]!CMI[[#All],[Ejecutado_7]])="-",0,LOOKUP($J34,[1]!CMI[[#All],[CÓDIGO DE INDICADOR]],[1]!CMI[[#All],[Ejecutado_7]]))</f>
        <v>0.2</v>
      </c>
      <c r="AL34" s="50">
        <f>LOOKUP($J34,[1]!CMI[[#All],[CÓDIGO DE INDICADOR]],[1]!CMI[[#All],[Programado_8]])</f>
        <v>0</v>
      </c>
      <c r="AM34" s="50">
        <f>IF(LOOKUP($J34,[1]!CMI[[#All],[CÓDIGO DE INDICADOR]],[1]!CMI[[#All],[Ejecutado_8]])="-",0,LOOKUP($J34,[1]!CMI[[#All],[CÓDIGO DE INDICADOR]],[1]!CMI[[#All],[Ejecutado_8]]))</f>
        <v>0</v>
      </c>
      <c r="AN34" s="50">
        <f>LOOKUP($J34,[1]!CMI[[#All],[CÓDIGO DE INDICADOR]],[1]!CMI[[#All],[Programado_9]])</f>
        <v>0.125</v>
      </c>
      <c r="AO34" s="50">
        <f>IF(LOOKUP($J34,[1]!CMI[[#All],[CÓDIGO DE INDICADOR]],[1]!CMI[[#All],[Ejecutado_9]])="-",0,LOOKUP($J34,[1]!CMI[[#All],[CÓDIGO DE INDICADOR]],[1]!CMI[[#All],[Ejecutado_9]]))</f>
        <v>0</v>
      </c>
      <c r="AP34" s="51">
        <f t="shared" si="12"/>
        <v>0.25</v>
      </c>
      <c r="AQ34" s="51">
        <f>IF(OR(LOOKUP($J34,[1]!CMI[[#All],[CÓDIGO DE INDICADOR]],[1]!CMI[[#All],[TIPO DE FÓRMULA]])="Valor absoluto",LOOKUP($J34,[1]!CMI[[#All],[CÓDIGO DE INDICADOR]],[1]!CMI[[#All],[TIPO DE FÓRMULA]])="Suma"),AI34+AK34+AM34+AO34,IF(OR(LOOKUP($J34,[1]!CMI[[#All],[CÓDIGO DE INDICADOR]],[1]!CMI[[#All],[TIPO DE FÓRMULA]])="Porcentaje",LOOKUP($J34,[1]!CMI[[#All],[CÓDIGO DE INDICADOR]],[1]!CMI[[#All],[TIPO DE FÓRMULA]])="División"),IF(LOOKUP($J34,[1]!CMI[[#All],[CÓDIGO DE INDICADOR]],[1]!CMI[[#All],[Variable2_6]])+LOOKUP($J34,[1]!CMI[[#All],[CÓDIGO DE INDICADOR]],[1]!CMI[[#All],[Variable2_7]])+LOOKUP($J34,[1]!CMI[[#All],[CÓDIGO DE INDICADOR]],[1]!CMI[[#All],[Variable2_8]])+LOOKUP($J34,[1]!CMI[[#All],[CÓDIGO DE INDICADOR]],[1]!CMI[[#All],[Variable2_9]])=0,0,(LOOKUP($J34,[1]!CMI[[#All],[CÓDIGO DE INDICADOR]],[1]!CMI[[#All],[Variable1_6]])+LOOKUP($J34,[1]!CMI[[#All],[CÓDIGO DE INDICADOR]],[1]!CMI[[#All],[Variable1_7]])+LOOKUP($J34,[1]!CMI[[#All],[CÓDIGO DE INDICADOR]],[1]!CMI[[#All],[Variable1_8]])+LOOKUP($J34,[1]!CMI[[#All],[CÓDIGO DE INDICADOR]],[1]!CMI[[#All],[Variable1_9]]))/(LOOKUP($J34,[1]!CMI[[#All],[CÓDIGO DE INDICADOR]],[1]!CMI[[#All],[Variable2_6]])+LOOKUP($J34,[1]!CMI[[#All],[CÓDIGO DE INDICADOR]],[1]!CMI[[#All],[Variable2_7]])+LOOKUP($J34,[1]!CMI[[#All],[CÓDIGO DE INDICADOR]],[1]!CMI[[#All],[Variable2_8]])+LOOKUP($J34,[1]!CMI[[#All],[CÓDIGO DE INDICADOR]],[1]!CMI[[#All],[Variable2_9]]))),IF(LOOKUP($J34,[1]!CMI[[#All],[CÓDIGO DE INDICADOR]],[1]!CMI[[#All],[TIPO DE FÓRMULA]])="Tasa de variación",LOOKUP($J34,[1]!CMI[[#All],[CÓDIGO DE INDICADOR]],[1]!CMI[[#All],[EjecuciónAcumulada_9]]),0)))</f>
        <v>0.2</v>
      </c>
      <c r="AR34" s="49">
        <f>LOOKUP($J34,[1]!CMI[[#All],[CÓDIGO DE INDICADOR]],[1]!CMI[[#All],[Programado_10]])</f>
        <v>0</v>
      </c>
      <c r="AS34" s="49">
        <f>IF(LOOKUP($J34,[1]!CMI[[#All],[CÓDIGO DE INDICADOR]],[1]!CMI[[#All],[Ejecutado_10]])="-",0,LOOKUP($J34,[1]!CMI[[#All],[CÓDIGO DE INDICADOR]],[1]!CMI[[#All],[Ejecutado_10]]))</f>
        <v>0</v>
      </c>
      <c r="AT34" s="49">
        <f>LOOKUP($J34,[1]!CMI[[#All],[CÓDIGO DE INDICADOR]],[1]!CMI[[#All],[Programado_11]])</f>
        <v>0.125</v>
      </c>
      <c r="AU34" s="50">
        <f>IF(LOOKUP($J34,[1]!CMI[[#All],[CÓDIGO DE INDICADOR]],[1]!CMI[[#All],[Ejecutado_11]])="-",0,LOOKUP($J34,[1]!CMI[[#All],[CÓDIGO DE INDICADOR]],[1]!CMI[[#All],[Ejecutado_11]]))</f>
        <v>0</v>
      </c>
      <c r="AV34" s="50">
        <f>LOOKUP($J34,[1]!CMI[[#All],[CÓDIGO DE INDICADOR]],[1]!CMI[[#All],[Programado_12]])</f>
        <v>0</v>
      </c>
      <c r="AW34" s="50">
        <f>IF(LOOKUP($J34,[1]!CMI[[#All],[CÓDIGO DE INDICADOR]],[1]!CMI[[#All],[Ejecutado_12]])="-",0,LOOKUP($J34,[1]!CMI[[#All],[CÓDIGO DE INDICADOR]],[1]!CMI[[#All],[Ejecutado_12]]))</f>
        <v>0</v>
      </c>
      <c r="AX34" s="50">
        <f>LOOKUP($J34,[1]!CMI[[#All],[CÓDIGO DE INDICADOR]],[1]!CMI[[#All],[Programado_13]])</f>
        <v>0.125</v>
      </c>
      <c r="AY34" s="50">
        <f>IF(LOOKUP($J34,[1]!CMI[[#All],[CÓDIGO DE INDICADOR]],[1]!CMI[[#All],[Ejecutado_13]])="-",0,LOOKUP($J34,[1]!CMI[[#All],[CÓDIGO DE INDICADOR]],[1]!CMI[[#All],[Ejecutado_13]]))</f>
        <v>0</v>
      </c>
      <c r="AZ34" s="51">
        <f t="shared" si="13"/>
        <v>0.25</v>
      </c>
      <c r="BA34" s="51">
        <f>IF(OR(LOOKUP($J34,[1]!CMI[[#All],[CÓDIGO DE INDICADOR]],[1]!CMI[[#All],[TIPO DE FÓRMULA]])="Valor absoluto",LOOKUP($J34,[1]!CMI[[#All],[CÓDIGO DE INDICADOR]],[1]!CMI[[#All],[TIPO DE FÓRMULA]])="Suma"),AS34+AU34+AW34+AY34,IF(OR(LOOKUP($J34,[1]!CMI[[#All],[CÓDIGO DE INDICADOR]],[1]!CMI[[#All],[TIPO DE FÓRMULA]])="Porcentaje",LOOKUP($J34,[1]!CMI[[#All],[CÓDIGO DE INDICADOR]],[1]!CMI[[#All],[TIPO DE FÓRMULA]])="División"),IF(LOOKUP($J34,[1]!CMI[[#All],[CÓDIGO DE INDICADOR]],[1]!CMI[[#All],[Variable2_10]])+LOOKUP($J34,[1]!CMI[[#All],[CÓDIGO DE INDICADOR]],[1]!CMI[[#All],[Variable2_11]])+LOOKUP($J34,[1]!CMI[[#All],[CÓDIGO DE INDICADOR]],[1]!CMI[[#All],[Variable2_12]])+LOOKUP($J34,[1]!CMI[[#All],[CÓDIGO DE INDICADOR]],[1]!CMI[[#All],[Variable2_13]])=0,0,(LOOKUP($J34,[1]!CMI[[#All],[CÓDIGO DE INDICADOR]],[1]!CMI[[#All],[Variable1_10]])+LOOKUP($J34,[1]!CMI[[#All],[CÓDIGO DE INDICADOR]],[1]!CMI[[#All],[Variable1_11]])+LOOKUP($J34,[1]!CMI[[#All],[CÓDIGO DE INDICADOR]],[1]!CMI[[#All],[Variable1_12]])+LOOKUP($J34,[1]!CMI[[#All],[CÓDIGO DE INDICADOR]],[1]!CMI[[#All],[Variable1_13]]))/(LOOKUP($J34,[1]!CMI[[#All],[CÓDIGO DE INDICADOR]],[1]!CMI[[#All],[Variable2_10]])+LOOKUP($J34,[1]!CMI[[#All],[CÓDIGO DE INDICADOR]],[1]!CMI[[#All],[Variable2_11]])+LOOKUP($J34,[1]!CMI[[#All],[CÓDIGO DE INDICADOR]],[1]!CMI[[#All],[Variable2_12]])+LOOKUP($J34,[1]!CMI[[#All],[CÓDIGO DE INDICADOR]],[1]!CMI[[#All],[Variable2_13]]))),IF(LOOKUP($J34,[1]!CMI[[#All],[CÓDIGO DE INDICADOR]],[1]!CMI[[#All],[TIPO DE FÓRMULA]])="Tasa de variación",LOOKUP($J34,[1]!CMI[[#All],[CÓDIGO DE INDICADOR]],[1]!CMI[[#All],[EjecuciónAcumulada_13]]),0)))</f>
        <v>0</v>
      </c>
      <c r="BB34" s="49">
        <f>LOOKUP($J34,[1]!CMI[[#All],[CÓDIGO DE INDICADOR]],[1]!CMI[[#All],[Programado_14]])</f>
        <v>0</v>
      </c>
      <c r="BC34" s="49">
        <f>IF(LOOKUP($J34,[1]!CMI[[#All],[CÓDIGO DE INDICADOR]],[1]!CMI[[#All],[Ejecutado_14]])="-",0,LOOKUP($J34,[1]!CMI[[#All],[CÓDIGO DE INDICADOR]],[1]!CMI[[#All],[Ejecutado_14]]))</f>
        <v>0</v>
      </c>
      <c r="BD34" s="49">
        <f>LOOKUP($J34,[1]!CMI[[#All],[CÓDIGO DE INDICADOR]],[1]!CMI[[#All],[Programado_15]])</f>
        <v>0.125</v>
      </c>
      <c r="BE34" s="50">
        <f>IF(LOOKUP($J34,[1]!CMI[[#All],[CÓDIGO DE INDICADOR]],[1]!CMI[[#All],[Ejecutado_15]])="-",0,LOOKUP($J34,[1]!CMI[[#All],[CÓDIGO DE INDICADOR]],[1]!CMI[[#All],[Ejecutado_15]]))</f>
        <v>0</v>
      </c>
      <c r="BF34" s="50">
        <f>LOOKUP($J34,[1]!CMI[[#All],[CÓDIGO DE INDICADOR]],[1]!CMI[[#All],[Programado_16]])</f>
        <v>0</v>
      </c>
      <c r="BG34" s="50">
        <f>IF(LOOKUP($J34,[1]!CMI[[#All],[CÓDIGO DE INDICADOR]],[1]!CMI[[#All],[Ejecutado_16]])="-",0,LOOKUP($J34,[1]!CMI[[#All],[CÓDIGO DE INDICADOR]],[1]!CMI[[#All],[Ejecutado_16]]))</f>
        <v>0</v>
      </c>
      <c r="BH34" s="50">
        <f>LOOKUP($J34,[1]!CMI[[#All],[CÓDIGO DE INDICADOR]],[1]!CMI[[#All],[Programado_17]])</f>
        <v>0.125</v>
      </c>
      <c r="BI34" s="50">
        <f>IF(LOOKUP($J34,[1]!CMI[[#All],[CÓDIGO DE INDICADOR]],[1]!CMI[[#All],[Ejecutado_17]])="-",0,LOOKUP($J34,[1]!CMI[[#All],[CÓDIGO DE INDICADOR]],[1]!CMI[[#All],[Ejecutado_17]]))</f>
        <v>0</v>
      </c>
      <c r="BJ34" s="51">
        <f t="shared" si="14"/>
        <v>0.25</v>
      </c>
      <c r="BK34" s="51">
        <f>IF(OR(LOOKUP($J34,[1]!CMI[[#All],[CÓDIGO DE INDICADOR]],[1]!CMI[[#All],[TIPO DE FÓRMULA]])="Valor absoluto",LOOKUP($J34,[1]!CMI[[#All],[CÓDIGO DE INDICADOR]],[1]!CMI[[#All],[TIPO DE FÓRMULA]])="Suma"),BC34+BE34+BG34+BI34,IF(OR(LOOKUP($J34,[1]!CMI[[#All],[CÓDIGO DE INDICADOR]],[1]!CMI[[#All],[TIPO DE FÓRMULA]])="Porcentaje",LOOKUP($J34,[1]!CMI[[#All],[CÓDIGO DE INDICADOR]],[1]!CMI[[#All],[TIPO DE FÓRMULA]])="División"),IF(LOOKUP($J34,[1]!CMI[[#All],[CÓDIGO DE INDICADOR]],[1]!CMI[[#All],[Variable2_14]])+LOOKUP($J34,[1]!CMI[[#All],[CÓDIGO DE INDICADOR]],[1]!CMI[[#All],[Variable2_15]])+LOOKUP($J34,[1]!CMI[[#All],[CÓDIGO DE INDICADOR]],[1]!CMI[[#All],[Variable2_16]])+LOOKUP($J34,[1]!CMI[[#All],[CÓDIGO DE INDICADOR]],[1]!CMI[[#All],[Variable2_17]])=0,0,(LOOKUP($J34,[1]!CMI[[#All],[CÓDIGO DE INDICADOR]],[1]!CMI[[#All],[Variable1_14]])+LOOKUP($J34,[1]!CMI[[#All],[CÓDIGO DE INDICADOR]],[1]!CMI[[#All],[Variable1_15]])+LOOKUP($J34,[1]!CMI[[#All],[CÓDIGO DE INDICADOR]],[1]!CMI[[#All],[Variable1_16]])+LOOKUP($J34,[1]!CMI[[#All],[CÓDIGO DE INDICADOR]],[1]!CMI[[#All],[Variable1_17]]))/(LOOKUP($J34,[1]!CMI[[#All],[CÓDIGO DE INDICADOR]],[1]!CMI[[#All],[Variable2_14]])+LOOKUP($J34,[1]!CMI[[#All],[CÓDIGO DE INDICADOR]],[1]!CMI[[#All],[Variable2_15]])+LOOKUP($J34,[1]!CMI[[#All],[CÓDIGO DE INDICADOR]],[1]!CMI[[#All],[Variable2_16]])+LOOKUP($J34,[1]!CMI[[#All],[CÓDIGO DE INDICADOR]],[1]!CMI[[#All],[Variable2_17]]))),IF(LOOKUP($J34,[1]!CMI[[#All],[CÓDIGO DE INDICADOR]],[1]!CMI[[#All],[TIPO DE FÓRMULA]])="Tasa de variación",LOOKUP($J34,[1]!CMI[[#All],[CÓDIGO DE INDICADOR]],[1]!CMI[[#All],[EjecuciónAcumulada_17]]),0)))</f>
        <v>0</v>
      </c>
      <c r="BL34" s="51">
        <f>IF(YEAR($M34)=2016,LOOKUP($J34,[1]!CMI[[#All],[CÓDIGO DE INDICADOR]],[1]!CMI[[#All],[ProgramadoAcumulado_1]]),IF(AND(YEAR($M34)=2017,MONTH($M34)&lt;=3),LOOKUP($J34,[1]!CMI[[#All],[CÓDIGO DE INDICADOR]],[1]!CMI[[#All],[ProgramadoAcumulado_2]]),IF(AND(YEAR($M34)=2017,MONTH($M34)&lt;=6),LOOKUP($J34,[1]!CMI[[#All],[CÓDIGO DE INDICADOR]],[1]!CMI[[#All],[ProgramadoAcumulado_3]]),IF(AND(YEAR($M34)=2017,MONTH($M34)&lt;=9),LOOKUP($J34,[1]!CMI[[#All],[CÓDIGO DE INDICADOR]],[1]!CMI[[#All],[ProgramadoAcumulado_4]]),IF(AND(YEAR($M34)=2017,MONTH($M34)&lt;=12),LOOKUP($J34,[1]!CMI[[#All],[CÓDIGO DE INDICADOR]],[1]!CMI[[#All],[ProgramadoAcumulado_5]]),IF(AND(YEAR($M34)=2018,MONTH($M34)&lt;=3),LOOKUP($J34,[1]!CMI[[#All],[CÓDIGO DE INDICADOR]],[1]!CMI[[#All],[ProgramadoAcumulado_6]]),IF(AND(YEAR($M34)=2018,MONTH($M34)&lt;=6),LOOKUP($J34,[1]!CMI[[#All],[CÓDIGO DE INDICADOR]],[1]!CMI[[#All],[ProgramadoAcumulado_7]]),IF(AND(YEAR($M34)=2018,MONTH($M34)&lt;=9),LOOKUP($J34,[1]!CMI[[#All],[CÓDIGO DE INDICADOR]],[1]!CMI[[#All],[ProgramadoAcumulado_8]]),IF(AND(YEAR($M34)=2018,MONTH($M34)&lt;=12),LOOKUP($J34,[1]!CMI[[#All],[CÓDIGO DE INDICADOR]],[1]!CMI[[#All],[ProgramadoAcumulado_9]]),IF(AND(YEAR($M34)=2019,MONTH($M34)&lt;=3),LOOKUP($J34,[1]!CMI[[#All],[CÓDIGO DE INDICADOR]],[1]!CMI[[#All],[ProgramadoAcumulado_10]]),IF(AND(YEAR($M34)=2019,MONTH($M34)&lt;=6),LOOKUP($J34,[1]!CMI[[#All],[CÓDIGO DE INDICADOR]],[1]!CMI[[#All],[ProgramadoAcumulado_11]]),IF(AND(YEAR($M34)=2019,MONTH($M34)&lt;=9),LOOKUP($J34,[1]!CMI[[#All],[CÓDIGO DE INDICADOR]],[1]!CMI[[#All],[ProgramadoAcumulado_12]]),IF(AND(YEAR($M34)=2019,MONTH($M34)&lt;=12),LOOKUP($J34,[1]!CMI[[#All],[CÓDIGO DE INDICADOR]],[1]!CMI[[#All],[ProgramadoAcumulado_13]]),IF(AND(YEAR($M34)=2020,MONTH($M34)&lt;=3),LOOKUP($J34,[1]!CMI[[#All],[CÓDIGO DE INDICADOR]],[1]!CMI[[#All],[ProgramadoAcumulado_14]]),IF(AND(YEAR($M34)=2020,MONTH($M34)&lt;=6),LOOKUP($J34,[1]!CMI[[#All],[CÓDIGO DE INDICADOR]],[1]!CMI[[#All],[ProgramadoAcumulado_15]]),IF(AND(YEAR($M34)=2020,MONTH($M34)&lt;=9),LOOKUP($J34,[1]!CMI[[#All],[CÓDIGO DE INDICADOR]],[1]!CMI[[#All],[ProgramadoAcumulado_16]]),IF(AND(YEAR($M34)=2020,MONTH($M34)&lt;=12),LOOKUP($J34,[1]!CMI[[#All],[CÓDIGO DE INDICADOR]],[1]!CMI[[#All],[ProgramadoAcumulado_17]]),"N.A")))))))))))))))))</f>
        <v>0.375</v>
      </c>
      <c r="BM34" s="51">
        <f>IF(YEAR($M34)=2016,LOOKUP($J34,[1]!CMI[[#All],[CÓDIGO DE INDICADOR]],[1]!CMI[[#All],[EjecuciónAcumulada_1]]),IF(AND(YEAR($M34)=2017,MONTH($M34)&lt;=3),LOOKUP($J34,[1]!CMI[[#All],[CÓDIGO DE INDICADOR]],[1]!CMI[[#All],[EjecuciónAcumulada_2]]),IF(AND(YEAR($M34)=2017,MONTH($M34)&lt;=6),LOOKUP($J34,[1]!CMI[[#All],[CÓDIGO DE INDICADOR]],[1]!CMI[[#All],[EjecuciónAcumulada_3]]),IF(AND(YEAR($M34)=2017,MONTH($M34)&lt;=9),LOOKUP($J34,[1]!CMI[[#All],[CÓDIGO DE INDICADOR]],[1]!CMI[[#All],[EjecuciónAcumulada_4]]),IF(AND(YEAR($M34)=2017,MONTH($M34)&lt;=12),LOOKUP($J34,[1]!CMI[[#All],[CÓDIGO DE INDICADOR]],[1]!CMI[[#All],[EjecuciónAcumulada_5]]),IF(AND(YEAR($M34)=2018,MONTH($M34)&lt;=3),LOOKUP($J34,[1]!CMI[[#All],[CÓDIGO DE INDICADOR]],[1]!CMI[[#All],[EjecuciónAcumulada_6]]),IF(AND(YEAR($M34)=2018,MONTH($M34)&lt;=6),LOOKUP($J34,[1]!CMI[[#All],[CÓDIGO DE INDICADOR]],[1]!CMI[[#All],[EjecuciónAcumulada_7]]),IF(AND(YEAR($M34)=2018,MONTH($M34)&lt;=9),LOOKUP($J34,[1]!CMI[[#All],[CÓDIGO DE INDICADOR]],[1]!CMI[[#All],[EjecuciónAcumulada_8]]),IF(AND(YEAR($M34)=2018,MONTH($M34)&lt;=12),LOOKUP($J34,[1]!CMI[[#All],[CÓDIGO DE INDICADOR]],[1]!CMI[[#All],[EjecuciónAcumulada_9]]),IF(AND(YEAR($M34)=2019,MONTH($M34)&lt;=3),LOOKUP($J34,[1]!CMI[[#All],[CÓDIGO DE INDICADOR]],[1]!CMI[[#All],[EjecuciónAcumulada_10]]),IF(AND(YEAR($M34)=2019,MONTH($M34)&lt;=6),LOOKUP($J34,[1]!CMI[[#All],[CÓDIGO DE INDICADOR]],[1]!CMI[[#All],[EjecuciónAcumulada_11]]),IF(AND(YEAR($M34)=2019,MONTH($M34)&lt;=9),LOOKUP($J34,[1]!CMI[[#All],[CÓDIGO DE INDICADOR]],[1]!CMI[[#All],[EjecuciónAcumulada_12]]),IF(AND(YEAR($M34)=2019,MONTH($M34)&lt;=12),LOOKUP($J34,[1]!CMI[[#All],[CÓDIGO DE INDICADOR]],[1]!CMI[[#All],[EjecuciónAcumulada_13]]),IF(AND(YEAR($M34)=2020,MONTH($M34)&lt;=3),LOOKUP($J34,[1]!CMI[[#All],[CÓDIGO DE INDICADOR]],[1]!CMI[[#All],[EjecuciónAcumulada_14]]),IF(AND(YEAR($M34)=2020,MONTH($M34)&lt;=6),LOOKUP($J34,[1]!CMI[[#All],[CÓDIGO DE INDICADOR]],[1]!CMI[[#All],[EjecuciónAcumulada_15]]),IF(AND(YEAR($M34)=2020,MONTH($M34)&lt;=9),LOOKUP($J34,[1]!CMI[[#All],[CÓDIGO DE INDICADOR]],[1]!CMI[[#All],[EjecuciónAcumulada_16]]),IF(AND(YEAR($M34)=2020,MONTH($M34)&lt;=12),LOOKUP($J34,[1]!CMI[[#All],[CÓDIGO DE INDICADOR]],[1]!CMI[[#All],[EjecuciónAcumulada_17]]),"N.A")))))))))))))))))</f>
        <v>0.45</v>
      </c>
      <c r="BN34" s="17">
        <f t="shared" si="7"/>
        <v>1.2</v>
      </c>
      <c r="BO34" s="51">
        <f t="shared" si="0"/>
        <v>1</v>
      </c>
      <c r="BP34" s="68">
        <f t="shared" si="8"/>
        <v>0.45</v>
      </c>
    </row>
    <row r="35" spans="2:68" ht="132.75" customHeight="1">
      <c r="B35" s="134"/>
      <c r="C35" s="10" t="s">
        <v>256</v>
      </c>
      <c r="D35" s="11" t="str">
        <f>LOOKUP($J35,[1]!CMI[[#All],[CÓDIGO DE INDICADOR]],[1]!CMI[[#All],[NOMBRE DEL INDICADOR]])</f>
        <v>Avance en la dotación de las sedes de la entidad</v>
      </c>
      <c r="E35" s="11" t="str">
        <f>LOOKUP($J35,[1]!CMI[[#All],[CÓDIGO DE INDICADOR]],[1]!CMI[[#All],[FÓRMULA DE CÁLCULO]])</f>
        <v xml:space="preserve">% de avance de las actividades programadas </v>
      </c>
      <c r="F35" s="49">
        <f>LOOKUP($J35,[1]!CMI[[#All],[CÓDIGO DE INDICADOR]],[1]!CMI[[#All],[VALOR PROGRAMADO TOTAL]])</f>
        <v>1</v>
      </c>
      <c r="G35" s="10" t="s">
        <v>164</v>
      </c>
      <c r="H35" s="10" t="s">
        <v>165</v>
      </c>
      <c r="I35" s="11" t="str">
        <f>LOOKUP($J35,[1]!CMI[[#All],[CÓDIGO DE INDICADOR]],[1]!CMI[[#All],[DEPENDENCIA]])</f>
        <v>DIRECCIÓN ADMINISTRATIVA Y FINANCIERA</v>
      </c>
      <c r="J35" s="54" t="s">
        <v>244</v>
      </c>
      <c r="K35" s="11" t="str">
        <f>LOOKUP($J35,[1]!CMI[[#All],[CÓDIGO DE INDICADOR]],[1]!CMI[[#All],[CÁLCULO VALOR PROGRAMADO ACUMULADO]])</f>
        <v>Sumatoria</v>
      </c>
      <c r="L35" s="11" t="str">
        <f>LOOKUP($J35,[1]!CMI[[#All],[CÓDIGO DE INDICADOR]],[1]!CMI[[#All],[TENDENCIA DECRECIENTE]])</f>
        <v>No</v>
      </c>
      <c r="M35" s="14">
        <f>LOOKUP($J35,[1]!CMI[[#All],[CÓDIGO DE INDICADOR]],[1]!CMI[[#All],[FECHA DE CORTE]])</f>
        <v>43281</v>
      </c>
      <c r="N35" s="49">
        <v>0</v>
      </c>
      <c r="O35" s="49">
        <v>0</v>
      </c>
      <c r="P35" s="49">
        <v>0</v>
      </c>
      <c r="Q35" s="50">
        <v>0</v>
      </c>
      <c r="R35" s="50">
        <v>0</v>
      </c>
      <c r="S35" s="50">
        <v>0</v>
      </c>
      <c r="T35" s="50">
        <f>LOOKUP($J35,[1]!CMI[[#All],[CÓDIGO DE INDICADOR]],[1]!CMI[[#All],[Programado_1]])</f>
        <v>0</v>
      </c>
      <c r="U35" s="50">
        <f>IF(LOOKUP($J35,[1]!CMI[[#All],[CÓDIGO DE INDICADOR]],[1]!CMI[[#All],[Ejecutado_1]])="-",0,LOOKUP($J35,[1]!CMI[[#All],[CÓDIGO DE INDICADOR]],[1]!CMI[[#All],[Ejecutado_1]]))</f>
        <v>0</v>
      </c>
      <c r="V35" s="51">
        <f t="shared" si="9"/>
        <v>0</v>
      </c>
      <c r="W35" s="51">
        <f t="shared" si="10"/>
        <v>0</v>
      </c>
      <c r="X35" s="49">
        <f>LOOKUP($J35,[1]!CMI[[#All],[CÓDIGO DE INDICADOR]],[1]!CMI[[#All],[Programado_2]])</f>
        <v>0</v>
      </c>
      <c r="Y35" s="49">
        <f>IF(LOOKUP($J35,[1]!CMI[[#All],[CÓDIGO DE INDICADOR]],[1]!CMI[[#All],[Ejecutado_2]])="-",0,LOOKUP($J35,[1]!CMI[[#All],[CÓDIGO DE INDICADOR]],[1]!CMI[[#All],[Ejecutado_2]]))</f>
        <v>0</v>
      </c>
      <c r="Z35" s="49">
        <f>LOOKUP($J35,[1]!CMI[[#All],[CÓDIGO DE INDICADOR]],[1]!CMI[[#All],[Programado_3]])</f>
        <v>0</v>
      </c>
      <c r="AA35" s="50">
        <f>IF(LOOKUP($J35,[1]!CMI[[#All],[CÓDIGO DE INDICADOR]],[1]!CMI[[#All],[Ejecutado_3]])="-",0,LOOKUP($J35,[1]!CMI[[#All],[CÓDIGO DE INDICADOR]],[1]!CMI[[#All],[Ejecutado_3]]))</f>
        <v>0</v>
      </c>
      <c r="AB35" s="50">
        <f>LOOKUP($J35,[1]!CMI[[#All],[CÓDIGO DE INDICADOR]],[1]!CMI[[#All],[Programado_4]])</f>
        <v>0</v>
      </c>
      <c r="AC35" s="50">
        <f>IF(LOOKUP($J35,[1]!CMI[[#All],[CÓDIGO DE INDICADOR]],[1]!CMI[[#All],[Ejecutado_4]])="-",0,LOOKUP($J35,[1]!CMI[[#All],[CÓDIGO DE INDICADOR]],[1]!CMI[[#All],[Ejecutado_4]]))</f>
        <v>0</v>
      </c>
      <c r="AD35" s="50">
        <f>LOOKUP($J35,[1]!CMI[[#All],[CÓDIGO DE INDICADOR]],[1]!CMI[[#All],[Programado_5]])</f>
        <v>0.25</v>
      </c>
      <c r="AE35" s="50">
        <f>IF(LOOKUP($J35,[1]!CMI[[#All],[CÓDIGO DE INDICADOR]],[1]!CMI[[#All],[Ejecutado_5]])="-",0,LOOKUP($J35,[1]!CMI[[#All],[CÓDIGO DE INDICADOR]],[1]!CMI[[#All],[Ejecutado_5]]))</f>
        <v>0.25</v>
      </c>
      <c r="AF35" s="51">
        <f t="shared" si="11"/>
        <v>0.25</v>
      </c>
      <c r="AG35" s="51">
        <f>IF(OR(LOOKUP($J35,[1]!CMI[[#All],[CÓDIGO DE INDICADOR]],[1]!CMI[[#All],[TIPO DE FÓRMULA]])="Valor absoluto",LOOKUP($J35,[1]!CMI[[#All],[CÓDIGO DE INDICADOR]],[1]!CMI[[#All],[TIPO DE FÓRMULA]])="Suma"),Y35+AA35+AC35+AE35,IF(OR(LOOKUP($J35,[1]!CMI[[#All],[CÓDIGO DE INDICADOR]],[1]!CMI[[#All],[TIPO DE FÓRMULA]])="Porcentaje",LOOKUP($J35,[1]!CMI[[#All],[CÓDIGO DE INDICADOR]],[1]!CMI[[#All],[TIPO DE FÓRMULA]])="División"),IF(LOOKUP($J35,[1]!CMI[[#All],[CÓDIGO DE INDICADOR]],[1]!CMI[[#All],[Variable2_2]])+LOOKUP($J35,[1]!CMI[[#All],[CÓDIGO DE INDICADOR]],[1]!CMI[[#All],[Variable2_3]])+LOOKUP($J35,[1]!CMI[[#All],[CÓDIGO DE INDICADOR]],[1]!CMI[[#All],[Variable2_4]])+LOOKUP($J35,[1]!CMI[[#All],[CÓDIGO DE INDICADOR]],[1]!CMI[[#All],[Variable2_5]])=0,0,(LOOKUP($J35,[1]!CMI[[#All],[CÓDIGO DE INDICADOR]],[1]!CMI[[#All],[Variable1_2]])+LOOKUP($J35,[1]!CMI[[#All],[CÓDIGO DE INDICADOR]],[1]!CMI[[#All],[Variable1_3]])+LOOKUP($J35,[1]!CMI[[#All],[CÓDIGO DE INDICADOR]],[1]!CMI[[#All],[Variable1_4]])+LOOKUP($J35,[1]!CMI[[#All],[CÓDIGO DE INDICADOR]],[1]!CMI[[#All],[Variable1_5]]))/(LOOKUP($J35,[1]!CMI[[#All],[CÓDIGO DE INDICADOR]],[1]!CMI[[#All],[Variable2_2]])+LOOKUP($J35,[1]!CMI[[#All],[CÓDIGO DE INDICADOR]],[1]!CMI[[#All],[Variable2_3]])+LOOKUP($J35,[1]!CMI[[#All],[CÓDIGO DE INDICADOR]],[1]!CMI[[#All],[Variable2_4]])+LOOKUP($J35,[1]!CMI[[#All],[CÓDIGO DE INDICADOR]],[1]!CMI[[#All],[Variable2_5]]))),IF(LOOKUP($J35,[1]!CMI[[#All],[CÓDIGO DE INDICADOR]],[1]!CMI[[#All],[TIPO DE FÓRMULA]])="Tasa de variación",LOOKUP($J35,[1]!CMI[[#All],[CÓDIGO DE INDICADOR]],[1]!CMI[[#All],[EjecuciónAcumulada_5]]),0)))</f>
        <v>0.25</v>
      </c>
      <c r="AH35" s="49">
        <f>LOOKUP($J35,[1]!CMI[[#All],[CÓDIGO DE INDICADOR]],[1]!CMI[[#All],[Programado_6]])</f>
        <v>0</v>
      </c>
      <c r="AI35" s="49">
        <f>IF(LOOKUP($J35,[1]!CMI[[#All],[CÓDIGO DE INDICADOR]],[1]!CMI[[#All],[Ejecutado_6]])="-",0,LOOKUP($J35,[1]!CMI[[#All],[CÓDIGO DE INDICADOR]],[1]!CMI[[#All],[Ejecutado_6]]))</f>
        <v>0</v>
      </c>
      <c r="AJ35" s="49">
        <f>LOOKUP($J35,[1]!CMI[[#All],[CÓDIGO DE INDICADOR]],[1]!CMI[[#All],[Programado_7]])</f>
        <v>0.125</v>
      </c>
      <c r="AK35" s="50">
        <f>IF(LOOKUP($J35,[1]!CMI[[#All],[CÓDIGO DE INDICADOR]],[1]!CMI[[#All],[Ejecutado_7]])="-",0,LOOKUP($J35,[1]!CMI[[#All],[CÓDIGO DE INDICADOR]],[1]!CMI[[#All],[Ejecutado_7]]))</f>
        <v>0.125</v>
      </c>
      <c r="AL35" s="50">
        <f>LOOKUP($J35,[1]!CMI[[#All],[CÓDIGO DE INDICADOR]],[1]!CMI[[#All],[Programado_8]])</f>
        <v>0</v>
      </c>
      <c r="AM35" s="50">
        <f>IF(LOOKUP($J35,[1]!CMI[[#All],[CÓDIGO DE INDICADOR]],[1]!CMI[[#All],[Ejecutado_8]])="-",0,LOOKUP($J35,[1]!CMI[[#All],[CÓDIGO DE INDICADOR]],[1]!CMI[[#All],[Ejecutado_8]]))</f>
        <v>0</v>
      </c>
      <c r="AN35" s="50">
        <f>LOOKUP($J35,[1]!CMI[[#All],[CÓDIGO DE INDICADOR]],[1]!CMI[[#All],[Programado_9]])</f>
        <v>0.125</v>
      </c>
      <c r="AO35" s="50">
        <f>IF(LOOKUP($J35,[1]!CMI[[#All],[CÓDIGO DE INDICADOR]],[1]!CMI[[#All],[Ejecutado_9]])="-",0,LOOKUP($J35,[1]!CMI[[#All],[CÓDIGO DE INDICADOR]],[1]!CMI[[#All],[Ejecutado_9]]))</f>
        <v>0</v>
      </c>
      <c r="AP35" s="51">
        <f t="shared" si="12"/>
        <v>0.25</v>
      </c>
      <c r="AQ35" s="51">
        <f>IF(OR(LOOKUP($J35,[1]!CMI[[#All],[CÓDIGO DE INDICADOR]],[1]!CMI[[#All],[TIPO DE FÓRMULA]])="Valor absoluto",LOOKUP($J35,[1]!CMI[[#All],[CÓDIGO DE INDICADOR]],[1]!CMI[[#All],[TIPO DE FÓRMULA]])="Suma"),AI35+AK35+AM35+AO35,IF(OR(LOOKUP($J35,[1]!CMI[[#All],[CÓDIGO DE INDICADOR]],[1]!CMI[[#All],[TIPO DE FÓRMULA]])="Porcentaje",LOOKUP($J35,[1]!CMI[[#All],[CÓDIGO DE INDICADOR]],[1]!CMI[[#All],[TIPO DE FÓRMULA]])="División"),IF(LOOKUP($J35,[1]!CMI[[#All],[CÓDIGO DE INDICADOR]],[1]!CMI[[#All],[Variable2_6]])+LOOKUP($J35,[1]!CMI[[#All],[CÓDIGO DE INDICADOR]],[1]!CMI[[#All],[Variable2_7]])+LOOKUP($J35,[1]!CMI[[#All],[CÓDIGO DE INDICADOR]],[1]!CMI[[#All],[Variable2_8]])+LOOKUP($J35,[1]!CMI[[#All],[CÓDIGO DE INDICADOR]],[1]!CMI[[#All],[Variable2_9]])=0,0,(LOOKUP($J35,[1]!CMI[[#All],[CÓDIGO DE INDICADOR]],[1]!CMI[[#All],[Variable1_6]])+LOOKUP($J35,[1]!CMI[[#All],[CÓDIGO DE INDICADOR]],[1]!CMI[[#All],[Variable1_7]])+LOOKUP($J35,[1]!CMI[[#All],[CÓDIGO DE INDICADOR]],[1]!CMI[[#All],[Variable1_8]])+LOOKUP($J35,[1]!CMI[[#All],[CÓDIGO DE INDICADOR]],[1]!CMI[[#All],[Variable1_9]]))/(LOOKUP($J35,[1]!CMI[[#All],[CÓDIGO DE INDICADOR]],[1]!CMI[[#All],[Variable2_6]])+LOOKUP($J35,[1]!CMI[[#All],[CÓDIGO DE INDICADOR]],[1]!CMI[[#All],[Variable2_7]])+LOOKUP($J35,[1]!CMI[[#All],[CÓDIGO DE INDICADOR]],[1]!CMI[[#All],[Variable2_8]])+LOOKUP($J35,[1]!CMI[[#All],[CÓDIGO DE INDICADOR]],[1]!CMI[[#All],[Variable2_9]]))),IF(LOOKUP($J35,[1]!CMI[[#All],[CÓDIGO DE INDICADOR]],[1]!CMI[[#All],[TIPO DE FÓRMULA]])="Tasa de variación",LOOKUP($J35,[1]!CMI[[#All],[CÓDIGO DE INDICADOR]],[1]!CMI[[#All],[EjecuciónAcumulada_9]]),0)))</f>
        <v>0.125</v>
      </c>
      <c r="AR35" s="49">
        <f>LOOKUP($J35,[1]!CMI[[#All],[CÓDIGO DE INDICADOR]],[1]!CMI[[#All],[Programado_10]])</f>
        <v>0</v>
      </c>
      <c r="AS35" s="49">
        <f>IF(LOOKUP($J35,[1]!CMI[[#All],[CÓDIGO DE INDICADOR]],[1]!CMI[[#All],[Ejecutado_10]])="-",0,LOOKUP($J35,[1]!CMI[[#All],[CÓDIGO DE INDICADOR]],[1]!CMI[[#All],[Ejecutado_10]]))</f>
        <v>0</v>
      </c>
      <c r="AT35" s="49">
        <f>LOOKUP($J35,[1]!CMI[[#All],[CÓDIGO DE INDICADOR]],[1]!CMI[[#All],[Programado_11]])</f>
        <v>0.125</v>
      </c>
      <c r="AU35" s="50">
        <f>IF(LOOKUP($J35,[1]!CMI[[#All],[CÓDIGO DE INDICADOR]],[1]!CMI[[#All],[Ejecutado_11]])="-",0,LOOKUP($J35,[1]!CMI[[#All],[CÓDIGO DE INDICADOR]],[1]!CMI[[#All],[Ejecutado_11]]))</f>
        <v>0</v>
      </c>
      <c r="AV35" s="50">
        <f>LOOKUP($J35,[1]!CMI[[#All],[CÓDIGO DE INDICADOR]],[1]!CMI[[#All],[Programado_12]])</f>
        <v>0</v>
      </c>
      <c r="AW35" s="50">
        <f>IF(LOOKUP($J35,[1]!CMI[[#All],[CÓDIGO DE INDICADOR]],[1]!CMI[[#All],[Ejecutado_12]])="-",0,LOOKUP($J35,[1]!CMI[[#All],[CÓDIGO DE INDICADOR]],[1]!CMI[[#All],[Ejecutado_12]]))</f>
        <v>0</v>
      </c>
      <c r="AX35" s="50">
        <f>LOOKUP($J35,[1]!CMI[[#All],[CÓDIGO DE INDICADOR]],[1]!CMI[[#All],[Programado_13]])</f>
        <v>0.125</v>
      </c>
      <c r="AY35" s="50">
        <f>IF(LOOKUP($J35,[1]!CMI[[#All],[CÓDIGO DE INDICADOR]],[1]!CMI[[#All],[Ejecutado_13]])="-",0,LOOKUP($J35,[1]!CMI[[#All],[CÓDIGO DE INDICADOR]],[1]!CMI[[#All],[Ejecutado_13]]))</f>
        <v>0</v>
      </c>
      <c r="AZ35" s="51">
        <f t="shared" si="13"/>
        <v>0.25</v>
      </c>
      <c r="BA35" s="51">
        <f>IF(OR(LOOKUP($J35,[1]!CMI[[#All],[CÓDIGO DE INDICADOR]],[1]!CMI[[#All],[TIPO DE FÓRMULA]])="Valor absoluto",LOOKUP($J35,[1]!CMI[[#All],[CÓDIGO DE INDICADOR]],[1]!CMI[[#All],[TIPO DE FÓRMULA]])="Suma"),AS35+AU35+AW35+AY35,IF(OR(LOOKUP($J35,[1]!CMI[[#All],[CÓDIGO DE INDICADOR]],[1]!CMI[[#All],[TIPO DE FÓRMULA]])="Porcentaje",LOOKUP($J35,[1]!CMI[[#All],[CÓDIGO DE INDICADOR]],[1]!CMI[[#All],[TIPO DE FÓRMULA]])="División"),IF(LOOKUP($J35,[1]!CMI[[#All],[CÓDIGO DE INDICADOR]],[1]!CMI[[#All],[Variable2_10]])+LOOKUP($J35,[1]!CMI[[#All],[CÓDIGO DE INDICADOR]],[1]!CMI[[#All],[Variable2_11]])+LOOKUP($J35,[1]!CMI[[#All],[CÓDIGO DE INDICADOR]],[1]!CMI[[#All],[Variable2_12]])+LOOKUP($J35,[1]!CMI[[#All],[CÓDIGO DE INDICADOR]],[1]!CMI[[#All],[Variable2_13]])=0,0,(LOOKUP($J35,[1]!CMI[[#All],[CÓDIGO DE INDICADOR]],[1]!CMI[[#All],[Variable1_10]])+LOOKUP($J35,[1]!CMI[[#All],[CÓDIGO DE INDICADOR]],[1]!CMI[[#All],[Variable1_11]])+LOOKUP($J35,[1]!CMI[[#All],[CÓDIGO DE INDICADOR]],[1]!CMI[[#All],[Variable1_12]])+LOOKUP($J35,[1]!CMI[[#All],[CÓDIGO DE INDICADOR]],[1]!CMI[[#All],[Variable1_13]]))/(LOOKUP($J35,[1]!CMI[[#All],[CÓDIGO DE INDICADOR]],[1]!CMI[[#All],[Variable2_10]])+LOOKUP($J35,[1]!CMI[[#All],[CÓDIGO DE INDICADOR]],[1]!CMI[[#All],[Variable2_11]])+LOOKUP($J35,[1]!CMI[[#All],[CÓDIGO DE INDICADOR]],[1]!CMI[[#All],[Variable2_12]])+LOOKUP($J35,[1]!CMI[[#All],[CÓDIGO DE INDICADOR]],[1]!CMI[[#All],[Variable2_13]]))),IF(LOOKUP($J35,[1]!CMI[[#All],[CÓDIGO DE INDICADOR]],[1]!CMI[[#All],[TIPO DE FÓRMULA]])="Tasa de variación",LOOKUP($J35,[1]!CMI[[#All],[CÓDIGO DE INDICADOR]],[1]!CMI[[#All],[EjecuciónAcumulada_13]]),0)))</f>
        <v>0</v>
      </c>
      <c r="BB35" s="49">
        <f>LOOKUP($J35,[1]!CMI[[#All],[CÓDIGO DE INDICADOR]],[1]!CMI[[#All],[Programado_14]])</f>
        <v>0</v>
      </c>
      <c r="BC35" s="49">
        <f>IF(LOOKUP($J35,[1]!CMI[[#All],[CÓDIGO DE INDICADOR]],[1]!CMI[[#All],[Ejecutado_14]])="-",0,LOOKUP($J35,[1]!CMI[[#All],[CÓDIGO DE INDICADOR]],[1]!CMI[[#All],[Ejecutado_14]]))</f>
        <v>0</v>
      </c>
      <c r="BD35" s="49">
        <f>LOOKUP($J35,[1]!CMI[[#All],[CÓDIGO DE INDICADOR]],[1]!CMI[[#All],[Programado_15]])</f>
        <v>0.125</v>
      </c>
      <c r="BE35" s="50">
        <f>IF(LOOKUP($J35,[1]!CMI[[#All],[CÓDIGO DE INDICADOR]],[1]!CMI[[#All],[Ejecutado_15]])="-",0,LOOKUP($J35,[1]!CMI[[#All],[CÓDIGO DE INDICADOR]],[1]!CMI[[#All],[Ejecutado_15]]))</f>
        <v>0</v>
      </c>
      <c r="BF35" s="50">
        <f>LOOKUP($J35,[1]!CMI[[#All],[CÓDIGO DE INDICADOR]],[1]!CMI[[#All],[Programado_16]])</f>
        <v>0</v>
      </c>
      <c r="BG35" s="50">
        <f>IF(LOOKUP($J35,[1]!CMI[[#All],[CÓDIGO DE INDICADOR]],[1]!CMI[[#All],[Ejecutado_16]])="-",0,LOOKUP($J35,[1]!CMI[[#All],[CÓDIGO DE INDICADOR]],[1]!CMI[[#All],[Ejecutado_16]]))</f>
        <v>0</v>
      </c>
      <c r="BH35" s="50">
        <f>LOOKUP($J35,[1]!CMI[[#All],[CÓDIGO DE INDICADOR]],[1]!CMI[[#All],[Programado_17]])</f>
        <v>0.125</v>
      </c>
      <c r="BI35" s="50">
        <f>IF(LOOKUP($J35,[1]!CMI[[#All],[CÓDIGO DE INDICADOR]],[1]!CMI[[#All],[Ejecutado_17]])="-",0,LOOKUP($J35,[1]!CMI[[#All],[CÓDIGO DE INDICADOR]],[1]!CMI[[#All],[Ejecutado_17]]))</f>
        <v>0</v>
      </c>
      <c r="BJ35" s="51">
        <f t="shared" si="14"/>
        <v>0.25</v>
      </c>
      <c r="BK35" s="51">
        <f>IF(OR(LOOKUP($J35,[1]!CMI[[#All],[CÓDIGO DE INDICADOR]],[1]!CMI[[#All],[TIPO DE FÓRMULA]])="Valor absoluto",LOOKUP($J35,[1]!CMI[[#All],[CÓDIGO DE INDICADOR]],[1]!CMI[[#All],[TIPO DE FÓRMULA]])="Suma"),BC35+BE35+BG35+BI35,IF(OR(LOOKUP($J35,[1]!CMI[[#All],[CÓDIGO DE INDICADOR]],[1]!CMI[[#All],[TIPO DE FÓRMULA]])="Porcentaje",LOOKUP($J35,[1]!CMI[[#All],[CÓDIGO DE INDICADOR]],[1]!CMI[[#All],[TIPO DE FÓRMULA]])="División"),IF(LOOKUP($J35,[1]!CMI[[#All],[CÓDIGO DE INDICADOR]],[1]!CMI[[#All],[Variable2_14]])+LOOKUP($J35,[1]!CMI[[#All],[CÓDIGO DE INDICADOR]],[1]!CMI[[#All],[Variable2_15]])+LOOKUP($J35,[1]!CMI[[#All],[CÓDIGO DE INDICADOR]],[1]!CMI[[#All],[Variable2_16]])+LOOKUP($J35,[1]!CMI[[#All],[CÓDIGO DE INDICADOR]],[1]!CMI[[#All],[Variable2_17]])=0,0,(LOOKUP($J35,[1]!CMI[[#All],[CÓDIGO DE INDICADOR]],[1]!CMI[[#All],[Variable1_14]])+LOOKUP($J35,[1]!CMI[[#All],[CÓDIGO DE INDICADOR]],[1]!CMI[[#All],[Variable1_15]])+LOOKUP($J35,[1]!CMI[[#All],[CÓDIGO DE INDICADOR]],[1]!CMI[[#All],[Variable1_16]])+LOOKUP($J35,[1]!CMI[[#All],[CÓDIGO DE INDICADOR]],[1]!CMI[[#All],[Variable1_17]]))/(LOOKUP($J35,[1]!CMI[[#All],[CÓDIGO DE INDICADOR]],[1]!CMI[[#All],[Variable2_14]])+LOOKUP($J35,[1]!CMI[[#All],[CÓDIGO DE INDICADOR]],[1]!CMI[[#All],[Variable2_15]])+LOOKUP($J35,[1]!CMI[[#All],[CÓDIGO DE INDICADOR]],[1]!CMI[[#All],[Variable2_16]])+LOOKUP($J35,[1]!CMI[[#All],[CÓDIGO DE INDICADOR]],[1]!CMI[[#All],[Variable2_17]]))),IF(LOOKUP($J35,[1]!CMI[[#All],[CÓDIGO DE INDICADOR]],[1]!CMI[[#All],[TIPO DE FÓRMULA]])="Tasa de variación",LOOKUP($J35,[1]!CMI[[#All],[CÓDIGO DE INDICADOR]],[1]!CMI[[#All],[EjecuciónAcumulada_17]]),0)))</f>
        <v>0</v>
      </c>
      <c r="BL35" s="51">
        <f>IF(YEAR($M35)=2016,LOOKUP($J35,[1]!CMI[[#All],[CÓDIGO DE INDICADOR]],[1]!CMI[[#All],[ProgramadoAcumulado_1]]),IF(AND(YEAR($M35)=2017,MONTH($M35)&lt;=3),LOOKUP($J35,[1]!CMI[[#All],[CÓDIGO DE INDICADOR]],[1]!CMI[[#All],[ProgramadoAcumulado_2]]),IF(AND(YEAR($M35)=2017,MONTH($M35)&lt;=6),LOOKUP($J35,[1]!CMI[[#All],[CÓDIGO DE INDICADOR]],[1]!CMI[[#All],[ProgramadoAcumulado_3]]),IF(AND(YEAR($M35)=2017,MONTH($M35)&lt;=9),LOOKUP($J35,[1]!CMI[[#All],[CÓDIGO DE INDICADOR]],[1]!CMI[[#All],[ProgramadoAcumulado_4]]),IF(AND(YEAR($M35)=2017,MONTH($M35)&lt;=12),LOOKUP($J35,[1]!CMI[[#All],[CÓDIGO DE INDICADOR]],[1]!CMI[[#All],[ProgramadoAcumulado_5]]),IF(AND(YEAR($M35)=2018,MONTH($M35)&lt;=3),LOOKUP($J35,[1]!CMI[[#All],[CÓDIGO DE INDICADOR]],[1]!CMI[[#All],[ProgramadoAcumulado_6]]),IF(AND(YEAR($M35)=2018,MONTH($M35)&lt;=6),LOOKUP($J35,[1]!CMI[[#All],[CÓDIGO DE INDICADOR]],[1]!CMI[[#All],[ProgramadoAcumulado_7]]),IF(AND(YEAR($M35)=2018,MONTH($M35)&lt;=9),LOOKUP($J35,[1]!CMI[[#All],[CÓDIGO DE INDICADOR]],[1]!CMI[[#All],[ProgramadoAcumulado_8]]),IF(AND(YEAR($M35)=2018,MONTH($M35)&lt;=12),LOOKUP($J35,[1]!CMI[[#All],[CÓDIGO DE INDICADOR]],[1]!CMI[[#All],[ProgramadoAcumulado_9]]),IF(AND(YEAR($M35)=2019,MONTH($M35)&lt;=3),LOOKUP($J35,[1]!CMI[[#All],[CÓDIGO DE INDICADOR]],[1]!CMI[[#All],[ProgramadoAcumulado_10]]),IF(AND(YEAR($M35)=2019,MONTH($M35)&lt;=6),LOOKUP($J35,[1]!CMI[[#All],[CÓDIGO DE INDICADOR]],[1]!CMI[[#All],[ProgramadoAcumulado_11]]),IF(AND(YEAR($M35)=2019,MONTH($M35)&lt;=9),LOOKUP($J35,[1]!CMI[[#All],[CÓDIGO DE INDICADOR]],[1]!CMI[[#All],[ProgramadoAcumulado_12]]),IF(AND(YEAR($M35)=2019,MONTH($M35)&lt;=12),LOOKUP($J35,[1]!CMI[[#All],[CÓDIGO DE INDICADOR]],[1]!CMI[[#All],[ProgramadoAcumulado_13]]),IF(AND(YEAR($M35)=2020,MONTH($M35)&lt;=3),LOOKUP($J35,[1]!CMI[[#All],[CÓDIGO DE INDICADOR]],[1]!CMI[[#All],[ProgramadoAcumulado_14]]),IF(AND(YEAR($M35)=2020,MONTH($M35)&lt;=6),LOOKUP($J35,[1]!CMI[[#All],[CÓDIGO DE INDICADOR]],[1]!CMI[[#All],[ProgramadoAcumulado_15]]),IF(AND(YEAR($M35)=2020,MONTH($M35)&lt;=9),LOOKUP($J35,[1]!CMI[[#All],[CÓDIGO DE INDICADOR]],[1]!CMI[[#All],[ProgramadoAcumulado_16]]),IF(AND(YEAR($M35)=2020,MONTH($M35)&lt;=12),LOOKUP($J35,[1]!CMI[[#All],[CÓDIGO DE INDICADOR]],[1]!CMI[[#All],[ProgramadoAcumulado_17]]),"N.A")))))))))))))))))</f>
        <v>0.375</v>
      </c>
      <c r="BM35" s="51">
        <f>IF(YEAR($M35)=2016,LOOKUP($J35,[1]!CMI[[#All],[CÓDIGO DE INDICADOR]],[1]!CMI[[#All],[EjecuciónAcumulada_1]]),IF(AND(YEAR($M35)=2017,MONTH($M35)&lt;=3),LOOKUP($J35,[1]!CMI[[#All],[CÓDIGO DE INDICADOR]],[1]!CMI[[#All],[EjecuciónAcumulada_2]]),IF(AND(YEAR($M35)=2017,MONTH($M35)&lt;=6),LOOKUP($J35,[1]!CMI[[#All],[CÓDIGO DE INDICADOR]],[1]!CMI[[#All],[EjecuciónAcumulada_3]]),IF(AND(YEAR($M35)=2017,MONTH($M35)&lt;=9),LOOKUP($J35,[1]!CMI[[#All],[CÓDIGO DE INDICADOR]],[1]!CMI[[#All],[EjecuciónAcumulada_4]]),IF(AND(YEAR($M35)=2017,MONTH($M35)&lt;=12),LOOKUP($J35,[1]!CMI[[#All],[CÓDIGO DE INDICADOR]],[1]!CMI[[#All],[EjecuciónAcumulada_5]]),IF(AND(YEAR($M35)=2018,MONTH($M35)&lt;=3),LOOKUP($J35,[1]!CMI[[#All],[CÓDIGO DE INDICADOR]],[1]!CMI[[#All],[EjecuciónAcumulada_6]]),IF(AND(YEAR($M35)=2018,MONTH($M35)&lt;=6),LOOKUP($J35,[1]!CMI[[#All],[CÓDIGO DE INDICADOR]],[1]!CMI[[#All],[EjecuciónAcumulada_7]]),IF(AND(YEAR($M35)=2018,MONTH($M35)&lt;=9),LOOKUP($J35,[1]!CMI[[#All],[CÓDIGO DE INDICADOR]],[1]!CMI[[#All],[EjecuciónAcumulada_8]]),IF(AND(YEAR($M35)=2018,MONTH($M35)&lt;=12),LOOKUP($J35,[1]!CMI[[#All],[CÓDIGO DE INDICADOR]],[1]!CMI[[#All],[EjecuciónAcumulada_9]]),IF(AND(YEAR($M35)=2019,MONTH($M35)&lt;=3),LOOKUP($J35,[1]!CMI[[#All],[CÓDIGO DE INDICADOR]],[1]!CMI[[#All],[EjecuciónAcumulada_10]]),IF(AND(YEAR($M35)=2019,MONTH($M35)&lt;=6),LOOKUP($J35,[1]!CMI[[#All],[CÓDIGO DE INDICADOR]],[1]!CMI[[#All],[EjecuciónAcumulada_11]]),IF(AND(YEAR($M35)=2019,MONTH($M35)&lt;=9),LOOKUP($J35,[1]!CMI[[#All],[CÓDIGO DE INDICADOR]],[1]!CMI[[#All],[EjecuciónAcumulada_12]]),IF(AND(YEAR($M35)=2019,MONTH($M35)&lt;=12),LOOKUP($J35,[1]!CMI[[#All],[CÓDIGO DE INDICADOR]],[1]!CMI[[#All],[EjecuciónAcumulada_13]]),IF(AND(YEAR($M35)=2020,MONTH($M35)&lt;=3),LOOKUP($J35,[1]!CMI[[#All],[CÓDIGO DE INDICADOR]],[1]!CMI[[#All],[EjecuciónAcumulada_14]]),IF(AND(YEAR($M35)=2020,MONTH($M35)&lt;=6),LOOKUP($J35,[1]!CMI[[#All],[CÓDIGO DE INDICADOR]],[1]!CMI[[#All],[EjecuciónAcumulada_15]]),IF(AND(YEAR($M35)=2020,MONTH($M35)&lt;=9),LOOKUP($J35,[1]!CMI[[#All],[CÓDIGO DE INDICADOR]],[1]!CMI[[#All],[EjecuciónAcumulada_16]]),IF(AND(YEAR($M35)=2020,MONTH($M35)&lt;=12),LOOKUP($J35,[1]!CMI[[#All],[CÓDIGO DE INDICADOR]],[1]!CMI[[#All],[EjecuciónAcumulada_17]]),"N.A")))))))))))))))))</f>
        <v>0.375</v>
      </c>
      <c r="BN35" s="17">
        <f t="shared" si="7"/>
        <v>1</v>
      </c>
      <c r="BO35" s="51">
        <f t="shared" si="0"/>
        <v>1</v>
      </c>
      <c r="BP35" s="68">
        <f t="shared" si="8"/>
        <v>0.375</v>
      </c>
    </row>
    <row r="36" spans="2:68" ht="174.75" customHeight="1">
      <c r="B36" s="134"/>
      <c r="C36" s="10" t="s">
        <v>257</v>
      </c>
      <c r="D36" s="11" t="str">
        <f>LOOKUP($J36,[1]!CMI[[#All],[CÓDIGO DE INDICADOR]],[1]!CMI[[#All],[NOMBRE DEL INDICADOR]])</f>
        <v>Avance en la renovación del parque automotor</v>
      </c>
      <c r="E36" s="11" t="str">
        <f>LOOKUP($J36,[1]!CMI[[#All],[CÓDIGO DE INDICADOR]],[1]!CMI[[#All],[FÓRMULA DE CÁLCULO]])</f>
        <v xml:space="preserve">% de avance de las actividades programadas </v>
      </c>
      <c r="F36" s="49">
        <f>LOOKUP($J36,[1]!CMI[[#All],[CÓDIGO DE INDICADOR]],[1]!CMI[[#All],[VALOR PROGRAMADO TOTAL]])</f>
        <v>1</v>
      </c>
      <c r="G36" s="10" t="s">
        <v>166</v>
      </c>
      <c r="H36" s="10" t="s">
        <v>167</v>
      </c>
      <c r="I36" s="11" t="str">
        <f>LOOKUP($J36,[1]!CMI[[#All],[CÓDIGO DE INDICADOR]],[1]!CMI[[#All],[DEPENDENCIA]])</f>
        <v>DIRECCIÓN ADMINISTRATIVA Y FINANCIERA</v>
      </c>
      <c r="J36" s="54" t="s">
        <v>245</v>
      </c>
      <c r="K36" s="11" t="str">
        <f>LOOKUP($J36,[1]!CMI[[#All],[CÓDIGO DE INDICADOR]],[1]!CMI[[#All],[CÁLCULO VALOR PROGRAMADO ACUMULADO]])</f>
        <v>Última</v>
      </c>
      <c r="L36" s="11" t="str">
        <f>LOOKUP($J36,[1]!CMI[[#All],[CÓDIGO DE INDICADOR]],[1]!CMI[[#All],[TENDENCIA DECRECIENTE]])</f>
        <v>No</v>
      </c>
      <c r="M36" s="14">
        <f>LOOKUP($J36,[1]!CMI[[#All],[CÓDIGO DE INDICADOR]],[1]!CMI[[#All],[FECHA DE CORTE]])</f>
        <v>43281</v>
      </c>
      <c r="N36" s="49">
        <v>0</v>
      </c>
      <c r="O36" s="49">
        <v>0</v>
      </c>
      <c r="P36" s="49">
        <v>0</v>
      </c>
      <c r="Q36" s="50">
        <v>0</v>
      </c>
      <c r="R36" s="50">
        <v>0</v>
      </c>
      <c r="S36" s="50">
        <v>0</v>
      </c>
      <c r="T36" s="50">
        <f>LOOKUP($J36,[1]!CMI[[#All],[CÓDIGO DE INDICADOR]],[1]!CMI[[#All],[Programado_1]])</f>
        <v>0</v>
      </c>
      <c r="U36" s="50">
        <f>IF(LOOKUP($J36,[1]!CMI[[#All],[CÓDIGO DE INDICADOR]],[1]!CMI[[#All],[Ejecutado_1]])="-",0,LOOKUP($J36,[1]!CMI[[#All],[CÓDIGO DE INDICADOR]],[1]!CMI[[#All],[Ejecutado_1]]))</f>
        <v>0</v>
      </c>
      <c r="V36" s="51">
        <f t="shared" si="9"/>
        <v>0</v>
      </c>
      <c r="W36" s="51">
        <f t="shared" si="10"/>
        <v>0</v>
      </c>
      <c r="X36" s="49">
        <f>LOOKUP($J36,[1]!CMI[[#All],[CÓDIGO DE INDICADOR]],[1]!CMI[[#All],[Programado_2]])</f>
        <v>0</v>
      </c>
      <c r="Y36" s="49">
        <f>IF(LOOKUP($J36,[1]!CMI[[#All],[CÓDIGO DE INDICADOR]],[1]!CMI[[#All],[Ejecutado_2]])="-",0,LOOKUP($J36,[1]!CMI[[#All],[CÓDIGO DE INDICADOR]],[1]!CMI[[#All],[Ejecutado_2]]))</f>
        <v>0</v>
      </c>
      <c r="Z36" s="49">
        <f>LOOKUP($J36,[1]!CMI[[#All],[CÓDIGO DE INDICADOR]],[1]!CMI[[#All],[Programado_3]])</f>
        <v>0</v>
      </c>
      <c r="AA36" s="50">
        <f>IF(LOOKUP($J36,[1]!CMI[[#All],[CÓDIGO DE INDICADOR]],[1]!CMI[[#All],[Ejecutado_3]])="-",0,LOOKUP($J36,[1]!CMI[[#All],[CÓDIGO DE INDICADOR]],[1]!CMI[[#All],[Ejecutado_3]]))</f>
        <v>0</v>
      </c>
      <c r="AB36" s="50">
        <f>LOOKUP($J36,[1]!CMI[[#All],[CÓDIGO DE INDICADOR]],[1]!CMI[[#All],[Programado_4]])</f>
        <v>0</v>
      </c>
      <c r="AC36" s="50">
        <f>IF(LOOKUP($J36,[1]!CMI[[#All],[CÓDIGO DE INDICADOR]],[1]!CMI[[#All],[Ejecutado_4]])="-",0,LOOKUP($J36,[1]!CMI[[#All],[CÓDIGO DE INDICADOR]],[1]!CMI[[#All],[Ejecutado_4]]))</f>
        <v>0</v>
      </c>
      <c r="AD36" s="50">
        <f>LOOKUP($J36,[1]!CMI[[#All],[CÓDIGO DE INDICADOR]],[1]!CMI[[#All],[Programado_5]])</f>
        <v>0.5</v>
      </c>
      <c r="AE36" s="50">
        <f>IF(LOOKUP($J36,[1]!CMI[[#All],[CÓDIGO DE INDICADOR]],[1]!CMI[[#All],[Ejecutado_5]])="-",0,LOOKUP($J36,[1]!CMI[[#All],[CÓDIGO DE INDICADOR]],[1]!CMI[[#All],[Ejecutado_5]]))</f>
        <v>0.5</v>
      </c>
      <c r="AF36" s="51">
        <f t="shared" si="11"/>
        <v>0.5</v>
      </c>
      <c r="AG36" s="51">
        <f>IF(OR(LOOKUP($J36,[1]!CMI[[#All],[CÓDIGO DE INDICADOR]],[1]!CMI[[#All],[TIPO DE FÓRMULA]])="Valor absoluto",LOOKUP($J36,[1]!CMI[[#All],[CÓDIGO DE INDICADOR]],[1]!CMI[[#All],[TIPO DE FÓRMULA]])="Suma"),Y36+AA36+AC36+AE36,IF(OR(LOOKUP($J36,[1]!CMI[[#All],[CÓDIGO DE INDICADOR]],[1]!CMI[[#All],[TIPO DE FÓRMULA]])="Porcentaje",LOOKUP($J36,[1]!CMI[[#All],[CÓDIGO DE INDICADOR]],[1]!CMI[[#All],[TIPO DE FÓRMULA]])="División"),IF(LOOKUP($J36,[1]!CMI[[#All],[CÓDIGO DE INDICADOR]],[1]!CMI[[#All],[Variable2_2]])+LOOKUP($J36,[1]!CMI[[#All],[CÓDIGO DE INDICADOR]],[1]!CMI[[#All],[Variable2_3]])+LOOKUP($J36,[1]!CMI[[#All],[CÓDIGO DE INDICADOR]],[1]!CMI[[#All],[Variable2_4]])+LOOKUP($J36,[1]!CMI[[#All],[CÓDIGO DE INDICADOR]],[1]!CMI[[#All],[Variable2_5]])=0,0,(LOOKUP($J36,[1]!CMI[[#All],[CÓDIGO DE INDICADOR]],[1]!CMI[[#All],[Variable1_2]])+LOOKUP($J36,[1]!CMI[[#All],[CÓDIGO DE INDICADOR]],[1]!CMI[[#All],[Variable1_3]])+LOOKUP($J36,[1]!CMI[[#All],[CÓDIGO DE INDICADOR]],[1]!CMI[[#All],[Variable1_4]])+LOOKUP($J36,[1]!CMI[[#All],[CÓDIGO DE INDICADOR]],[1]!CMI[[#All],[Variable1_5]]))/(LOOKUP($J36,[1]!CMI[[#All],[CÓDIGO DE INDICADOR]],[1]!CMI[[#All],[Variable2_2]])+LOOKUP($J36,[1]!CMI[[#All],[CÓDIGO DE INDICADOR]],[1]!CMI[[#All],[Variable2_3]])+LOOKUP($J36,[1]!CMI[[#All],[CÓDIGO DE INDICADOR]],[1]!CMI[[#All],[Variable2_4]])+LOOKUP($J36,[1]!CMI[[#All],[CÓDIGO DE INDICADOR]],[1]!CMI[[#All],[Variable2_5]]))),IF(LOOKUP($J36,[1]!CMI[[#All],[CÓDIGO DE INDICADOR]],[1]!CMI[[#All],[TIPO DE FÓRMULA]])="Tasa de variación",LOOKUP($J36,[1]!CMI[[#All],[CÓDIGO DE INDICADOR]],[1]!CMI[[#All],[EjecuciónAcumulada_5]]),0)))</f>
        <v>0.5</v>
      </c>
      <c r="AH36" s="49">
        <f>LOOKUP($J36,[1]!CMI[[#All],[CÓDIGO DE INDICADOR]],[1]!CMI[[#All],[Programado_6]])</f>
        <v>0</v>
      </c>
      <c r="AI36" s="49">
        <f>IF(LOOKUP($J36,[1]!CMI[[#All],[CÓDIGO DE INDICADOR]],[1]!CMI[[#All],[Ejecutado_6]])="-",0,LOOKUP($J36,[1]!CMI[[#All],[CÓDIGO DE INDICADOR]],[1]!CMI[[#All],[Ejecutado_6]]))</f>
        <v>0</v>
      </c>
      <c r="AJ36" s="49">
        <f>LOOKUP($J36,[1]!CMI[[#All],[CÓDIGO DE INDICADOR]],[1]!CMI[[#All],[Programado_7]])</f>
        <v>0</v>
      </c>
      <c r="AK36" s="50">
        <f>IF(LOOKUP($J36,[1]!CMI[[#All],[CÓDIGO DE INDICADOR]],[1]!CMI[[#All],[Ejecutado_7]])="-",0,LOOKUP($J36,[1]!CMI[[#All],[CÓDIGO DE INDICADOR]],[1]!CMI[[#All],[Ejecutado_7]]))</f>
        <v>0</v>
      </c>
      <c r="AL36" s="50">
        <f>LOOKUP($J36,[1]!CMI[[#All],[CÓDIGO DE INDICADOR]],[1]!CMI[[#All],[Programado_8]])</f>
        <v>0</v>
      </c>
      <c r="AM36" s="50">
        <f>IF(LOOKUP($J36,[1]!CMI[[#All],[CÓDIGO DE INDICADOR]],[1]!CMI[[#All],[Ejecutado_8]])="-",0,LOOKUP($J36,[1]!CMI[[#All],[CÓDIGO DE INDICADOR]],[1]!CMI[[#All],[Ejecutado_8]]))</f>
        <v>0</v>
      </c>
      <c r="AN36" s="50">
        <f>LOOKUP($J36,[1]!CMI[[#All],[CÓDIGO DE INDICADOR]],[1]!CMI[[#All],[Programado_9]])</f>
        <v>1</v>
      </c>
      <c r="AO36" s="50">
        <f>IF(LOOKUP($J36,[1]!CMI[[#All],[CÓDIGO DE INDICADOR]],[1]!CMI[[#All],[Ejecutado_9]])="-",0,LOOKUP($J36,[1]!CMI[[#All],[CÓDIGO DE INDICADOR]],[1]!CMI[[#All],[Ejecutado_9]]))</f>
        <v>0</v>
      </c>
      <c r="AP36" s="51">
        <f t="shared" si="12"/>
        <v>1</v>
      </c>
      <c r="AQ36" s="51">
        <f>IF(OR(LOOKUP($J36,[1]!CMI[[#All],[CÓDIGO DE INDICADOR]],[1]!CMI[[#All],[TIPO DE FÓRMULA]])="Valor absoluto",LOOKUP($J36,[1]!CMI[[#All],[CÓDIGO DE INDICADOR]],[1]!CMI[[#All],[TIPO DE FÓRMULA]])="Suma"),AI36+AK36+AM36+AO36,IF(OR(LOOKUP($J36,[1]!CMI[[#All],[CÓDIGO DE INDICADOR]],[1]!CMI[[#All],[TIPO DE FÓRMULA]])="Porcentaje",LOOKUP($J36,[1]!CMI[[#All],[CÓDIGO DE INDICADOR]],[1]!CMI[[#All],[TIPO DE FÓRMULA]])="División"),IF(LOOKUP($J36,[1]!CMI[[#All],[CÓDIGO DE INDICADOR]],[1]!CMI[[#All],[Variable2_6]])+LOOKUP($J36,[1]!CMI[[#All],[CÓDIGO DE INDICADOR]],[1]!CMI[[#All],[Variable2_7]])+LOOKUP($J36,[1]!CMI[[#All],[CÓDIGO DE INDICADOR]],[1]!CMI[[#All],[Variable2_8]])+LOOKUP($J36,[1]!CMI[[#All],[CÓDIGO DE INDICADOR]],[1]!CMI[[#All],[Variable2_9]])=0,0,(LOOKUP($J36,[1]!CMI[[#All],[CÓDIGO DE INDICADOR]],[1]!CMI[[#All],[Variable1_6]])+LOOKUP($J36,[1]!CMI[[#All],[CÓDIGO DE INDICADOR]],[1]!CMI[[#All],[Variable1_7]])+LOOKUP($J36,[1]!CMI[[#All],[CÓDIGO DE INDICADOR]],[1]!CMI[[#All],[Variable1_8]])+LOOKUP($J36,[1]!CMI[[#All],[CÓDIGO DE INDICADOR]],[1]!CMI[[#All],[Variable1_9]]))/(LOOKUP($J36,[1]!CMI[[#All],[CÓDIGO DE INDICADOR]],[1]!CMI[[#All],[Variable2_6]])+LOOKUP($J36,[1]!CMI[[#All],[CÓDIGO DE INDICADOR]],[1]!CMI[[#All],[Variable2_7]])+LOOKUP($J36,[1]!CMI[[#All],[CÓDIGO DE INDICADOR]],[1]!CMI[[#All],[Variable2_8]])+LOOKUP($J36,[1]!CMI[[#All],[CÓDIGO DE INDICADOR]],[1]!CMI[[#All],[Variable2_9]]))),IF(LOOKUP($J36,[1]!CMI[[#All],[CÓDIGO DE INDICADOR]],[1]!CMI[[#All],[TIPO DE FÓRMULA]])="Tasa de variación",LOOKUP($J36,[1]!CMI[[#All],[CÓDIGO DE INDICADOR]],[1]!CMI[[#All],[EjecuciónAcumulada_9]]),0)))</f>
        <v>0</v>
      </c>
      <c r="AR36" s="49">
        <f>LOOKUP($J36,[1]!CMI[[#All],[CÓDIGO DE INDICADOR]],[1]!CMI[[#All],[Programado_10]])</f>
        <v>0</v>
      </c>
      <c r="AS36" s="49">
        <f>IF(LOOKUP($J36,[1]!CMI[[#All],[CÓDIGO DE INDICADOR]],[1]!CMI[[#All],[Ejecutado_10]])="-",0,LOOKUP($J36,[1]!CMI[[#All],[CÓDIGO DE INDICADOR]],[1]!CMI[[#All],[Ejecutado_10]]))</f>
        <v>0</v>
      </c>
      <c r="AT36" s="49">
        <f>LOOKUP($J36,[1]!CMI[[#All],[CÓDIGO DE INDICADOR]],[1]!CMI[[#All],[Programado_11]])</f>
        <v>0</v>
      </c>
      <c r="AU36" s="50">
        <f>IF(LOOKUP($J36,[1]!CMI[[#All],[CÓDIGO DE INDICADOR]],[1]!CMI[[#All],[Ejecutado_11]])="-",0,LOOKUP($J36,[1]!CMI[[#All],[CÓDIGO DE INDICADOR]],[1]!CMI[[#All],[Ejecutado_11]]))</f>
        <v>0</v>
      </c>
      <c r="AV36" s="50">
        <f>LOOKUP($J36,[1]!CMI[[#All],[CÓDIGO DE INDICADOR]],[1]!CMI[[#All],[Programado_12]])</f>
        <v>0</v>
      </c>
      <c r="AW36" s="50">
        <f>IF(LOOKUP($J36,[1]!CMI[[#All],[CÓDIGO DE INDICADOR]],[1]!CMI[[#All],[Ejecutado_12]])="-",0,LOOKUP($J36,[1]!CMI[[#All],[CÓDIGO DE INDICADOR]],[1]!CMI[[#All],[Ejecutado_12]]))</f>
        <v>0</v>
      </c>
      <c r="AX36" s="50">
        <f>LOOKUP($J36,[1]!CMI[[#All],[CÓDIGO DE INDICADOR]],[1]!CMI[[#All],[Programado_13]])</f>
        <v>0</v>
      </c>
      <c r="AY36" s="50">
        <f>IF(LOOKUP($J36,[1]!CMI[[#All],[CÓDIGO DE INDICADOR]],[1]!CMI[[#All],[Ejecutado_13]])="-",0,LOOKUP($J36,[1]!CMI[[#All],[CÓDIGO DE INDICADOR]],[1]!CMI[[#All],[Ejecutado_13]]))</f>
        <v>0</v>
      </c>
      <c r="AZ36" s="51">
        <f t="shared" si="13"/>
        <v>0</v>
      </c>
      <c r="BA36" s="51">
        <f>IF(OR(LOOKUP($J36,[1]!CMI[[#All],[CÓDIGO DE INDICADOR]],[1]!CMI[[#All],[TIPO DE FÓRMULA]])="Valor absoluto",LOOKUP($J36,[1]!CMI[[#All],[CÓDIGO DE INDICADOR]],[1]!CMI[[#All],[TIPO DE FÓRMULA]])="Suma"),AS36+AU36+AW36+AY36,IF(OR(LOOKUP($J36,[1]!CMI[[#All],[CÓDIGO DE INDICADOR]],[1]!CMI[[#All],[TIPO DE FÓRMULA]])="Porcentaje",LOOKUP($J36,[1]!CMI[[#All],[CÓDIGO DE INDICADOR]],[1]!CMI[[#All],[TIPO DE FÓRMULA]])="División"),IF(LOOKUP($J36,[1]!CMI[[#All],[CÓDIGO DE INDICADOR]],[1]!CMI[[#All],[Variable2_10]])+LOOKUP($J36,[1]!CMI[[#All],[CÓDIGO DE INDICADOR]],[1]!CMI[[#All],[Variable2_11]])+LOOKUP($J36,[1]!CMI[[#All],[CÓDIGO DE INDICADOR]],[1]!CMI[[#All],[Variable2_12]])+LOOKUP($J36,[1]!CMI[[#All],[CÓDIGO DE INDICADOR]],[1]!CMI[[#All],[Variable2_13]])=0,0,(LOOKUP($J36,[1]!CMI[[#All],[CÓDIGO DE INDICADOR]],[1]!CMI[[#All],[Variable1_10]])+LOOKUP($J36,[1]!CMI[[#All],[CÓDIGO DE INDICADOR]],[1]!CMI[[#All],[Variable1_11]])+LOOKUP($J36,[1]!CMI[[#All],[CÓDIGO DE INDICADOR]],[1]!CMI[[#All],[Variable1_12]])+LOOKUP($J36,[1]!CMI[[#All],[CÓDIGO DE INDICADOR]],[1]!CMI[[#All],[Variable1_13]]))/(LOOKUP($J36,[1]!CMI[[#All],[CÓDIGO DE INDICADOR]],[1]!CMI[[#All],[Variable2_10]])+LOOKUP($J36,[1]!CMI[[#All],[CÓDIGO DE INDICADOR]],[1]!CMI[[#All],[Variable2_11]])+LOOKUP($J36,[1]!CMI[[#All],[CÓDIGO DE INDICADOR]],[1]!CMI[[#All],[Variable2_12]])+LOOKUP($J36,[1]!CMI[[#All],[CÓDIGO DE INDICADOR]],[1]!CMI[[#All],[Variable2_13]]))),IF(LOOKUP($J36,[1]!CMI[[#All],[CÓDIGO DE INDICADOR]],[1]!CMI[[#All],[TIPO DE FÓRMULA]])="Tasa de variación",LOOKUP($J36,[1]!CMI[[#All],[CÓDIGO DE INDICADOR]],[1]!CMI[[#All],[EjecuciónAcumulada_13]]),0)))</f>
        <v>0</v>
      </c>
      <c r="BB36" s="49">
        <f>LOOKUP($J36,[1]!CMI[[#All],[CÓDIGO DE INDICADOR]],[1]!CMI[[#All],[Programado_14]])</f>
        <v>0</v>
      </c>
      <c r="BC36" s="49">
        <f>IF(LOOKUP($J36,[1]!CMI[[#All],[CÓDIGO DE INDICADOR]],[1]!CMI[[#All],[Ejecutado_14]])="-",0,LOOKUP($J36,[1]!CMI[[#All],[CÓDIGO DE INDICADOR]],[1]!CMI[[#All],[Ejecutado_14]]))</f>
        <v>0</v>
      </c>
      <c r="BD36" s="49">
        <f>LOOKUP($J36,[1]!CMI[[#All],[CÓDIGO DE INDICADOR]],[1]!CMI[[#All],[Programado_15]])</f>
        <v>0</v>
      </c>
      <c r="BE36" s="50">
        <f>IF(LOOKUP($J36,[1]!CMI[[#All],[CÓDIGO DE INDICADOR]],[1]!CMI[[#All],[Ejecutado_15]])="-",0,LOOKUP($J36,[1]!CMI[[#All],[CÓDIGO DE INDICADOR]],[1]!CMI[[#All],[Ejecutado_15]]))</f>
        <v>0</v>
      </c>
      <c r="BF36" s="50">
        <f>LOOKUP($J36,[1]!CMI[[#All],[CÓDIGO DE INDICADOR]],[1]!CMI[[#All],[Programado_16]])</f>
        <v>0</v>
      </c>
      <c r="BG36" s="50">
        <f>IF(LOOKUP($J36,[1]!CMI[[#All],[CÓDIGO DE INDICADOR]],[1]!CMI[[#All],[Ejecutado_16]])="-",0,LOOKUP($J36,[1]!CMI[[#All],[CÓDIGO DE INDICADOR]],[1]!CMI[[#All],[Ejecutado_16]]))</f>
        <v>0</v>
      </c>
      <c r="BH36" s="50">
        <f>LOOKUP($J36,[1]!CMI[[#All],[CÓDIGO DE INDICADOR]],[1]!CMI[[#All],[Programado_17]])</f>
        <v>0</v>
      </c>
      <c r="BI36" s="50">
        <f>IF(LOOKUP($J36,[1]!CMI[[#All],[CÓDIGO DE INDICADOR]],[1]!CMI[[#All],[Ejecutado_17]])="-",0,LOOKUP($J36,[1]!CMI[[#All],[CÓDIGO DE INDICADOR]],[1]!CMI[[#All],[Ejecutado_17]]))</f>
        <v>0</v>
      </c>
      <c r="BJ36" s="51">
        <f>IF($K36="Sumatoria",BB36+BD36+BF36+BH36,IF($K36="Constante",$F36,BH36))</f>
        <v>0</v>
      </c>
      <c r="BK36" s="51">
        <f>IF(OR(LOOKUP($J36,[1]!CMI[[#All],[CÓDIGO DE INDICADOR]],[1]!CMI[[#All],[TIPO DE FÓRMULA]])="Valor absoluto",LOOKUP($J36,[1]!CMI[[#All],[CÓDIGO DE INDICADOR]],[1]!CMI[[#All],[TIPO DE FÓRMULA]])="Suma"),BC36+BE36+BG36+BI36,IF(OR(LOOKUP($J36,[1]!CMI[[#All],[CÓDIGO DE INDICADOR]],[1]!CMI[[#All],[TIPO DE FÓRMULA]])="Porcentaje",LOOKUP($J36,[1]!CMI[[#All],[CÓDIGO DE INDICADOR]],[1]!CMI[[#All],[TIPO DE FÓRMULA]])="División"),IF(LOOKUP($J36,[1]!CMI[[#All],[CÓDIGO DE INDICADOR]],[1]!CMI[[#All],[Variable2_14]])+LOOKUP($J36,[1]!CMI[[#All],[CÓDIGO DE INDICADOR]],[1]!CMI[[#All],[Variable2_15]])+LOOKUP($J36,[1]!CMI[[#All],[CÓDIGO DE INDICADOR]],[1]!CMI[[#All],[Variable2_16]])+LOOKUP($J36,[1]!CMI[[#All],[CÓDIGO DE INDICADOR]],[1]!CMI[[#All],[Variable2_17]])=0,0,(LOOKUP($J36,[1]!CMI[[#All],[CÓDIGO DE INDICADOR]],[1]!CMI[[#All],[Variable1_14]])+LOOKUP($J36,[1]!CMI[[#All],[CÓDIGO DE INDICADOR]],[1]!CMI[[#All],[Variable1_15]])+LOOKUP($J36,[1]!CMI[[#All],[CÓDIGO DE INDICADOR]],[1]!CMI[[#All],[Variable1_16]])+LOOKUP($J36,[1]!CMI[[#All],[CÓDIGO DE INDICADOR]],[1]!CMI[[#All],[Variable1_17]]))/(LOOKUP($J36,[1]!CMI[[#All],[CÓDIGO DE INDICADOR]],[1]!CMI[[#All],[Variable2_14]])+LOOKUP($J36,[1]!CMI[[#All],[CÓDIGO DE INDICADOR]],[1]!CMI[[#All],[Variable2_15]])+LOOKUP($J36,[1]!CMI[[#All],[CÓDIGO DE INDICADOR]],[1]!CMI[[#All],[Variable2_16]])+LOOKUP($J36,[1]!CMI[[#All],[CÓDIGO DE INDICADOR]],[1]!CMI[[#All],[Variable2_17]]))),IF(LOOKUP($J36,[1]!CMI[[#All],[CÓDIGO DE INDICADOR]],[1]!CMI[[#All],[TIPO DE FÓRMULA]])="Tasa de variación",LOOKUP($J36,[1]!CMI[[#All],[CÓDIGO DE INDICADOR]],[1]!CMI[[#All],[EjecuciónAcumulada_17]]),0)))</f>
        <v>0</v>
      </c>
      <c r="BL36" s="51">
        <f>IF(YEAR($M36)=2016,LOOKUP($J36,[1]!CMI[[#All],[CÓDIGO DE INDICADOR]],[1]!CMI[[#All],[ProgramadoAcumulado_1]]),IF(AND(YEAR($M36)=2017,MONTH($M36)&lt;=3),LOOKUP($J36,[1]!CMI[[#All],[CÓDIGO DE INDICADOR]],[1]!CMI[[#All],[ProgramadoAcumulado_2]]),IF(AND(YEAR($M36)=2017,MONTH($M36)&lt;=6),LOOKUP($J36,[1]!CMI[[#All],[CÓDIGO DE INDICADOR]],[1]!CMI[[#All],[ProgramadoAcumulado_3]]),IF(AND(YEAR($M36)=2017,MONTH($M36)&lt;=9),LOOKUP($J36,[1]!CMI[[#All],[CÓDIGO DE INDICADOR]],[1]!CMI[[#All],[ProgramadoAcumulado_4]]),IF(AND(YEAR($M36)=2017,MONTH($M36)&lt;=12),LOOKUP($J36,[1]!CMI[[#All],[CÓDIGO DE INDICADOR]],[1]!CMI[[#All],[ProgramadoAcumulado_5]]),IF(AND(YEAR($M36)=2018,MONTH($M36)&lt;=3),LOOKUP($J36,[1]!CMI[[#All],[CÓDIGO DE INDICADOR]],[1]!CMI[[#All],[ProgramadoAcumulado_6]]),IF(AND(YEAR($M36)=2018,MONTH($M36)&lt;=6),LOOKUP($J36,[1]!CMI[[#All],[CÓDIGO DE INDICADOR]],[1]!CMI[[#All],[ProgramadoAcumulado_7]]),IF(AND(YEAR($M36)=2018,MONTH($M36)&lt;=9),LOOKUP($J36,[1]!CMI[[#All],[CÓDIGO DE INDICADOR]],[1]!CMI[[#All],[ProgramadoAcumulado_8]]),IF(AND(YEAR($M36)=2018,MONTH($M36)&lt;=12),LOOKUP($J36,[1]!CMI[[#All],[CÓDIGO DE INDICADOR]],[1]!CMI[[#All],[ProgramadoAcumulado_9]]),IF(AND(YEAR($M36)=2019,MONTH($M36)&lt;=3),LOOKUP($J36,[1]!CMI[[#All],[CÓDIGO DE INDICADOR]],[1]!CMI[[#All],[ProgramadoAcumulado_10]]),IF(AND(YEAR($M36)=2019,MONTH($M36)&lt;=6),LOOKUP($J36,[1]!CMI[[#All],[CÓDIGO DE INDICADOR]],[1]!CMI[[#All],[ProgramadoAcumulado_11]]),IF(AND(YEAR($M36)=2019,MONTH($M36)&lt;=9),LOOKUP($J36,[1]!CMI[[#All],[CÓDIGO DE INDICADOR]],[1]!CMI[[#All],[ProgramadoAcumulado_12]]),IF(AND(YEAR($M36)=2019,MONTH($M36)&lt;=12),LOOKUP($J36,[1]!CMI[[#All],[CÓDIGO DE INDICADOR]],[1]!CMI[[#All],[ProgramadoAcumulado_13]]),IF(AND(YEAR($M36)=2020,MONTH($M36)&lt;=3),LOOKUP($J36,[1]!CMI[[#All],[CÓDIGO DE INDICADOR]],[1]!CMI[[#All],[ProgramadoAcumulado_14]]),IF(AND(YEAR($M36)=2020,MONTH($M36)&lt;=6),LOOKUP($J36,[1]!CMI[[#All],[CÓDIGO DE INDICADOR]],[1]!CMI[[#All],[ProgramadoAcumulado_15]]),IF(AND(YEAR($M36)=2020,MONTH($M36)&lt;=9),LOOKUP($J36,[1]!CMI[[#All],[CÓDIGO DE INDICADOR]],[1]!CMI[[#All],[ProgramadoAcumulado_16]]),IF(AND(YEAR($M36)=2020,MONTH($M36)&lt;=12),LOOKUP($J36,[1]!CMI[[#All],[CÓDIGO DE INDICADOR]],[1]!CMI[[#All],[ProgramadoAcumulado_17]]),"N.A")))))))))))))))))</f>
        <v>0.5</v>
      </c>
      <c r="BM36" s="51">
        <f>IF(YEAR($M36)=2016,LOOKUP($J36,[1]!CMI[[#All],[CÓDIGO DE INDICADOR]],[1]!CMI[[#All],[EjecuciónAcumulada_1]]),IF(AND(YEAR($M36)=2017,MONTH($M36)&lt;=3),LOOKUP($J36,[1]!CMI[[#All],[CÓDIGO DE INDICADOR]],[1]!CMI[[#All],[EjecuciónAcumulada_2]]),IF(AND(YEAR($M36)=2017,MONTH($M36)&lt;=6),LOOKUP($J36,[1]!CMI[[#All],[CÓDIGO DE INDICADOR]],[1]!CMI[[#All],[EjecuciónAcumulada_3]]),IF(AND(YEAR($M36)=2017,MONTH($M36)&lt;=9),LOOKUP($J36,[1]!CMI[[#All],[CÓDIGO DE INDICADOR]],[1]!CMI[[#All],[EjecuciónAcumulada_4]]),IF(AND(YEAR($M36)=2017,MONTH($M36)&lt;=12),LOOKUP($J36,[1]!CMI[[#All],[CÓDIGO DE INDICADOR]],[1]!CMI[[#All],[EjecuciónAcumulada_5]]),IF(AND(YEAR($M36)=2018,MONTH($M36)&lt;=3),LOOKUP($J36,[1]!CMI[[#All],[CÓDIGO DE INDICADOR]],[1]!CMI[[#All],[EjecuciónAcumulada_6]]),IF(AND(YEAR($M36)=2018,MONTH($M36)&lt;=6),LOOKUP($J36,[1]!CMI[[#All],[CÓDIGO DE INDICADOR]],[1]!CMI[[#All],[EjecuciónAcumulada_7]]),IF(AND(YEAR($M36)=2018,MONTH($M36)&lt;=9),LOOKUP($J36,[1]!CMI[[#All],[CÓDIGO DE INDICADOR]],[1]!CMI[[#All],[EjecuciónAcumulada_8]]),IF(AND(YEAR($M36)=2018,MONTH($M36)&lt;=12),LOOKUP($J36,[1]!CMI[[#All],[CÓDIGO DE INDICADOR]],[1]!CMI[[#All],[EjecuciónAcumulada_9]]),IF(AND(YEAR($M36)=2019,MONTH($M36)&lt;=3),LOOKUP($J36,[1]!CMI[[#All],[CÓDIGO DE INDICADOR]],[1]!CMI[[#All],[EjecuciónAcumulada_10]]),IF(AND(YEAR($M36)=2019,MONTH($M36)&lt;=6),LOOKUP($J36,[1]!CMI[[#All],[CÓDIGO DE INDICADOR]],[1]!CMI[[#All],[EjecuciónAcumulada_11]]),IF(AND(YEAR($M36)=2019,MONTH($M36)&lt;=9),LOOKUP($J36,[1]!CMI[[#All],[CÓDIGO DE INDICADOR]],[1]!CMI[[#All],[EjecuciónAcumulada_12]]),IF(AND(YEAR($M36)=2019,MONTH($M36)&lt;=12),LOOKUP($J36,[1]!CMI[[#All],[CÓDIGO DE INDICADOR]],[1]!CMI[[#All],[EjecuciónAcumulada_13]]),IF(AND(YEAR($M36)=2020,MONTH($M36)&lt;=3),LOOKUP($J36,[1]!CMI[[#All],[CÓDIGO DE INDICADOR]],[1]!CMI[[#All],[EjecuciónAcumulada_14]]),IF(AND(YEAR($M36)=2020,MONTH($M36)&lt;=6),LOOKUP($J36,[1]!CMI[[#All],[CÓDIGO DE INDICADOR]],[1]!CMI[[#All],[EjecuciónAcumulada_15]]),IF(AND(YEAR($M36)=2020,MONTH($M36)&lt;=9),LOOKUP($J36,[1]!CMI[[#All],[CÓDIGO DE INDICADOR]],[1]!CMI[[#All],[EjecuciónAcumulada_16]]),IF(AND(YEAR($M36)=2020,MONTH($M36)&lt;=12),LOOKUP($J36,[1]!CMI[[#All],[CÓDIGO DE INDICADOR]],[1]!CMI[[#All],[EjecuciónAcumulada_17]]),"N.A")))))))))))))))))</f>
        <v>0.5</v>
      </c>
      <c r="BN36" s="17">
        <f t="shared" si="7"/>
        <v>1</v>
      </c>
      <c r="BO36" s="51">
        <f>IF($K36="Sumatoria",V36+AF36+AP36+AZ36+BJ36,IF($K36="Constante",$F36,$F36))</f>
        <v>1</v>
      </c>
      <c r="BP36" s="68">
        <f t="shared" si="8"/>
        <v>0.5</v>
      </c>
    </row>
    <row r="37" spans="2:68" ht="185.25" customHeight="1">
      <c r="B37" s="133" t="s">
        <v>168</v>
      </c>
      <c r="C37" s="10" t="s">
        <v>169</v>
      </c>
      <c r="D37" s="11" t="str">
        <f>LOOKUP($J37,[1]!CMI[[#All],[CÓDIGO DE INDICADOR]],[1]!CMI[[#All],[NOMBRE DEL INDICADOR]])</f>
        <v>Avance en la promoción de una Cultura de la Calidad y el Buen Servicio en la entidad</v>
      </c>
      <c r="E37" s="11" t="str">
        <f>LOOKUP($J37,[1]!CMI[[#All],[CÓDIGO DE INDICADOR]],[1]!CMI[[#All],[FÓRMULA DE CÁLCULO]])</f>
        <v>Porcentaje de actividades realizadas para el cumplimiento de la meta</v>
      </c>
      <c r="F37" s="49">
        <f>LOOKUP($J37,[1]!CMI[[#All],[CÓDIGO DE INDICADOR]],[1]!CMI[[#All],[VALOR PROGRAMADO TOTAL]])</f>
        <v>1</v>
      </c>
      <c r="G37" s="10" t="s">
        <v>171</v>
      </c>
      <c r="H37" s="10" t="s">
        <v>173</v>
      </c>
      <c r="I37" s="11" t="str">
        <f>LOOKUP($J37,[1]!CMI[[#All],[CÓDIGO DE INDICADOR]],[1]!CMI[[#All],[DEPENDENCIA]])</f>
        <v>Dirección de Planeación</v>
      </c>
      <c r="J37" s="13" t="s">
        <v>175</v>
      </c>
      <c r="K37" s="11" t="str">
        <f>LOOKUP($J37,[1]!CMI[[#All],[CÓDIGO DE INDICADOR]],[1]!CMI[[#All],[CÁLCULO VALOR PROGRAMADO ACUMULADO]])</f>
        <v>Sumatoria</v>
      </c>
      <c r="L37" s="11" t="str">
        <f>LOOKUP($J37,[1]!CMI[[#All],[CÓDIGO DE INDICADOR]],[1]!CMI[[#All],[TENDENCIA DECRECIENTE]])</f>
        <v>No</v>
      </c>
      <c r="M37" s="14">
        <f>LOOKUP($J37,[1]!CMI[[#All],[CÓDIGO DE INDICADOR]],[1]!CMI[[#All],[FECHA DE CORTE]])</f>
        <v>43280</v>
      </c>
      <c r="N37" s="49">
        <v>0</v>
      </c>
      <c r="O37" s="49">
        <v>0</v>
      </c>
      <c r="P37" s="49">
        <v>0</v>
      </c>
      <c r="Q37" s="50">
        <v>0</v>
      </c>
      <c r="R37" s="50">
        <v>0</v>
      </c>
      <c r="S37" s="50">
        <v>0</v>
      </c>
      <c r="T37" s="50">
        <f>LOOKUP($J37,[1]!CMI[[#All],[CÓDIGO DE INDICADOR]],[1]!CMI[[#All],[Programado_1]])</f>
        <v>0</v>
      </c>
      <c r="U37" s="50">
        <f>IF(LOOKUP($J37,[1]!CMI[[#All],[CÓDIGO DE INDICADOR]],[1]!CMI[[#All],[Ejecutado_1]])="-",0,LOOKUP($J37,[1]!CMI[[#All],[CÓDIGO DE INDICADOR]],[1]!CMI[[#All],[Ejecutado_1]]))</f>
        <v>0</v>
      </c>
      <c r="V37" s="51">
        <f t="shared" si="9"/>
        <v>0</v>
      </c>
      <c r="W37" s="51">
        <f t="shared" si="10"/>
        <v>0</v>
      </c>
      <c r="X37" s="49">
        <f>LOOKUP($J37,[1]!CMI[[#All],[CÓDIGO DE INDICADOR]],[1]!CMI[[#All],[Programado_2]])</f>
        <v>0</v>
      </c>
      <c r="Y37" s="49">
        <f>IF(LOOKUP($J37,[1]!CMI[[#All],[CÓDIGO DE INDICADOR]],[1]!CMI[[#All],[Ejecutado_2]])="-",0,LOOKUP($J37,[1]!CMI[[#All],[CÓDIGO DE INDICADOR]],[1]!CMI[[#All],[Ejecutado_2]]))</f>
        <v>0</v>
      </c>
      <c r="Z37" s="49">
        <f>LOOKUP($J37,[1]!CMI[[#All],[CÓDIGO DE INDICADOR]],[1]!CMI[[#All],[Programado_3]])</f>
        <v>0</v>
      </c>
      <c r="AA37" s="50">
        <f>IF(LOOKUP($J37,[1]!CMI[[#All],[CÓDIGO DE INDICADOR]],[1]!CMI[[#All],[Ejecutado_3]])="-",0,LOOKUP($J37,[1]!CMI[[#All],[CÓDIGO DE INDICADOR]],[1]!CMI[[#All],[Ejecutado_3]]))</f>
        <v>0</v>
      </c>
      <c r="AB37" s="50">
        <f>LOOKUP($J37,[1]!CMI[[#All],[CÓDIGO DE INDICADOR]],[1]!CMI[[#All],[Programado_4]])</f>
        <v>0</v>
      </c>
      <c r="AC37" s="50">
        <f>IF(LOOKUP($J37,[1]!CMI[[#All],[CÓDIGO DE INDICADOR]],[1]!CMI[[#All],[Ejecutado_4]])="-",0,LOOKUP($J37,[1]!CMI[[#All],[CÓDIGO DE INDICADOR]],[1]!CMI[[#All],[Ejecutado_4]]))</f>
        <v>0</v>
      </c>
      <c r="AD37" s="50">
        <f>LOOKUP($J37,[1]!CMI[[#All],[CÓDIGO DE INDICADOR]],[1]!CMI[[#All],[Programado_5]])</f>
        <v>0</v>
      </c>
      <c r="AE37" s="50">
        <f>IF(LOOKUP($J37,[1]!CMI[[#All],[CÓDIGO DE INDICADOR]],[1]!CMI[[#All],[Ejecutado_5]])="-",0,LOOKUP($J37,[1]!CMI[[#All],[CÓDIGO DE INDICADOR]],[1]!CMI[[#All],[Ejecutado_5]]))</f>
        <v>0</v>
      </c>
      <c r="AF37" s="51">
        <f t="shared" si="11"/>
        <v>0</v>
      </c>
      <c r="AG37" s="51">
        <f>IF(OR(LOOKUP($J37,[1]!CMI[[#All],[CÓDIGO DE INDICADOR]],[1]!CMI[[#All],[TIPO DE FÓRMULA]])="Valor absoluto",LOOKUP($J37,[1]!CMI[[#All],[CÓDIGO DE INDICADOR]],[1]!CMI[[#All],[TIPO DE FÓRMULA]])="Suma"),Y37+AA37+AC37+AE37,IF(OR(LOOKUP($J37,[1]!CMI[[#All],[CÓDIGO DE INDICADOR]],[1]!CMI[[#All],[TIPO DE FÓRMULA]])="Porcentaje",LOOKUP($J37,[1]!CMI[[#All],[CÓDIGO DE INDICADOR]],[1]!CMI[[#All],[TIPO DE FÓRMULA]])="División"),IF(LOOKUP($J37,[1]!CMI[[#All],[CÓDIGO DE INDICADOR]],[1]!CMI[[#All],[Variable2_2]])+LOOKUP($J37,[1]!CMI[[#All],[CÓDIGO DE INDICADOR]],[1]!CMI[[#All],[Variable2_3]])+LOOKUP($J37,[1]!CMI[[#All],[CÓDIGO DE INDICADOR]],[1]!CMI[[#All],[Variable2_4]])+LOOKUP($J37,[1]!CMI[[#All],[CÓDIGO DE INDICADOR]],[1]!CMI[[#All],[Variable2_5]])=0,0,(LOOKUP($J37,[1]!CMI[[#All],[CÓDIGO DE INDICADOR]],[1]!CMI[[#All],[Variable1_2]])+LOOKUP($J37,[1]!CMI[[#All],[CÓDIGO DE INDICADOR]],[1]!CMI[[#All],[Variable1_3]])+LOOKUP($J37,[1]!CMI[[#All],[CÓDIGO DE INDICADOR]],[1]!CMI[[#All],[Variable1_4]])+LOOKUP($J37,[1]!CMI[[#All],[CÓDIGO DE INDICADOR]],[1]!CMI[[#All],[Variable1_5]]))/(LOOKUP($J37,[1]!CMI[[#All],[CÓDIGO DE INDICADOR]],[1]!CMI[[#All],[Variable2_2]])+LOOKUP($J37,[1]!CMI[[#All],[CÓDIGO DE INDICADOR]],[1]!CMI[[#All],[Variable2_3]])+LOOKUP($J37,[1]!CMI[[#All],[CÓDIGO DE INDICADOR]],[1]!CMI[[#All],[Variable2_4]])+LOOKUP($J37,[1]!CMI[[#All],[CÓDIGO DE INDICADOR]],[1]!CMI[[#All],[Variable2_5]]))),IF(LOOKUP($J37,[1]!CMI[[#All],[CÓDIGO DE INDICADOR]],[1]!CMI[[#All],[TIPO DE FÓRMULA]])="Tasa de variación",LOOKUP($J37,[1]!CMI[[#All],[CÓDIGO DE INDICADOR]],[1]!CMI[[#All],[EjecuciónAcumulada_5]]),0)))</f>
        <v>0</v>
      </c>
      <c r="AH37" s="49">
        <f>LOOKUP($J37,[1]!CMI[[#All],[CÓDIGO DE INDICADOR]],[1]!CMI[[#All],[Programado_6]])</f>
        <v>0</v>
      </c>
      <c r="AI37" s="49">
        <f>IF(LOOKUP($J37,[1]!CMI[[#All],[CÓDIGO DE INDICADOR]],[1]!CMI[[#All],[Ejecutado_6]])="-",0,LOOKUP($J37,[1]!CMI[[#All],[CÓDIGO DE INDICADOR]],[1]!CMI[[#All],[Ejecutado_6]]))</f>
        <v>0</v>
      </c>
      <c r="AJ37" s="49">
        <f>LOOKUP($J37,[1]!CMI[[#All],[CÓDIGO DE INDICADOR]],[1]!CMI[[#All],[Programado_7]])</f>
        <v>0.25</v>
      </c>
      <c r="AK37" s="50">
        <f>IF(LOOKUP($J37,[1]!CMI[[#All],[CÓDIGO DE INDICADOR]],[1]!CMI[[#All],[Ejecutado_7]])="-",0,LOOKUP($J37,[1]!CMI[[#All],[CÓDIGO DE INDICADOR]],[1]!CMI[[#All],[Ejecutado_7]]))</f>
        <v>0.25</v>
      </c>
      <c r="AL37" s="50">
        <f>LOOKUP($J37,[1]!CMI[[#All],[CÓDIGO DE INDICADOR]],[1]!CMI[[#All],[Programado_8]])</f>
        <v>0</v>
      </c>
      <c r="AM37" s="50">
        <f>IF(LOOKUP($J37,[1]!CMI[[#All],[CÓDIGO DE INDICADOR]],[1]!CMI[[#All],[Ejecutado_8]])="-",0,LOOKUP($J37,[1]!CMI[[#All],[CÓDIGO DE INDICADOR]],[1]!CMI[[#All],[Ejecutado_8]]))</f>
        <v>0</v>
      </c>
      <c r="AN37" s="50">
        <f>LOOKUP($J37,[1]!CMI[[#All],[CÓDIGO DE INDICADOR]],[1]!CMI[[#All],[Programado_9]])</f>
        <v>0.25</v>
      </c>
      <c r="AO37" s="50">
        <f>IF(LOOKUP($J37,[1]!CMI[[#All],[CÓDIGO DE INDICADOR]],[1]!CMI[[#All],[Ejecutado_9]])="-",0,LOOKUP($J37,[1]!CMI[[#All],[CÓDIGO DE INDICADOR]],[1]!CMI[[#All],[Ejecutado_9]]))</f>
        <v>0</v>
      </c>
      <c r="AP37" s="51">
        <f t="shared" si="12"/>
        <v>0.5</v>
      </c>
      <c r="AQ37" s="51">
        <f>IF(OR(LOOKUP($J37,[1]!CMI[[#All],[CÓDIGO DE INDICADOR]],[1]!CMI[[#All],[TIPO DE FÓRMULA]])="Valor absoluto",LOOKUP($J37,[1]!CMI[[#All],[CÓDIGO DE INDICADOR]],[1]!CMI[[#All],[TIPO DE FÓRMULA]])="Suma"),AI37+AK37+AM37+AO37,IF(OR(LOOKUP($J37,[1]!CMI[[#All],[CÓDIGO DE INDICADOR]],[1]!CMI[[#All],[TIPO DE FÓRMULA]])="Porcentaje",LOOKUP($J37,[1]!CMI[[#All],[CÓDIGO DE INDICADOR]],[1]!CMI[[#All],[TIPO DE FÓRMULA]])="División"),IF(LOOKUP($J37,[1]!CMI[[#All],[CÓDIGO DE INDICADOR]],[1]!CMI[[#All],[Variable2_6]])+LOOKUP($J37,[1]!CMI[[#All],[CÓDIGO DE INDICADOR]],[1]!CMI[[#All],[Variable2_7]])+LOOKUP($J37,[1]!CMI[[#All],[CÓDIGO DE INDICADOR]],[1]!CMI[[#All],[Variable2_8]])+LOOKUP($J37,[1]!CMI[[#All],[CÓDIGO DE INDICADOR]],[1]!CMI[[#All],[Variable2_9]])=0,0,(LOOKUP($J37,[1]!CMI[[#All],[CÓDIGO DE INDICADOR]],[1]!CMI[[#All],[Variable1_6]])+LOOKUP($J37,[1]!CMI[[#All],[CÓDIGO DE INDICADOR]],[1]!CMI[[#All],[Variable1_7]])+LOOKUP($J37,[1]!CMI[[#All],[CÓDIGO DE INDICADOR]],[1]!CMI[[#All],[Variable1_8]])+LOOKUP($J37,[1]!CMI[[#All],[CÓDIGO DE INDICADOR]],[1]!CMI[[#All],[Variable1_9]]))/(LOOKUP($J37,[1]!CMI[[#All],[CÓDIGO DE INDICADOR]],[1]!CMI[[#All],[Variable2_6]])+LOOKUP($J37,[1]!CMI[[#All],[CÓDIGO DE INDICADOR]],[1]!CMI[[#All],[Variable2_7]])+LOOKUP($J37,[1]!CMI[[#All],[CÓDIGO DE INDICADOR]],[1]!CMI[[#All],[Variable2_8]])+LOOKUP($J37,[1]!CMI[[#All],[CÓDIGO DE INDICADOR]],[1]!CMI[[#All],[Variable2_9]]))),IF(LOOKUP($J37,[1]!CMI[[#All],[CÓDIGO DE INDICADOR]],[1]!CMI[[#All],[TIPO DE FÓRMULA]])="Tasa de variación",LOOKUP($J37,[1]!CMI[[#All],[CÓDIGO DE INDICADOR]],[1]!CMI[[#All],[EjecuciónAcumulada_9]]),0)))</f>
        <v>0.25</v>
      </c>
      <c r="AR37" s="49">
        <f>LOOKUP($J37,[1]!CMI[[#All],[CÓDIGO DE INDICADOR]],[1]!CMI[[#All],[Programado_10]])</f>
        <v>0.15</v>
      </c>
      <c r="AS37" s="49">
        <f>IF(LOOKUP($J37,[1]!CMI[[#All],[CÓDIGO DE INDICADOR]],[1]!CMI[[#All],[Ejecutado_10]])="-",0,LOOKUP($J37,[1]!CMI[[#All],[CÓDIGO DE INDICADOR]],[1]!CMI[[#All],[Ejecutado_10]]))</f>
        <v>0</v>
      </c>
      <c r="AT37" s="49">
        <f>LOOKUP($J37,[1]!CMI[[#All],[CÓDIGO DE INDICADOR]],[1]!CMI[[#All],[Programado_11]])</f>
        <v>0</v>
      </c>
      <c r="AU37" s="50">
        <f>IF(LOOKUP($J37,[1]!CMI[[#All],[CÓDIGO DE INDICADOR]],[1]!CMI[[#All],[Ejecutado_11]])="-",0,LOOKUP($J37,[1]!CMI[[#All],[CÓDIGO DE INDICADOR]],[1]!CMI[[#All],[Ejecutado_11]]))</f>
        <v>0</v>
      </c>
      <c r="AV37" s="50">
        <f>LOOKUP($J37,[1]!CMI[[#All],[CÓDIGO DE INDICADOR]],[1]!CMI[[#All],[Programado_12]])</f>
        <v>0</v>
      </c>
      <c r="AW37" s="50">
        <f>IF(LOOKUP($J37,[1]!CMI[[#All],[CÓDIGO DE INDICADOR]],[1]!CMI[[#All],[Ejecutado_12]])="-",0,LOOKUP($J37,[1]!CMI[[#All],[CÓDIGO DE INDICADOR]],[1]!CMI[[#All],[Ejecutado_12]]))</f>
        <v>0</v>
      </c>
      <c r="AX37" s="50">
        <f>LOOKUP($J37,[1]!CMI[[#All],[CÓDIGO DE INDICADOR]],[1]!CMI[[#All],[Programado_13]])</f>
        <v>0.15</v>
      </c>
      <c r="AY37" s="50">
        <f>IF(LOOKUP($J37,[1]!CMI[[#All],[CÓDIGO DE INDICADOR]],[1]!CMI[[#All],[Ejecutado_13]])="-",0,LOOKUP($J37,[1]!CMI[[#All],[CÓDIGO DE INDICADOR]],[1]!CMI[[#All],[Ejecutado_13]]))</f>
        <v>0</v>
      </c>
      <c r="AZ37" s="51">
        <f t="shared" si="13"/>
        <v>0.3</v>
      </c>
      <c r="BA37" s="51">
        <f>IF(OR(LOOKUP($J37,[1]!CMI[[#All],[CÓDIGO DE INDICADOR]],[1]!CMI[[#All],[TIPO DE FÓRMULA]])="Valor absoluto",LOOKUP($J37,[1]!CMI[[#All],[CÓDIGO DE INDICADOR]],[1]!CMI[[#All],[TIPO DE FÓRMULA]])="Suma"),AS37+AU37+AW37+AY37,IF(OR(LOOKUP($J37,[1]!CMI[[#All],[CÓDIGO DE INDICADOR]],[1]!CMI[[#All],[TIPO DE FÓRMULA]])="Porcentaje",LOOKUP($J37,[1]!CMI[[#All],[CÓDIGO DE INDICADOR]],[1]!CMI[[#All],[TIPO DE FÓRMULA]])="División"),IF(LOOKUP($J37,[1]!CMI[[#All],[CÓDIGO DE INDICADOR]],[1]!CMI[[#All],[Variable2_10]])+LOOKUP($J37,[1]!CMI[[#All],[CÓDIGO DE INDICADOR]],[1]!CMI[[#All],[Variable2_11]])+LOOKUP($J37,[1]!CMI[[#All],[CÓDIGO DE INDICADOR]],[1]!CMI[[#All],[Variable2_12]])+LOOKUP($J37,[1]!CMI[[#All],[CÓDIGO DE INDICADOR]],[1]!CMI[[#All],[Variable2_13]])=0,0,(LOOKUP($J37,[1]!CMI[[#All],[CÓDIGO DE INDICADOR]],[1]!CMI[[#All],[Variable1_10]])+LOOKUP($J37,[1]!CMI[[#All],[CÓDIGO DE INDICADOR]],[1]!CMI[[#All],[Variable1_11]])+LOOKUP($J37,[1]!CMI[[#All],[CÓDIGO DE INDICADOR]],[1]!CMI[[#All],[Variable1_12]])+LOOKUP($J37,[1]!CMI[[#All],[CÓDIGO DE INDICADOR]],[1]!CMI[[#All],[Variable1_13]]))/(LOOKUP($J37,[1]!CMI[[#All],[CÓDIGO DE INDICADOR]],[1]!CMI[[#All],[Variable2_10]])+LOOKUP($J37,[1]!CMI[[#All],[CÓDIGO DE INDICADOR]],[1]!CMI[[#All],[Variable2_11]])+LOOKUP($J37,[1]!CMI[[#All],[CÓDIGO DE INDICADOR]],[1]!CMI[[#All],[Variable2_12]])+LOOKUP($J37,[1]!CMI[[#All],[CÓDIGO DE INDICADOR]],[1]!CMI[[#All],[Variable2_13]]))),IF(LOOKUP($J37,[1]!CMI[[#All],[CÓDIGO DE INDICADOR]],[1]!CMI[[#All],[TIPO DE FÓRMULA]])="Tasa de variación",LOOKUP($J37,[1]!CMI[[#All],[CÓDIGO DE INDICADOR]],[1]!CMI[[#All],[EjecuciónAcumulada_13]]),0)))</f>
        <v>0</v>
      </c>
      <c r="BB37" s="49">
        <f>LOOKUP($J37,[1]!CMI[[#All],[CÓDIGO DE INDICADOR]],[1]!CMI[[#All],[Programado_14]])</f>
        <v>0.2</v>
      </c>
      <c r="BC37" s="49">
        <f>IF(LOOKUP($J37,[1]!CMI[[#All],[CÓDIGO DE INDICADOR]],[1]!CMI[[#All],[Ejecutado_14]])="-",0,LOOKUP($J37,[1]!CMI[[#All],[CÓDIGO DE INDICADOR]],[1]!CMI[[#All],[Ejecutado_14]]))</f>
        <v>0</v>
      </c>
      <c r="BD37" s="49">
        <f>LOOKUP($J37,[1]!CMI[[#All],[CÓDIGO DE INDICADOR]],[1]!CMI[[#All],[Programado_15]])</f>
        <v>0</v>
      </c>
      <c r="BE37" s="50">
        <f>IF(LOOKUP($J37,[1]!CMI[[#All],[CÓDIGO DE INDICADOR]],[1]!CMI[[#All],[Ejecutado_15]])="-",0,LOOKUP($J37,[1]!CMI[[#All],[CÓDIGO DE INDICADOR]],[1]!CMI[[#All],[Ejecutado_15]]))</f>
        <v>0</v>
      </c>
      <c r="BF37" s="50">
        <f>LOOKUP($J37,[1]!CMI[[#All],[CÓDIGO DE INDICADOR]],[1]!CMI[[#All],[Programado_16]])</f>
        <v>0</v>
      </c>
      <c r="BG37" s="50">
        <f>IF(LOOKUP($J37,[1]!CMI[[#All],[CÓDIGO DE INDICADOR]],[1]!CMI[[#All],[Ejecutado_16]])="-",0,LOOKUP($J37,[1]!CMI[[#All],[CÓDIGO DE INDICADOR]],[1]!CMI[[#All],[Ejecutado_16]]))</f>
        <v>0</v>
      </c>
      <c r="BH37" s="50">
        <f>LOOKUP($J37,[1]!CMI[[#All],[CÓDIGO DE INDICADOR]],[1]!CMI[[#All],[Programado_17]])</f>
        <v>0</v>
      </c>
      <c r="BI37" s="50">
        <f>IF(LOOKUP($J37,[1]!CMI[[#All],[CÓDIGO DE INDICADOR]],[1]!CMI[[#All],[Ejecutado_17]])="-",0,LOOKUP($J37,[1]!CMI[[#All],[CÓDIGO DE INDICADOR]],[1]!CMI[[#All],[Ejecutado_17]]))</f>
        <v>0</v>
      </c>
      <c r="BJ37" s="51">
        <f t="shared" si="14"/>
        <v>0.2</v>
      </c>
      <c r="BK37" s="51">
        <f>IF(OR(LOOKUP($J37,[1]!CMI[[#All],[CÓDIGO DE INDICADOR]],[1]!CMI[[#All],[TIPO DE FÓRMULA]])="Valor absoluto",LOOKUP($J37,[1]!CMI[[#All],[CÓDIGO DE INDICADOR]],[1]!CMI[[#All],[TIPO DE FÓRMULA]])="Suma"),BC37+BE37+BG37+BI37,IF(OR(LOOKUP($J37,[1]!CMI[[#All],[CÓDIGO DE INDICADOR]],[1]!CMI[[#All],[TIPO DE FÓRMULA]])="Porcentaje",LOOKUP($J37,[1]!CMI[[#All],[CÓDIGO DE INDICADOR]],[1]!CMI[[#All],[TIPO DE FÓRMULA]])="División"),IF(LOOKUP($J37,[1]!CMI[[#All],[CÓDIGO DE INDICADOR]],[1]!CMI[[#All],[Variable2_14]])+LOOKUP($J37,[1]!CMI[[#All],[CÓDIGO DE INDICADOR]],[1]!CMI[[#All],[Variable2_15]])+LOOKUP($J37,[1]!CMI[[#All],[CÓDIGO DE INDICADOR]],[1]!CMI[[#All],[Variable2_16]])+LOOKUP($J37,[1]!CMI[[#All],[CÓDIGO DE INDICADOR]],[1]!CMI[[#All],[Variable2_17]])=0,0,(LOOKUP($J37,[1]!CMI[[#All],[CÓDIGO DE INDICADOR]],[1]!CMI[[#All],[Variable1_14]])+LOOKUP($J37,[1]!CMI[[#All],[CÓDIGO DE INDICADOR]],[1]!CMI[[#All],[Variable1_15]])+LOOKUP($J37,[1]!CMI[[#All],[CÓDIGO DE INDICADOR]],[1]!CMI[[#All],[Variable1_16]])+LOOKUP($J37,[1]!CMI[[#All],[CÓDIGO DE INDICADOR]],[1]!CMI[[#All],[Variable1_17]]))/(LOOKUP($J37,[1]!CMI[[#All],[CÓDIGO DE INDICADOR]],[1]!CMI[[#All],[Variable2_14]])+LOOKUP($J37,[1]!CMI[[#All],[CÓDIGO DE INDICADOR]],[1]!CMI[[#All],[Variable2_15]])+LOOKUP($J37,[1]!CMI[[#All],[CÓDIGO DE INDICADOR]],[1]!CMI[[#All],[Variable2_16]])+LOOKUP($J37,[1]!CMI[[#All],[CÓDIGO DE INDICADOR]],[1]!CMI[[#All],[Variable2_17]]))),IF(LOOKUP($J37,[1]!CMI[[#All],[CÓDIGO DE INDICADOR]],[1]!CMI[[#All],[TIPO DE FÓRMULA]])="Tasa de variación",LOOKUP($J37,[1]!CMI[[#All],[CÓDIGO DE INDICADOR]],[1]!CMI[[#All],[EjecuciónAcumulada_17]]),0)))</f>
        <v>0</v>
      </c>
      <c r="BL37" s="51">
        <f>IF(YEAR($M37)=2016,LOOKUP($J37,[1]!CMI[[#All],[CÓDIGO DE INDICADOR]],[1]!CMI[[#All],[ProgramadoAcumulado_1]]),IF(AND(YEAR($M37)=2017,MONTH($M37)&lt;=3),LOOKUP($J37,[1]!CMI[[#All],[CÓDIGO DE INDICADOR]],[1]!CMI[[#All],[ProgramadoAcumulado_2]]),IF(AND(YEAR($M37)=2017,MONTH($M37)&lt;=6),LOOKUP($J37,[1]!CMI[[#All],[CÓDIGO DE INDICADOR]],[1]!CMI[[#All],[ProgramadoAcumulado_3]]),IF(AND(YEAR($M37)=2017,MONTH($M37)&lt;=9),LOOKUP($J37,[1]!CMI[[#All],[CÓDIGO DE INDICADOR]],[1]!CMI[[#All],[ProgramadoAcumulado_4]]),IF(AND(YEAR($M37)=2017,MONTH($M37)&lt;=12),LOOKUP($J37,[1]!CMI[[#All],[CÓDIGO DE INDICADOR]],[1]!CMI[[#All],[ProgramadoAcumulado_5]]),IF(AND(YEAR($M37)=2018,MONTH($M37)&lt;=3),LOOKUP($J37,[1]!CMI[[#All],[CÓDIGO DE INDICADOR]],[1]!CMI[[#All],[ProgramadoAcumulado_6]]),IF(AND(YEAR($M37)=2018,MONTH($M37)&lt;=6),LOOKUP($J37,[1]!CMI[[#All],[CÓDIGO DE INDICADOR]],[1]!CMI[[#All],[ProgramadoAcumulado_7]]),IF(AND(YEAR($M37)=2018,MONTH($M37)&lt;=9),LOOKUP($J37,[1]!CMI[[#All],[CÓDIGO DE INDICADOR]],[1]!CMI[[#All],[ProgramadoAcumulado_8]]),IF(AND(YEAR($M37)=2018,MONTH($M37)&lt;=12),LOOKUP($J37,[1]!CMI[[#All],[CÓDIGO DE INDICADOR]],[1]!CMI[[#All],[ProgramadoAcumulado_9]]),IF(AND(YEAR($M37)=2019,MONTH($M37)&lt;=3),LOOKUP($J37,[1]!CMI[[#All],[CÓDIGO DE INDICADOR]],[1]!CMI[[#All],[ProgramadoAcumulado_10]]),IF(AND(YEAR($M37)=2019,MONTH($M37)&lt;=6),LOOKUP($J37,[1]!CMI[[#All],[CÓDIGO DE INDICADOR]],[1]!CMI[[#All],[ProgramadoAcumulado_11]]),IF(AND(YEAR($M37)=2019,MONTH($M37)&lt;=9),LOOKUP($J37,[1]!CMI[[#All],[CÓDIGO DE INDICADOR]],[1]!CMI[[#All],[ProgramadoAcumulado_12]]),IF(AND(YEAR($M37)=2019,MONTH($M37)&lt;=12),LOOKUP($J37,[1]!CMI[[#All],[CÓDIGO DE INDICADOR]],[1]!CMI[[#All],[ProgramadoAcumulado_13]]),IF(AND(YEAR($M37)=2020,MONTH($M37)&lt;=3),LOOKUP($J37,[1]!CMI[[#All],[CÓDIGO DE INDICADOR]],[1]!CMI[[#All],[ProgramadoAcumulado_14]]),IF(AND(YEAR($M37)=2020,MONTH($M37)&lt;=6),LOOKUP($J37,[1]!CMI[[#All],[CÓDIGO DE INDICADOR]],[1]!CMI[[#All],[ProgramadoAcumulado_15]]),IF(AND(YEAR($M37)=2020,MONTH($M37)&lt;=9),LOOKUP($J37,[1]!CMI[[#All],[CÓDIGO DE INDICADOR]],[1]!CMI[[#All],[ProgramadoAcumulado_16]]),IF(AND(YEAR($M37)=2020,MONTH($M37)&lt;=12),LOOKUP($J37,[1]!CMI[[#All],[CÓDIGO DE INDICADOR]],[1]!CMI[[#All],[ProgramadoAcumulado_17]]),"N.A")))))))))))))))))</f>
        <v>0.25</v>
      </c>
      <c r="BM37" s="51">
        <f>IF(YEAR($M37)=2016,LOOKUP($J37,[1]!CMI[[#All],[CÓDIGO DE INDICADOR]],[1]!CMI[[#All],[EjecuciónAcumulada_1]]),IF(AND(YEAR($M37)=2017,MONTH($M37)&lt;=3),LOOKUP($J37,[1]!CMI[[#All],[CÓDIGO DE INDICADOR]],[1]!CMI[[#All],[EjecuciónAcumulada_2]]),IF(AND(YEAR($M37)=2017,MONTH($M37)&lt;=6),LOOKUP($J37,[1]!CMI[[#All],[CÓDIGO DE INDICADOR]],[1]!CMI[[#All],[EjecuciónAcumulada_3]]),IF(AND(YEAR($M37)=2017,MONTH($M37)&lt;=9),LOOKUP($J37,[1]!CMI[[#All],[CÓDIGO DE INDICADOR]],[1]!CMI[[#All],[EjecuciónAcumulada_4]]),IF(AND(YEAR($M37)=2017,MONTH($M37)&lt;=12),LOOKUP($J37,[1]!CMI[[#All],[CÓDIGO DE INDICADOR]],[1]!CMI[[#All],[EjecuciónAcumulada_5]]),IF(AND(YEAR($M37)=2018,MONTH($M37)&lt;=3),LOOKUP($J37,[1]!CMI[[#All],[CÓDIGO DE INDICADOR]],[1]!CMI[[#All],[EjecuciónAcumulada_6]]),IF(AND(YEAR($M37)=2018,MONTH($M37)&lt;=6),LOOKUP($J37,[1]!CMI[[#All],[CÓDIGO DE INDICADOR]],[1]!CMI[[#All],[EjecuciónAcumulada_7]]),IF(AND(YEAR($M37)=2018,MONTH($M37)&lt;=9),LOOKUP($J37,[1]!CMI[[#All],[CÓDIGO DE INDICADOR]],[1]!CMI[[#All],[EjecuciónAcumulada_8]]),IF(AND(YEAR($M37)=2018,MONTH($M37)&lt;=12),LOOKUP($J37,[1]!CMI[[#All],[CÓDIGO DE INDICADOR]],[1]!CMI[[#All],[EjecuciónAcumulada_9]]),IF(AND(YEAR($M37)=2019,MONTH($M37)&lt;=3),LOOKUP($J37,[1]!CMI[[#All],[CÓDIGO DE INDICADOR]],[1]!CMI[[#All],[EjecuciónAcumulada_10]]),IF(AND(YEAR($M37)=2019,MONTH($M37)&lt;=6),LOOKUP($J37,[1]!CMI[[#All],[CÓDIGO DE INDICADOR]],[1]!CMI[[#All],[EjecuciónAcumulada_11]]),IF(AND(YEAR($M37)=2019,MONTH($M37)&lt;=9),LOOKUP($J37,[1]!CMI[[#All],[CÓDIGO DE INDICADOR]],[1]!CMI[[#All],[EjecuciónAcumulada_12]]),IF(AND(YEAR($M37)=2019,MONTH($M37)&lt;=12),LOOKUP($J37,[1]!CMI[[#All],[CÓDIGO DE INDICADOR]],[1]!CMI[[#All],[EjecuciónAcumulada_13]]),IF(AND(YEAR($M37)=2020,MONTH($M37)&lt;=3),LOOKUP($J37,[1]!CMI[[#All],[CÓDIGO DE INDICADOR]],[1]!CMI[[#All],[EjecuciónAcumulada_14]]),IF(AND(YEAR($M37)=2020,MONTH($M37)&lt;=6),LOOKUP($J37,[1]!CMI[[#All],[CÓDIGO DE INDICADOR]],[1]!CMI[[#All],[EjecuciónAcumulada_15]]),IF(AND(YEAR($M37)=2020,MONTH($M37)&lt;=9),LOOKUP($J37,[1]!CMI[[#All],[CÓDIGO DE INDICADOR]],[1]!CMI[[#All],[EjecuciónAcumulada_16]]),IF(AND(YEAR($M37)=2020,MONTH($M37)&lt;=12),LOOKUP($J37,[1]!CMI[[#All],[CÓDIGO DE INDICADOR]],[1]!CMI[[#All],[EjecuciónAcumulada_17]]),"N.A")))))))))))))))))</f>
        <v>0.25</v>
      </c>
      <c r="BN37" s="17">
        <f t="shared" si="7"/>
        <v>1</v>
      </c>
      <c r="BO37" s="51">
        <f t="shared" ref="BO37:BO46" si="15">IF($K37="Sumatoria",V37+AF37+AP37+AZ37+BJ37,IF($K37="Constante",$F37,BJ37))</f>
        <v>1</v>
      </c>
      <c r="BP37" s="68">
        <f t="shared" si="8"/>
        <v>0.25</v>
      </c>
    </row>
    <row r="38" spans="2:68" ht="297.75" customHeight="1">
      <c r="B38" s="133"/>
      <c r="C38" s="10" t="s">
        <v>170</v>
      </c>
      <c r="D38" s="11" t="str">
        <f>LOOKUP($J38,[1]!CMI[[#All],[CÓDIGO DE INDICADOR]],[1]!CMI[[#All],[NOMBRE DEL INDICADOR]])</f>
        <v>Avance en el cumplimiento de requisitos de la ISO 9001:2015</v>
      </c>
      <c r="E38" s="11" t="str">
        <f>LOOKUP($J38,[1]!CMI[[#All],[CÓDIGO DE INDICADOR]],[1]!CMI[[#All],[FÓRMULA DE CÁLCULO]])</f>
        <v>Porcentaje de avance en el cumplimiento de requisitos de la ISO 9001:2015</v>
      </c>
      <c r="F38" s="49">
        <f>LOOKUP($J38,[1]!CMI[[#All],[CÓDIGO DE INDICADOR]],[1]!CMI[[#All],[VALOR PROGRAMADO TOTAL]])</f>
        <v>1</v>
      </c>
      <c r="G38" s="10" t="s">
        <v>172</v>
      </c>
      <c r="H38" s="10" t="s">
        <v>174</v>
      </c>
      <c r="I38" s="11" t="str">
        <f>LOOKUP($J38,[1]!CMI[[#All],[CÓDIGO DE INDICADOR]],[1]!CMI[[#All],[DEPENDENCIA]])</f>
        <v>Dirección de Planeación</v>
      </c>
      <c r="J38" s="13" t="s">
        <v>176</v>
      </c>
      <c r="K38" s="11" t="str">
        <f>LOOKUP($J38,[1]!CMI[[#All],[CÓDIGO DE INDICADOR]],[1]!CMI[[#All],[CÁLCULO VALOR PROGRAMADO ACUMULADO]])</f>
        <v>Sumatoria</v>
      </c>
      <c r="L38" s="11" t="str">
        <f>LOOKUP($J38,[1]!CMI[[#All],[CÓDIGO DE INDICADOR]],[1]!CMI[[#All],[TENDENCIA DECRECIENTE]])</f>
        <v>No</v>
      </c>
      <c r="M38" s="14">
        <f>LOOKUP($J38,[1]!CMI[[#All],[CÓDIGO DE INDICADOR]],[1]!CMI[[#All],[FECHA DE CORTE]])</f>
        <v>43280</v>
      </c>
      <c r="N38" s="49">
        <v>0</v>
      </c>
      <c r="O38" s="49">
        <v>0</v>
      </c>
      <c r="P38" s="49">
        <v>0</v>
      </c>
      <c r="Q38" s="50">
        <v>0</v>
      </c>
      <c r="R38" s="50">
        <v>0</v>
      </c>
      <c r="S38" s="50">
        <v>0</v>
      </c>
      <c r="T38" s="50">
        <f>LOOKUP($J38,[1]!CMI[[#All],[CÓDIGO DE INDICADOR]],[1]!CMI[[#All],[Programado_1]])</f>
        <v>0</v>
      </c>
      <c r="U38" s="50">
        <f>IF(LOOKUP($J38,[1]!CMI[[#All],[CÓDIGO DE INDICADOR]],[1]!CMI[[#All],[Ejecutado_1]])="-",0,LOOKUP($J38,[1]!CMI[[#All],[CÓDIGO DE INDICADOR]],[1]!CMI[[#All],[Ejecutado_1]]))</f>
        <v>0</v>
      </c>
      <c r="V38" s="51">
        <f t="shared" si="9"/>
        <v>0</v>
      </c>
      <c r="W38" s="51">
        <f t="shared" si="10"/>
        <v>0</v>
      </c>
      <c r="X38" s="49">
        <f>LOOKUP($J38,[1]!CMI[[#All],[CÓDIGO DE INDICADOR]],[1]!CMI[[#All],[Programado_2]])</f>
        <v>0.13</v>
      </c>
      <c r="Y38" s="49">
        <f>IF(LOOKUP($J38,[1]!CMI[[#All],[CÓDIGO DE INDICADOR]],[1]!CMI[[#All],[Ejecutado_2]])="-",0,LOOKUP($J38,[1]!CMI[[#All],[CÓDIGO DE INDICADOR]],[1]!CMI[[#All],[Ejecutado_2]]))</f>
        <v>0.13</v>
      </c>
      <c r="Z38" s="49">
        <f>LOOKUP($J38,[1]!CMI[[#All],[CÓDIGO DE INDICADOR]],[1]!CMI[[#All],[Programado_3]])</f>
        <v>0</v>
      </c>
      <c r="AA38" s="50">
        <f>IF(LOOKUP($J38,[1]!CMI[[#All],[CÓDIGO DE INDICADOR]],[1]!CMI[[#All],[Ejecutado_3]])="-",0,LOOKUP($J38,[1]!CMI[[#All],[CÓDIGO DE INDICADOR]],[1]!CMI[[#All],[Ejecutado_3]]))</f>
        <v>0</v>
      </c>
      <c r="AB38" s="50">
        <f>LOOKUP($J38,[1]!CMI[[#All],[CÓDIGO DE INDICADOR]],[1]!CMI[[#All],[Programado_4]])</f>
        <v>0.13</v>
      </c>
      <c r="AC38" s="50">
        <f>IF(LOOKUP($J38,[1]!CMI[[#All],[CÓDIGO DE INDICADOR]],[1]!CMI[[#All],[Ejecutado_4]])="-",0,LOOKUP($J38,[1]!CMI[[#All],[CÓDIGO DE INDICADOR]],[1]!CMI[[#All],[Ejecutado_4]]))</f>
        <v>0.13</v>
      </c>
      <c r="AD38" s="50">
        <f>LOOKUP($J38,[1]!CMI[[#All],[CÓDIGO DE INDICADOR]],[1]!CMI[[#All],[Programado_5]])</f>
        <v>0.04</v>
      </c>
      <c r="AE38" s="50">
        <f>IF(LOOKUP($J38,[1]!CMI[[#All],[CÓDIGO DE INDICADOR]],[1]!CMI[[#All],[Ejecutado_5]])="-",0,LOOKUP($J38,[1]!CMI[[#All],[CÓDIGO DE INDICADOR]],[1]!CMI[[#All],[Ejecutado_5]]))</f>
        <v>0.04</v>
      </c>
      <c r="AF38" s="51">
        <f t="shared" si="11"/>
        <v>0.3</v>
      </c>
      <c r="AG38" s="51">
        <f>IF(OR(LOOKUP($J38,[1]!CMI[[#All],[CÓDIGO DE INDICADOR]],[1]!CMI[[#All],[TIPO DE FÓRMULA]])="Valor absoluto",LOOKUP($J38,[1]!CMI[[#All],[CÓDIGO DE INDICADOR]],[1]!CMI[[#All],[TIPO DE FÓRMULA]])="Suma"),Y38+AA38+AC38+AE38,IF(OR(LOOKUP($J38,[1]!CMI[[#All],[CÓDIGO DE INDICADOR]],[1]!CMI[[#All],[TIPO DE FÓRMULA]])="Porcentaje",LOOKUP($J38,[1]!CMI[[#All],[CÓDIGO DE INDICADOR]],[1]!CMI[[#All],[TIPO DE FÓRMULA]])="División"),IF(LOOKUP($J38,[1]!CMI[[#All],[CÓDIGO DE INDICADOR]],[1]!CMI[[#All],[Variable2_2]])+LOOKUP($J38,[1]!CMI[[#All],[CÓDIGO DE INDICADOR]],[1]!CMI[[#All],[Variable2_3]])+LOOKUP($J38,[1]!CMI[[#All],[CÓDIGO DE INDICADOR]],[1]!CMI[[#All],[Variable2_4]])+LOOKUP($J38,[1]!CMI[[#All],[CÓDIGO DE INDICADOR]],[1]!CMI[[#All],[Variable2_5]])=0,0,(LOOKUP($J38,[1]!CMI[[#All],[CÓDIGO DE INDICADOR]],[1]!CMI[[#All],[Variable1_2]])+LOOKUP($J38,[1]!CMI[[#All],[CÓDIGO DE INDICADOR]],[1]!CMI[[#All],[Variable1_3]])+LOOKUP($J38,[1]!CMI[[#All],[CÓDIGO DE INDICADOR]],[1]!CMI[[#All],[Variable1_4]])+LOOKUP($J38,[1]!CMI[[#All],[CÓDIGO DE INDICADOR]],[1]!CMI[[#All],[Variable1_5]]))/(LOOKUP($J38,[1]!CMI[[#All],[CÓDIGO DE INDICADOR]],[1]!CMI[[#All],[Variable2_2]])+LOOKUP($J38,[1]!CMI[[#All],[CÓDIGO DE INDICADOR]],[1]!CMI[[#All],[Variable2_3]])+LOOKUP($J38,[1]!CMI[[#All],[CÓDIGO DE INDICADOR]],[1]!CMI[[#All],[Variable2_4]])+LOOKUP($J38,[1]!CMI[[#All],[CÓDIGO DE INDICADOR]],[1]!CMI[[#All],[Variable2_5]]))),IF(LOOKUP($J38,[1]!CMI[[#All],[CÓDIGO DE INDICADOR]],[1]!CMI[[#All],[TIPO DE FÓRMULA]])="Tasa de variación",LOOKUP($J38,[1]!CMI[[#All],[CÓDIGO DE INDICADOR]],[1]!CMI[[#All],[EjecuciónAcumulada_5]]),0)))</f>
        <v>0.3</v>
      </c>
      <c r="AH38" s="49">
        <f>LOOKUP($J38,[1]!CMI[[#All],[CÓDIGO DE INDICADOR]],[1]!CMI[[#All],[Programado_6]])</f>
        <v>0.19</v>
      </c>
      <c r="AI38" s="49">
        <f>IF(LOOKUP($J38,[1]!CMI[[#All],[CÓDIGO DE INDICADOR]],[1]!CMI[[#All],[Ejecutado_6]])="-",0,LOOKUP($J38,[1]!CMI[[#All],[CÓDIGO DE INDICADOR]],[1]!CMI[[#All],[Ejecutado_6]]))</f>
        <v>0.09</v>
      </c>
      <c r="AJ38" s="49">
        <f>LOOKUP($J38,[1]!CMI[[#All],[CÓDIGO DE INDICADOR]],[1]!CMI[[#All],[Programado_7]])</f>
        <v>0.04</v>
      </c>
      <c r="AK38" s="50">
        <f>IF(LOOKUP($J38,[1]!CMI[[#All],[CÓDIGO DE INDICADOR]],[1]!CMI[[#All],[Ejecutado_7]])="-",0,LOOKUP($J38,[1]!CMI[[#All],[CÓDIGO DE INDICADOR]],[1]!CMI[[#All],[Ejecutado_7]]))</f>
        <v>0.04</v>
      </c>
      <c r="AL38" s="50">
        <f>LOOKUP($J38,[1]!CMI[[#All],[CÓDIGO DE INDICADOR]],[1]!CMI[[#All],[Programado_8]])</f>
        <v>0.12</v>
      </c>
      <c r="AM38" s="50">
        <f>IF(LOOKUP($J38,[1]!CMI[[#All],[CÓDIGO DE INDICADOR]],[1]!CMI[[#All],[Ejecutado_8]])="-",0,LOOKUP($J38,[1]!CMI[[#All],[CÓDIGO DE INDICADOR]],[1]!CMI[[#All],[Ejecutado_8]]))</f>
        <v>0</v>
      </c>
      <c r="AN38" s="50">
        <f>LOOKUP($J38,[1]!CMI[[#All],[CÓDIGO DE INDICADOR]],[1]!CMI[[#All],[Programado_9]])</f>
        <v>0</v>
      </c>
      <c r="AO38" s="50">
        <f>IF(LOOKUP($J38,[1]!CMI[[#All],[CÓDIGO DE INDICADOR]],[1]!CMI[[#All],[Ejecutado_9]])="-",0,LOOKUP($J38,[1]!CMI[[#All],[CÓDIGO DE INDICADOR]],[1]!CMI[[#All],[Ejecutado_9]]))</f>
        <v>0</v>
      </c>
      <c r="AP38" s="51">
        <f t="shared" si="12"/>
        <v>0.35</v>
      </c>
      <c r="AQ38" s="51">
        <f>IF(OR(LOOKUP($J38,[1]!CMI[[#All],[CÓDIGO DE INDICADOR]],[1]!CMI[[#All],[TIPO DE FÓRMULA]])="Valor absoluto",LOOKUP($J38,[1]!CMI[[#All],[CÓDIGO DE INDICADOR]],[1]!CMI[[#All],[TIPO DE FÓRMULA]])="Suma"),AI38+AK38+AM38+AO38,IF(OR(LOOKUP($J38,[1]!CMI[[#All],[CÓDIGO DE INDICADOR]],[1]!CMI[[#All],[TIPO DE FÓRMULA]])="Porcentaje",LOOKUP($J38,[1]!CMI[[#All],[CÓDIGO DE INDICADOR]],[1]!CMI[[#All],[TIPO DE FÓRMULA]])="División"),IF(LOOKUP($J38,[1]!CMI[[#All],[CÓDIGO DE INDICADOR]],[1]!CMI[[#All],[Variable2_6]])+LOOKUP($J38,[1]!CMI[[#All],[CÓDIGO DE INDICADOR]],[1]!CMI[[#All],[Variable2_7]])+LOOKUP($J38,[1]!CMI[[#All],[CÓDIGO DE INDICADOR]],[1]!CMI[[#All],[Variable2_8]])+LOOKUP($J38,[1]!CMI[[#All],[CÓDIGO DE INDICADOR]],[1]!CMI[[#All],[Variable2_9]])=0,0,(LOOKUP($J38,[1]!CMI[[#All],[CÓDIGO DE INDICADOR]],[1]!CMI[[#All],[Variable1_6]])+LOOKUP($J38,[1]!CMI[[#All],[CÓDIGO DE INDICADOR]],[1]!CMI[[#All],[Variable1_7]])+LOOKUP($J38,[1]!CMI[[#All],[CÓDIGO DE INDICADOR]],[1]!CMI[[#All],[Variable1_8]])+LOOKUP($J38,[1]!CMI[[#All],[CÓDIGO DE INDICADOR]],[1]!CMI[[#All],[Variable1_9]]))/(LOOKUP($J38,[1]!CMI[[#All],[CÓDIGO DE INDICADOR]],[1]!CMI[[#All],[Variable2_6]])+LOOKUP($J38,[1]!CMI[[#All],[CÓDIGO DE INDICADOR]],[1]!CMI[[#All],[Variable2_7]])+LOOKUP($J38,[1]!CMI[[#All],[CÓDIGO DE INDICADOR]],[1]!CMI[[#All],[Variable2_8]])+LOOKUP($J38,[1]!CMI[[#All],[CÓDIGO DE INDICADOR]],[1]!CMI[[#All],[Variable2_9]]))),IF(LOOKUP($J38,[1]!CMI[[#All],[CÓDIGO DE INDICADOR]],[1]!CMI[[#All],[TIPO DE FÓRMULA]])="Tasa de variación",LOOKUP($J38,[1]!CMI[[#All],[CÓDIGO DE INDICADOR]],[1]!CMI[[#All],[EjecuciónAcumulada_9]]),0)))</f>
        <v>0.13</v>
      </c>
      <c r="AR38" s="49">
        <f>LOOKUP($J38,[1]!CMI[[#All],[CÓDIGO DE INDICADOR]],[1]!CMI[[#All],[Programado_10]])</f>
        <v>0.21</v>
      </c>
      <c r="AS38" s="49">
        <f>IF(LOOKUP($J38,[1]!CMI[[#All],[CÓDIGO DE INDICADOR]],[1]!CMI[[#All],[Ejecutado_10]])="-",0,LOOKUP($J38,[1]!CMI[[#All],[CÓDIGO DE INDICADOR]],[1]!CMI[[#All],[Ejecutado_10]]))</f>
        <v>0</v>
      </c>
      <c r="AT38" s="49">
        <f>LOOKUP($J38,[1]!CMI[[#All],[CÓDIGO DE INDICADOR]],[1]!CMI[[#All],[Programado_11]])</f>
        <v>0</v>
      </c>
      <c r="AU38" s="50">
        <f>IF(LOOKUP($J38,[1]!CMI[[#All],[CÓDIGO DE INDICADOR]],[1]!CMI[[#All],[Ejecutado_11]])="-",0,LOOKUP($J38,[1]!CMI[[#All],[CÓDIGO DE INDICADOR]],[1]!CMI[[#All],[Ejecutado_11]]))</f>
        <v>0</v>
      </c>
      <c r="AV38" s="50">
        <f>LOOKUP($J38,[1]!CMI[[#All],[CÓDIGO DE INDICADOR]],[1]!CMI[[#All],[Programado_12]])</f>
        <v>0.08</v>
      </c>
      <c r="AW38" s="50">
        <f>IF(LOOKUP($J38,[1]!CMI[[#All],[CÓDIGO DE INDICADOR]],[1]!CMI[[#All],[Ejecutado_12]])="-",0,LOOKUP($J38,[1]!CMI[[#All],[CÓDIGO DE INDICADOR]],[1]!CMI[[#All],[Ejecutado_12]]))</f>
        <v>0</v>
      </c>
      <c r="AX38" s="50">
        <f>LOOKUP($J38,[1]!CMI[[#All],[CÓDIGO DE INDICADOR]],[1]!CMI[[#All],[Programado_13]])</f>
        <v>0</v>
      </c>
      <c r="AY38" s="50">
        <f>IF(LOOKUP($J38,[1]!CMI[[#All],[CÓDIGO DE INDICADOR]],[1]!CMI[[#All],[Ejecutado_13]])="-",0,LOOKUP($J38,[1]!CMI[[#All],[CÓDIGO DE INDICADOR]],[1]!CMI[[#All],[Ejecutado_13]]))</f>
        <v>0</v>
      </c>
      <c r="AZ38" s="51">
        <f t="shared" si="13"/>
        <v>0.28999999999999998</v>
      </c>
      <c r="BA38" s="51">
        <f>IF(OR(LOOKUP($J38,[1]!CMI[[#All],[CÓDIGO DE INDICADOR]],[1]!CMI[[#All],[TIPO DE FÓRMULA]])="Valor absoluto",LOOKUP($J38,[1]!CMI[[#All],[CÓDIGO DE INDICADOR]],[1]!CMI[[#All],[TIPO DE FÓRMULA]])="Suma"),AS38+AU38+AW38+AY38,IF(OR(LOOKUP($J38,[1]!CMI[[#All],[CÓDIGO DE INDICADOR]],[1]!CMI[[#All],[TIPO DE FÓRMULA]])="Porcentaje",LOOKUP($J38,[1]!CMI[[#All],[CÓDIGO DE INDICADOR]],[1]!CMI[[#All],[TIPO DE FÓRMULA]])="División"),IF(LOOKUP($J38,[1]!CMI[[#All],[CÓDIGO DE INDICADOR]],[1]!CMI[[#All],[Variable2_10]])+LOOKUP($J38,[1]!CMI[[#All],[CÓDIGO DE INDICADOR]],[1]!CMI[[#All],[Variable2_11]])+LOOKUP($J38,[1]!CMI[[#All],[CÓDIGO DE INDICADOR]],[1]!CMI[[#All],[Variable2_12]])+LOOKUP($J38,[1]!CMI[[#All],[CÓDIGO DE INDICADOR]],[1]!CMI[[#All],[Variable2_13]])=0,0,(LOOKUP($J38,[1]!CMI[[#All],[CÓDIGO DE INDICADOR]],[1]!CMI[[#All],[Variable1_10]])+LOOKUP($J38,[1]!CMI[[#All],[CÓDIGO DE INDICADOR]],[1]!CMI[[#All],[Variable1_11]])+LOOKUP($J38,[1]!CMI[[#All],[CÓDIGO DE INDICADOR]],[1]!CMI[[#All],[Variable1_12]])+LOOKUP($J38,[1]!CMI[[#All],[CÓDIGO DE INDICADOR]],[1]!CMI[[#All],[Variable1_13]]))/(LOOKUP($J38,[1]!CMI[[#All],[CÓDIGO DE INDICADOR]],[1]!CMI[[#All],[Variable2_10]])+LOOKUP($J38,[1]!CMI[[#All],[CÓDIGO DE INDICADOR]],[1]!CMI[[#All],[Variable2_11]])+LOOKUP($J38,[1]!CMI[[#All],[CÓDIGO DE INDICADOR]],[1]!CMI[[#All],[Variable2_12]])+LOOKUP($J38,[1]!CMI[[#All],[CÓDIGO DE INDICADOR]],[1]!CMI[[#All],[Variable2_13]]))),IF(LOOKUP($J38,[1]!CMI[[#All],[CÓDIGO DE INDICADOR]],[1]!CMI[[#All],[TIPO DE FÓRMULA]])="Tasa de variación",LOOKUP($J38,[1]!CMI[[#All],[CÓDIGO DE INDICADOR]],[1]!CMI[[#All],[EjecuciónAcumulada_13]]),0)))</f>
        <v>0</v>
      </c>
      <c r="BB38" s="49">
        <f>LOOKUP($J38,[1]!CMI[[#All],[CÓDIGO DE INDICADOR]],[1]!CMI[[#All],[Programado_14]])</f>
        <v>0.06</v>
      </c>
      <c r="BC38" s="49">
        <f>IF(LOOKUP($J38,[1]!CMI[[#All],[CÓDIGO DE INDICADOR]],[1]!CMI[[#All],[Ejecutado_14]])="-",0,LOOKUP($J38,[1]!CMI[[#All],[CÓDIGO DE INDICADOR]],[1]!CMI[[#All],[Ejecutado_14]]))</f>
        <v>0</v>
      </c>
      <c r="BD38" s="49">
        <f>LOOKUP($J38,[1]!CMI[[#All],[CÓDIGO DE INDICADOR]],[1]!CMI[[#All],[Programado_15]])</f>
        <v>0</v>
      </c>
      <c r="BE38" s="50">
        <f>IF(LOOKUP($J38,[1]!CMI[[#All],[CÓDIGO DE INDICADOR]],[1]!CMI[[#All],[Ejecutado_15]])="-",0,LOOKUP($J38,[1]!CMI[[#All],[CÓDIGO DE INDICADOR]],[1]!CMI[[#All],[Ejecutado_15]]))</f>
        <v>0</v>
      </c>
      <c r="BF38" s="50">
        <f>LOOKUP($J38,[1]!CMI[[#All],[CÓDIGO DE INDICADOR]],[1]!CMI[[#All],[Programado_16]])</f>
        <v>0</v>
      </c>
      <c r="BG38" s="50">
        <f>IF(LOOKUP($J38,[1]!CMI[[#All],[CÓDIGO DE INDICADOR]],[1]!CMI[[#All],[Ejecutado_16]])="-",0,LOOKUP($J38,[1]!CMI[[#All],[CÓDIGO DE INDICADOR]],[1]!CMI[[#All],[Ejecutado_16]]))</f>
        <v>0</v>
      </c>
      <c r="BH38" s="50">
        <f>LOOKUP($J38,[1]!CMI[[#All],[CÓDIGO DE INDICADOR]],[1]!CMI[[#All],[Programado_17]])</f>
        <v>0</v>
      </c>
      <c r="BI38" s="50">
        <f>IF(LOOKUP($J38,[1]!CMI[[#All],[CÓDIGO DE INDICADOR]],[1]!CMI[[#All],[Ejecutado_17]])="-",0,LOOKUP($J38,[1]!CMI[[#All],[CÓDIGO DE INDICADOR]],[1]!CMI[[#All],[Ejecutado_17]]))</f>
        <v>0</v>
      </c>
      <c r="BJ38" s="51">
        <f t="shared" si="14"/>
        <v>0.06</v>
      </c>
      <c r="BK38" s="51">
        <f>IF(OR(LOOKUP($J38,[1]!CMI[[#All],[CÓDIGO DE INDICADOR]],[1]!CMI[[#All],[TIPO DE FÓRMULA]])="Valor absoluto",LOOKUP($J38,[1]!CMI[[#All],[CÓDIGO DE INDICADOR]],[1]!CMI[[#All],[TIPO DE FÓRMULA]])="Suma"),BC38+BE38+BG38+BI38,IF(OR(LOOKUP($J38,[1]!CMI[[#All],[CÓDIGO DE INDICADOR]],[1]!CMI[[#All],[TIPO DE FÓRMULA]])="Porcentaje",LOOKUP($J38,[1]!CMI[[#All],[CÓDIGO DE INDICADOR]],[1]!CMI[[#All],[TIPO DE FÓRMULA]])="División"),IF(LOOKUP($J38,[1]!CMI[[#All],[CÓDIGO DE INDICADOR]],[1]!CMI[[#All],[Variable2_14]])+LOOKUP($J38,[1]!CMI[[#All],[CÓDIGO DE INDICADOR]],[1]!CMI[[#All],[Variable2_15]])+LOOKUP($J38,[1]!CMI[[#All],[CÓDIGO DE INDICADOR]],[1]!CMI[[#All],[Variable2_16]])+LOOKUP($J38,[1]!CMI[[#All],[CÓDIGO DE INDICADOR]],[1]!CMI[[#All],[Variable2_17]])=0,0,(LOOKUP($J38,[1]!CMI[[#All],[CÓDIGO DE INDICADOR]],[1]!CMI[[#All],[Variable1_14]])+LOOKUP($J38,[1]!CMI[[#All],[CÓDIGO DE INDICADOR]],[1]!CMI[[#All],[Variable1_15]])+LOOKUP($J38,[1]!CMI[[#All],[CÓDIGO DE INDICADOR]],[1]!CMI[[#All],[Variable1_16]])+LOOKUP($J38,[1]!CMI[[#All],[CÓDIGO DE INDICADOR]],[1]!CMI[[#All],[Variable1_17]]))/(LOOKUP($J38,[1]!CMI[[#All],[CÓDIGO DE INDICADOR]],[1]!CMI[[#All],[Variable2_14]])+LOOKUP($J38,[1]!CMI[[#All],[CÓDIGO DE INDICADOR]],[1]!CMI[[#All],[Variable2_15]])+LOOKUP($J38,[1]!CMI[[#All],[CÓDIGO DE INDICADOR]],[1]!CMI[[#All],[Variable2_16]])+LOOKUP($J38,[1]!CMI[[#All],[CÓDIGO DE INDICADOR]],[1]!CMI[[#All],[Variable2_17]]))),IF(LOOKUP($J38,[1]!CMI[[#All],[CÓDIGO DE INDICADOR]],[1]!CMI[[#All],[TIPO DE FÓRMULA]])="Tasa de variación",LOOKUP($J38,[1]!CMI[[#All],[CÓDIGO DE INDICADOR]],[1]!CMI[[#All],[EjecuciónAcumulada_17]]),0)))</f>
        <v>0</v>
      </c>
      <c r="BL38" s="51">
        <f>IF(YEAR($M38)=2016,LOOKUP($J38,[1]!CMI[[#All],[CÓDIGO DE INDICADOR]],[1]!CMI[[#All],[ProgramadoAcumulado_1]]),IF(AND(YEAR($M38)=2017,MONTH($M38)&lt;=3),LOOKUP($J38,[1]!CMI[[#All],[CÓDIGO DE INDICADOR]],[1]!CMI[[#All],[ProgramadoAcumulado_2]]),IF(AND(YEAR($M38)=2017,MONTH($M38)&lt;=6),LOOKUP($J38,[1]!CMI[[#All],[CÓDIGO DE INDICADOR]],[1]!CMI[[#All],[ProgramadoAcumulado_3]]),IF(AND(YEAR($M38)=2017,MONTH($M38)&lt;=9),LOOKUP($J38,[1]!CMI[[#All],[CÓDIGO DE INDICADOR]],[1]!CMI[[#All],[ProgramadoAcumulado_4]]),IF(AND(YEAR($M38)=2017,MONTH($M38)&lt;=12),LOOKUP($J38,[1]!CMI[[#All],[CÓDIGO DE INDICADOR]],[1]!CMI[[#All],[ProgramadoAcumulado_5]]),IF(AND(YEAR($M38)=2018,MONTH($M38)&lt;=3),LOOKUP($J38,[1]!CMI[[#All],[CÓDIGO DE INDICADOR]],[1]!CMI[[#All],[ProgramadoAcumulado_6]]),IF(AND(YEAR($M38)=2018,MONTH($M38)&lt;=6),LOOKUP($J38,[1]!CMI[[#All],[CÓDIGO DE INDICADOR]],[1]!CMI[[#All],[ProgramadoAcumulado_7]]),IF(AND(YEAR($M38)=2018,MONTH($M38)&lt;=9),LOOKUP($J38,[1]!CMI[[#All],[CÓDIGO DE INDICADOR]],[1]!CMI[[#All],[ProgramadoAcumulado_8]]),IF(AND(YEAR($M38)=2018,MONTH($M38)&lt;=12),LOOKUP($J38,[1]!CMI[[#All],[CÓDIGO DE INDICADOR]],[1]!CMI[[#All],[ProgramadoAcumulado_9]]),IF(AND(YEAR($M38)=2019,MONTH($M38)&lt;=3),LOOKUP($J38,[1]!CMI[[#All],[CÓDIGO DE INDICADOR]],[1]!CMI[[#All],[ProgramadoAcumulado_10]]),IF(AND(YEAR($M38)=2019,MONTH($M38)&lt;=6),LOOKUP($J38,[1]!CMI[[#All],[CÓDIGO DE INDICADOR]],[1]!CMI[[#All],[ProgramadoAcumulado_11]]),IF(AND(YEAR($M38)=2019,MONTH($M38)&lt;=9),LOOKUP($J38,[1]!CMI[[#All],[CÓDIGO DE INDICADOR]],[1]!CMI[[#All],[ProgramadoAcumulado_12]]),IF(AND(YEAR($M38)=2019,MONTH($M38)&lt;=12),LOOKUP($J38,[1]!CMI[[#All],[CÓDIGO DE INDICADOR]],[1]!CMI[[#All],[ProgramadoAcumulado_13]]),IF(AND(YEAR($M38)=2020,MONTH($M38)&lt;=3),LOOKUP($J38,[1]!CMI[[#All],[CÓDIGO DE INDICADOR]],[1]!CMI[[#All],[ProgramadoAcumulado_14]]),IF(AND(YEAR($M38)=2020,MONTH($M38)&lt;=6),LOOKUP($J38,[1]!CMI[[#All],[CÓDIGO DE INDICADOR]],[1]!CMI[[#All],[ProgramadoAcumulado_15]]),IF(AND(YEAR($M38)=2020,MONTH($M38)&lt;=9),LOOKUP($J38,[1]!CMI[[#All],[CÓDIGO DE INDICADOR]],[1]!CMI[[#All],[ProgramadoAcumulado_16]]),IF(AND(YEAR($M38)=2020,MONTH($M38)&lt;=12),LOOKUP($J38,[1]!CMI[[#All],[CÓDIGO DE INDICADOR]],[1]!CMI[[#All],[ProgramadoAcumulado_17]]),"N.A")))))))))))))))))</f>
        <v>0.53</v>
      </c>
      <c r="BM38" s="51">
        <f>IF(YEAR($M38)=2016,LOOKUP($J38,[1]!CMI[[#All],[CÓDIGO DE INDICADOR]],[1]!CMI[[#All],[EjecuciónAcumulada_1]]),IF(AND(YEAR($M38)=2017,MONTH($M38)&lt;=3),LOOKUP($J38,[1]!CMI[[#All],[CÓDIGO DE INDICADOR]],[1]!CMI[[#All],[EjecuciónAcumulada_2]]),IF(AND(YEAR($M38)=2017,MONTH($M38)&lt;=6),LOOKUP($J38,[1]!CMI[[#All],[CÓDIGO DE INDICADOR]],[1]!CMI[[#All],[EjecuciónAcumulada_3]]),IF(AND(YEAR($M38)=2017,MONTH($M38)&lt;=9),LOOKUP($J38,[1]!CMI[[#All],[CÓDIGO DE INDICADOR]],[1]!CMI[[#All],[EjecuciónAcumulada_4]]),IF(AND(YEAR($M38)=2017,MONTH($M38)&lt;=12),LOOKUP($J38,[1]!CMI[[#All],[CÓDIGO DE INDICADOR]],[1]!CMI[[#All],[EjecuciónAcumulada_5]]),IF(AND(YEAR($M38)=2018,MONTH($M38)&lt;=3),LOOKUP($J38,[1]!CMI[[#All],[CÓDIGO DE INDICADOR]],[1]!CMI[[#All],[EjecuciónAcumulada_6]]),IF(AND(YEAR($M38)=2018,MONTH($M38)&lt;=6),LOOKUP($J38,[1]!CMI[[#All],[CÓDIGO DE INDICADOR]],[1]!CMI[[#All],[EjecuciónAcumulada_7]]),IF(AND(YEAR($M38)=2018,MONTH($M38)&lt;=9),LOOKUP($J38,[1]!CMI[[#All],[CÓDIGO DE INDICADOR]],[1]!CMI[[#All],[EjecuciónAcumulada_8]]),IF(AND(YEAR($M38)=2018,MONTH($M38)&lt;=12),LOOKUP($J38,[1]!CMI[[#All],[CÓDIGO DE INDICADOR]],[1]!CMI[[#All],[EjecuciónAcumulada_9]]),IF(AND(YEAR($M38)=2019,MONTH($M38)&lt;=3),LOOKUP($J38,[1]!CMI[[#All],[CÓDIGO DE INDICADOR]],[1]!CMI[[#All],[EjecuciónAcumulada_10]]),IF(AND(YEAR($M38)=2019,MONTH($M38)&lt;=6),LOOKUP($J38,[1]!CMI[[#All],[CÓDIGO DE INDICADOR]],[1]!CMI[[#All],[EjecuciónAcumulada_11]]),IF(AND(YEAR($M38)=2019,MONTH($M38)&lt;=9),LOOKUP($J38,[1]!CMI[[#All],[CÓDIGO DE INDICADOR]],[1]!CMI[[#All],[EjecuciónAcumulada_12]]),IF(AND(YEAR($M38)=2019,MONTH($M38)&lt;=12),LOOKUP($J38,[1]!CMI[[#All],[CÓDIGO DE INDICADOR]],[1]!CMI[[#All],[EjecuciónAcumulada_13]]),IF(AND(YEAR($M38)=2020,MONTH($M38)&lt;=3),LOOKUP($J38,[1]!CMI[[#All],[CÓDIGO DE INDICADOR]],[1]!CMI[[#All],[EjecuciónAcumulada_14]]),IF(AND(YEAR($M38)=2020,MONTH($M38)&lt;=6),LOOKUP($J38,[1]!CMI[[#All],[CÓDIGO DE INDICADOR]],[1]!CMI[[#All],[EjecuciónAcumulada_15]]),IF(AND(YEAR($M38)=2020,MONTH($M38)&lt;=9),LOOKUP($J38,[1]!CMI[[#All],[CÓDIGO DE INDICADOR]],[1]!CMI[[#All],[EjecuciónAcumulada_16]]),IF(AND(YEAR($M38)=2020,MONTH($M38)&lt;=12),LOOKUP($J38,[1]!CMI[[#All],[CÓDIGO DE INDICADOR]],[1]!CMI[[#All],[EjecuciónAcumulada_17]]),"N.A")))))))))))))))))</f>
        <v>0.43</v>
      </c>
      <c r="BN38" s="17">
        <f t="shared" si="7"/>
        <v>0.81132075471698106</v>
      </c>
      <c r="BO38" s="51">
        <f t="shared" si="15"/>
        <v>1</v>
      </c>
      <c r="BP38" s="68">
        <f t="shared" si="8"/>
        <v>0.43</v>
      </c>
    </row>
    <row r="39" spans="2:68" ht="219.75" customHeight="1">
      <c r="B39" s="135" t="s">
        <v>177</v>
      </c>
      <c r="C39" s="10" t="s">
        <v>178</v>
      </c>
      <c r="D39" s="11" t="str">
        <f>LOOKUP($J39,[1]!CMI[[#All],[CÓDIGO DE INDICADOR]],[1]!CMI[[#All],[NOMBRE DEL INDICADOR]])</f>
        <v>Avance en la implementación del Plan Estratégico de Talento Humano</v>
      </c>
      <c r="E39" s="11" t="str">
        <f>LOOKUP($J39,[1]!CMI[[#All],[CÓDIGO DE INDICADOR]],[1]!CMI[[#All],[FÓRMULA DE CÁLCULO]])</f>
        <v>Porcentaje de avance en las actividades</v>
      </c>
      <c r="F39" s="49">
        <f>LOOKUP($J39,[1]!CMI[[#All],[CÓDIGO DE INDICADOR]],[1]!CMI[[#All],[VALOR PROGRAMADO TOTAL]])</f>
        <v>1</v>
      </c>
      <c r="G39" s="10" t="s">
        <v>182</v>
      </c>
      <c r="H39" s="10" t="s">
        <v>183</v>
      </c>
      <c r="I39" s="11" t="str">
        <f>LOOKUP($J39,[1]!CMI[[#All],[CÓDIGO DE INDICADOR]],[1]!CMI[[#All],[DEPENDENCIA]])</f>
        <v>Dependencia Líder: Dirección de Talento Humano
Dependencia Operativa: Dirección de Talento Humano</v>
      </c>
      <c r="J39" s="13" t="s">
        <v>190</v>
      </c>
      <c r="K39" s="11" t="str">
        <f>LOOKUP($J39,[1]!CMI[[#All],[CÓDIGO DE INDICADOR]],[1]!CMI[[#All],[CÁLCULO VALOR PROGRAMADO ACUMULADO]])</f>
        <v>Sumatoria</v>
      </c>
      <c r="L39" s="11" t="str">
        <f>LOOKUP($J39,[1]!CMI[[#All],[CÓDIGO DE INDICADOR]],[1]!CMI[[#All],[TENDENCIA DECRECIENTE]])</f>
        <v>No</v>
      </c>
      <c r="M39" s="14">
        <f>LOOKUP($J39,[1]!CMI[[#All],[CÓDIGO DE INDICADOR]],[1]!CMI[[#All],[FECHA DE CORTE]])</f>
        <v>43281</v>
      </c>
      <c r="N39" s="49">
        <v>0</v>
      </c>
      <c r="O39" s="49">
        <v>0</v>
      </c>
      <c r="P39" s="49">
        <v>0</v>
      </c>
      <c r="Q39" s="50">
        <v>0</v>
      </c>
      <c r="R39" s="50">
        <v>0</v>
      </c>
      <c r="S39" s="50">
        <v>0</v>
      </c>
      <c r="T39" s="50">
        <f>LOOKUP($J39,[1]!CMI[[#All],[CÓDIGO DE INDICADOR]],[1]!CMI[[#All],[Programado_1]])</f>
        <v>0</v>
      </c>
      <c r="U39" s="50">
        <f>IF(LOOKUP($J39,[1]!CMI[[#All],[CÓDIGO DE INDICADOR]],[1]!CMI[[#All],[Ejecutado_1]])="-",0,LOOKUP($J39,[1]!CMI[[#All],[CÓDIGO DE INDICADOR]],[1]!CMI[[#All],[Ejecutado_1]]))</f>
        <v>0</v>
      </c>
      <c r="V39" s="51">
        <f t="shared" si="9"/>
        <v>0</v>
      </c>
      <c r="W39" s="51">
        <f t="shared" si="10"/>
        <v>0</v>
      </c>
      <c r="X39" s="49">
        <f>LOOKUP($J39,[1]!CMI[[#All],[CÓDIGO DE INDICADOR]],[1]!CMI[[#All],[Programado_2]])</f>
        <v>0</v>
      </c>
      <c r="Y39" s="49">
        <f>IF(LOOKUP($J39,[1]!CMI[[#All],[CÓDIGO DE INDICADOR]],[1]!CMI[[#All],[Ejecutado_2]])="-",0,LOOKUP($J39,[1]!CMI[[#All],[CÓDIGO DE INDICADOR]],[1]!CMI[[#All],[Ejecutado_2]]))</f>
        <v>0</v>
      </c>
      <c r="Z39" s="49">
        <f>LOOKUP($J39,[1]!CMI[[#All],[CÓDIGO DE INDICADOR]],[1]!CMI[[#All],[Programado_3]])</f>
        <v>0</v>
      </c>
      <c r="AA39" s="50">
        <f>IF(LOOKUP($J39,[1]!CMI[[#All],[CÓDIGO DE INDICADOR]],[1]!CMI[[#All],[Ejecutado_3]])="-",0,LOOKUP($J39,[1]!CMI[[#All],[CÓDIGO DE INDICADOR]],[1]!CMI[[#All],[Ejecutado_3]]))</f>
        <v>0</v>
      </c>
      <c r="AB39" s="50">
        <f>LOOKUP($J39,[1]!CMI[[#All],[CÓDIGO DE INDICADOR]],[1]!CMI[[#All],[Programado_4]])</f>
        <v>0</v>
      </c>
      <c r="AC39" s="50">
        <f>IF(LOOKUP($J39,[1]!CMI[[#All],[CÓDIGO DE INDICADOR]],[1]!CMI[[#All],[Ejecutado_4]])="-",0,LOOKUP($J39,[1]!CMI[[#All],[CÓDIGO DE INDICADOR]],[1]!CMI[[#All],[Ejecutado_4]]))</f>
        <v>0</v>
      </c>
      <c r="AD39" s="50">
        <f>LOOKUP($J39,[1]!CMI[[#All],[CÓDIGO DE INDICADOR]],[1]!CMI[[#All],[Programado_5]])</f>
        <v>0</v>
      </c>
      <c r="AE39" s="50">
        <f>IF(LOOKUP($J39,[1]!CMI[[#All],[CÓDIGO DE INDICADOR]],[1]!CMI[[#All],[Ejecutado_5]])="-",0,LOOKUP($J39,[1]!CMI[[#All],[CÓDIGO DE INDICADOR]],[1]!CMI[[#All],[Ejecutado_5]]))</f>
        <v>0</v>
      </c>
      <c r="AF39" s="51">
        <f t="shared" si="11"/>
        <v>0</v>
      </c>
      <c r="AG39" s="51">
        <f>IF(OR(LOOKUP($J39,[1]!CMI[[#All],[CÓDIGO DE INDICADOR]],[1]!CMI[[#All],[TIPO DE FÓRMULA]])="Valor absoluto",LOOKUP($J39,[1]!CMI[[#All],[CÓDIGO DE INDICADOR]],[1]!CMI[[#All],[TIPO DE FÓRMULA]])="Suma"),Y39+AA39+AC39+AE39,IF(OR(LOOKUP($J39,[1]!CMI[[#All],[CÓDIGO DE INDICADOR]],[1]!CMI[[#All],[TIPO DE FÓRMULA]])="Porcentaje",LOOKUP($J39,[1]!CMI[[#All],[CÓDIGO DE INDICADOR]],[1]!CMI[[#All],[TIPO DE FÓRMULA]])="División"),IF(LOOKUP($J39,[1]!CMI[[#All],[CÓDIGO DE INDICADOR]],[1]!CMI[[#All],[Variable2_2]])+LOOKUP($J39,[1]!CMI[[#All],[CÓDIGO DE INDICADOR]],[1]!CMI[[#All],[Variable2_3]])+LOOKUP($J39,[1]!CMI[[#All],[CÓDIGO DE INDICADOR]],[1]!CMI[[#All],[Variable2_4]])+LOOKUP($J39,[1]!CMI[[#All],[CÓDIGO DE INDICADOR]],[1]!CMI[[#All],[Variable2_5]])=0,0,(LOOKUP($J39,[1]!CMI[[#All],[CÓDIGO DE INDICADOR]],[1]!CMI[[#All],[Variable1_2]])+LOOKUP($J39,[1]!CMI[[#All],[CÓDIGO DE INDICADOR]],[1]!CMI[[#All],[Variable1_3]])+LOOKUP($J39,[1]!CMI[[#All],[CÓDIGO DE INDICADOR]],[1]!CMI[[#All],[Variable1_4]])+LOOKUP($J39,[1]!CMI[[#All],[CÓDIGO DE INDICADOR]],[1]!CMI[[#All],[Variable1_5]]))/(LOOKUP($J39,[1]!CMI[[#All],[CÓDIGO DE INDICADOR]],[1]!CMI[[#All],[Variable2_2]])+LOOKUP($J39,[1]!CMI[[#All],[CÓDIGO DE INDICADOR]],[1]!CMI[[#All],[Variable2_3]])+LOOKUP($J39,[1]!CMI[[#All],[CÓDIGO DE INDICADOR]],[1]!CMI[[#All],[Variable2_4]])+LOOKUP($J39,[1]!CMI[[#All],[CÓDIGO DE INDICADOR]],[1]!CMI[[#All],[Variable2_5]]))),IF(LOOKUP($J39,[1]!CMI[[#All],[CÓDIGO DE INDICADOR]],[1]!CMI[[#All],[TIPO DE FÓRMULA]])="Tasa de variación",LOOKUP($J39,[1]!CMI[[#All],[CÓDIGO DE INDICADOR]],[1]!CMI[[#All],[EjecuciónAcumulada_5]]),0)))</f>
        <v>0</v>
      </c>
      <c r="AH39" s="49">
        <f>LOOKUP($J39,[1]!CMI[[#All],[CÓDIGO DE INDICADOR]],[1]!CMI[[#All],[Programado_6]])</f>
        <v>0</v>
      </c>
      <c r="AI39" s="49">
        <f>IF(LOOKUP($J39,[1]!CMI[[#All],[CÓDIGO DE INDICADOR]],[1]!CMI[[#All],[Ejecutado_6]])="-",0,LOOKUP($J39,[1]!CMI[[#All],[CÓDIGO DE INDICADOR]],[1]!CMI[[#All],[Ejecutado_6]]))</f>
        <v>0</v>
      </c>
      <c r="AJ39" s="49">
        <f>LOOKUP($J39,[1]!CMI[[#All],[CÓDIGO DE INDICADOR]],[1]!CMI[[#All],[Programado_7]])</f>
        <v>0.3</v>
      </c>
      <c r="AK39" s="50">
        <f>IF(LOOKUP($J39,[1]!CMI[[#All],[CÓDIGO DE INDICADOR]],[1]!CMI[[#All],[Ejecutado_7]])="-",0,LOOKUP($J39,[1]!CMI[[#All],[CÓDIGO DE INDICADOR]],[1]!CMI[[#All],[Ejecutado_7]]))</f>
        <v>0.3</v>
      </c>
      <c r="AL39" s="50">
        <f>LOOKUP($J39,[1]!CMI[[#All],[CÓDIGO DE INDICADOR]],[1]!CMI[[#All],[Programado_8]])</f>
        <v>0</v>
      </c>
      <c r="AM39" s="50">
        <f>IF(LOOKUP($J39,[1]!CMI[[#All],[CÓDIGO DE INDICADOR]],[1]!CMI[[#All],[Ejecutado_8]])="-",0,LOOKUP($J39,[1]!CMI[[#All],[CÓDIGO DE INDICADOR]],[1]!CMI[[#All],[Ejecutado_8]]))</f>
        <v>0</v>
      </c>
      <c r="AN39" s="50">
        <f>LOOKUP($J39,[1]!CMI[[#All],[CÓDIGO DE INDICADOR]],[1]!CMI[[#All],[Programado_9]])</f>
        <v>0</v>
      </c>
      <c r="AO39" s="50">
        <f>IF(LOOKUP($J39,[1]!CMI[[#All],[CÓDIGO DE INDICADOR]],[1]!CMI[[#All],[Ejecutado_9]])="-",0,LOOKUP($J39,[1]!CMI[[#All],[CÓDIGO DE INDICADOR]],[1]!CMI[[#All],[Ejecutado_9]]))</f>
        <v>0</v>
      </c>
      <c r="AP39" s="51">
        <f t="shared" si="12"/>
        <v>0.3</v>
      </c>
      <c r="AQ39" s="51">
        <f>IF(OR(LOOKUP($J39,[1]!CMI[[#All],[CÓDIGO DE INDICADOR]],[1]!CMI[[#All],[TIPO DE FÓRMULA]])="Valor absoluto",LOOKUP($J39,[1]!CMI[[#All],[CÓDIGO DE INDICADOR]],[1]!CMI[[#All],[TIPO DE FÓRMULA]])="Suma"),AI39+AK39+AM39+AO39,IF(OR(LOOKUP($J39,[1]!CMI[[#All],[CÓDIGO DE INDICADOR]],[1]!CMI[[#All],[TIPO DE FÓRMULA]])="Porcentaje",LOOKUP($J39,[1]!CMI[[#All],[CÓDIGO DE INDICADOR]],[1]!CMI[[#All],[TIPO DE FÓRMULA]])="División"),IF(LOOKUP($J39,[1]!CMI[[#All],[CÓDIGO DE INDICADOR]],[1]!CMI[[#All],[Variable2_6]])+LOOKUP($J39,[1]!CMI[[#All],[CÓDIGO DE INDICADOR]],[1]!CMI[[#All],[Variable2_7]])+LOOKUP($J39,[1]!CMI[[#All],[CÓDIGO DE INDICADOR]],[1]!CMI[[#All],[Variable2_8]])+LOOKUP($J39,[1]!CMI[[#All],[CÓDIGO DE INDICADOR]],[1]!CMI[[#All],[Variable2_9]])=0,0,(LOOKUP($J39,[1]!CMI[[#All],[CÓDIGO DE INDICADOR]],[1]!CMI[[#All],[Variable1_6]])+LOOKUP($J39,[1]!CMI[[#All],[CÓDIGO DE INDICADOR]],[1]!CMI[[#All],[Variable1_7]])+LOOKUP($J39,[1]!CMI[[#All],[CÓDIGO DE INDICADOR]],[1]!CMI[[#All],[Variable1_8]])+LOOKUP($J39,[1]!CMI[[#All],[CÓDIGO DE INDICADOR]],[1]!CMI[[#All],[Variable1_9]]))/(LOOKUP($J39,[1]!CMI[[#All],[CÓDIGO DE INDICADOR]],[1]!CMI[[#All],[Variable2_6]])+LOOKUP($J39,[1]!CMI[[#All],[CÓDIGO DE INDICADOR]],[1]!CMI[[#All],[Variable2_7]])+LOOKUP($J39,[1]!CMI[[#All],[CÓDIGO DE INDICADOR]],[1]!CMI[[#All],[Variable2_8]])+LOOKUP($J39,[1]!CMI[[#All],[CÓDIGO DE INDICADOR]],[1]!CMI[[#All],[Variable2_9]]))),IF(LOOKUP($J39,[1]!CMI[[#All],[CÓDIGO DE INDICADOR]],[1]!CMI[[#All],[TIPO DE FÓRMULA]])="Tasa de variación",LOOKUP($J39,[1]!CMI[[#All],[CÓDIGO DE INDICADOR]],[1]!CMI[[#All],[EjecuciónAcumulada_9]]),0)))</f>
        <v>0.3</v>
      </c>
      <c r="AR39" s="49">
        <f>LOOKUP($J39,[1]!CMI[[#All],[CÓDIGO DE INDICADOR]],[1]!CMI[[#All],[Programado_10]])</f>
        <v>0</v>
      </c>
      <c r="AS39" s="49">
        <f>IF(LOOKUP($J39,[1]!CMI[[#All],[CÓDIGO DE INDICADOR]],[1]!CMI[[#All],[Ejecutado_10]])="-",0,LOOKUP($J39,[1]!CMI[[#All],[CÓDIGO DE INDICADOR]],[1]!CMI[[#All],[Ejecutado_10]]))</f>
        <v>0</v>
      </c>
      <c r="AT39" s="49">
        <f>LOOKUP($J39,[1]!CMI[[#All],[CÓDIGO DE INDICADOR]],[1]!CMI[[#All],[Programado_11]])</f>
        <v>0</v>
      </c>
      <c r="AU39" s="50">
        <f>IF(LOOKUP($J39,[1]!CMI[[#All],[CÓDIGO DE INDICADOR]],[1]!CMI[[#All],[Ejecutado_11]])="-",0,LOOKUP($J39,[1]!CMI[[#All],[CÓDIGO DE INDICADOR]],[1]!CMI[[#All],[Ejecutado_11]]))</f>
        <v>0</v>
      </c>
      <c r="AV39" s="50">
        <f>LOOKUP($J39,[1]!CMI[[#All],[CÓDIGO DE INDICADOR]],[1]!CMI[[#All],[Programado_12]])</f>
        <v>0</v>
      </c>
      <c r="AW39" s="50">
        <f>IF(LOOKUP($J39,[1]!CMI[[#All],[CÓDIGO DE INDICADOR]],[1]!CMI[[#All],[Ejecutado_12]])="-",0,LOOKUP($J39,[1]!CMI[[#All],[CÓDIGO DE INDICADOR]],[1]!CMI[[#All],[Ejecutado_12]]))</f>
        <v>0</v>
      </c>
      <c r="AX39" s="50">
        <f>LOOKUP($J39,[1]!CMI[[#All],[CÓDIGO DE INDICADOR]],[1]!CMI[[#All],[Programado_13]])</f>
        <v>0.4</v>
      </c>
      <c r="AY39" s="50">
        <f>IF(LOOKUP($J39,[1]!CMI[[#All],[CÓDIGO DE INDICADOR]],[1]!CMI[[#All],[Ejecutado_13]])="-",0,LOOKUP($J39,[1]!CMI[[#All],[CÓDIGO DE INDICADOR]],[1]!CMI[[#All],[Ejecutado_13]]))</f>
        <v>0</v>
      </c>
      <c r="AZ39" s="51">
        <f t="shared" si="13"/>
        <v>0.4</v>
      </c>
      <c r="BA39" s="51">
        <f>IF(OR(LOOKUP($J39,[1]!CMI[[#All],[CÓDIGO DE INDICADOR]],[1]!CMI[[#All],[TIPO DE FÓRMULA]])="Valor absoluto",LOOKUP($J39,[1]!CMI[[#All],[CÓDIGO DE INDICADOR]],[1]!CMI[[#All],[TIPO DE FÓRMULA]])="Suma"),AS39+AU39+AW39+AY39,IF(OR(LOOKUP($J39,[1]!CMI[[#All],[CÓDIGO DE INDICADOR]],[1]!CMI[[#All],[TIPO DE FÓRMULA]])="Porcentaje",LOOKUP($J39,[1]!CMI[[#All],[CÓDIGO DE INDICADOR]],[1]!CMI[[#All],[TIPO DE FÓRMULA]])="División"),IF(LOOKUP($J39,[1]!CMI[[#All],[CÓDIGO DE INDICADOR]],[1]!CMI[[#All],[Variable2_10]])+LOOKUP($J39,[1]!CMI[[#All],[CÓDIGO DE INDICADOR]],[1]!CMI[[#All],[Variable2_11]])+LOOKUP($J39,[1]!CMI[[#All],[CÓDIGO DE INDICADOR]],[1]!CMI[[#All],[Variable2_12]])+LOOKUP($J39,[1]!CMI[[#All],[CÓDIGO DE INDICADOR]],[1]!CMI[[#All],[Variable2_13]])=0,0,(LOOKUP($J39,[1]!CMI[[#All],[CÓDIGO DE INDICADOR]],[1]!CMI[[#All],[Variable1_10]])+LOOKUP($J39,[1]!CMI[[#All],[CÓDIGO DE INDICADOR]],[1]!CMI[[#All],[Variable1_11]])+LOOKUP($J39,[1]!CMI[[#All],[CÓDIGO DE INDICADOR]],[1]!CMI[[#All],[Variable1_12]])+LOOKUP($J39,[1]!CMI[[#All],[CÓDIGO DE INDICADOR]],[1]!CMI[[#All],[Variable1_13]]))/(LOOKUP($J39,[1]!CMI[[#All],[CÓDIGO DE INDICADOR]],[1]!CMI[[#All],[Variable2_10]])+LOOKUP($J39,[1]!CMI[[#All],[CÓDIGO DE INDICADOR]],[1]!CMI[[#All],[Variable2_11]])+LOOKUP($J39,[1]!CMI[[#All],[CÓDIGO DE INDICADOR]],[1]!CMI[[#All],[Variable2_12]])+LOOKUP($J39,[1]!CMI[[#All],[CÓDIGO DE INDICADOR]],[1]!CMI[[#All],[Variable2_13]]))),IF(LOOKUP($J39,[1]!CMI[[#All],[CÓDIGO DE INDICADOR]],[1]!CMI[[#All],[TIPO DE FÓRMULA]])="Tasa de variación",LOOKUP($J39,[1]!CMI[[#All],[CÓDIGO DE INDICADOR]],[1]!CMI[[#All],[EjecuciónAcumulada_13]]),0)))</f>
        <v>0</v>
      </c>
      <c r="BB39" s="49">
        <f>LOOKUP($J39,[1]!CMI[[#All],[CÓDIGO DE INDICADOR]],[1]!CMI[[#All],[Programado_14]])</f>
        <v>0.3</v>
      </c>
      <c r="BC39" s="49">
        <f>IF(LOOKUP($J39,[1]!CMI[[#All],[CÓDIGO DE INDICADOR]],[1]!CMI[[#All],[Ejecutado_14]])="-",0,LOOKUP($J39,[1]!CMI[[#All],[CÓDIGO DE INDICADOR]],[1]!CMI[[#All],[Ejecutado_14]]))</f>
        <v>0</v>
      </c>
      <c r="BD39" s="49">
        <f>LOOKUP($J39,[1]!CMI[[#All],[CÓDIGO DE INDICADOR]],[1]!CMI[[#All],[Programado_15]])</f>
        <v>0</v>
      </c>
      <c r="BE39" s="50">
        <f>IF(LOOKUP($J39,[1]!CMI[[#All],[CÓDIGO DE INDICADOR]],[1]!CMI[[#All],[Ejecutado_15]])="-",0,LOOKUP($J39,[1]!CMI[[#All],[CÓDIGO DE INDICADOR]],[1]!CMI[[#All],[Ejecutado_15]]))</f>
        <v>0</v>
      </c>
      <c r="BF39" s="50">
        <f>LOOKUP($J39,[1]!CMI[[#All],[CÓDIGO DE INDICADOR]],[1]!CMI[[#All],[Programado_16]])</f>
        <v>0</v>
      </c>
      <c r="BG39" s="50">
        <f>IF(LOOKUP($J39,[1]!CMI[[#All],[CÓDIGO DE INDICADOR]],[1]!CMI[[#All],[Ejecutado_16]])="-",0,LOOKUP($J39,[1]!CMI[[#All],[CÓDIGO DE INDICADOR]],[1]!CMI[[#All],[Ejecutado_16]]))</f>
        <v>0</v>
      </c>
      <c r="BH39" s="50">
        <f>LOOKUP($J39,[1]!CMI[[#All],[CÓDIGO DE INDICADOR]],[1]!CMI[[#All],[Programado_17]])</f>
        <v>0</v>
      </c>
      <c r="BI39" s="50">
        <f>IF(LOOKUP($J39,[1]!CMI[[#All],[CÓDIGO DE INDICADOR]],[1]!CMI[[#All],[Ejecutado_17]])="-",0,LOOKUP($J39,[1]!CMI[[#All],[CÓDIGO DE INDICADOR]],[1]!CMI[[#All],[Ejecutado_17]]))</f>
        <v>0</v>
      </c>
      <c r="BJ39" s="51">
        <f t="shared" si="14"/>
        <v>0.3</v>
      </c>
      <c r="BK39" s="51">
        <f>IF(OR(LOOKUP($J39,[1]!CMI[[#All],[CÓDIGO DE INDICADOR]],[1]!CMI[[#All],[TIPO DE FÓRMULA]])="Valor absoluto",LOOKUP($J39,[1]!CMI[[#All],[CÓDIGO DE INDICADOR]],[1]!CMI[[#All],[TIPO DE FÓRMULA]])="Suma"),BC39+BE39+BG39+BI39,IF(OR(LOOKUP($J39,[1]!CMI[[#All],[CÓDIGO DE INDICADOR]],[1]!CMI[[#All],[TIPO DE FÓRMULA]])="Porcentaje",LOOKUP($J39,[1]!CMI[[#All],[CÓDIGO DE INDICADOR]],[1]!CMI[[#All],[TIPO DE FÓRMULA]])="División"),IF(LOOKUP($J39,[1]!CMI[[#All],[CÓDIGO DE INDICADOR]],[1]!CMI[[#All],[Variable2_14]])+LOOKUP($J39,[1]!CMI[[#All],[CÓDIGO DE INDICADOR]],[1]!CMI[[#All],[Variable2_15]])+LOOKUP($J39,[1]!CMI[[#All],[CÓDIGO DE INDICADOR]],[1]!CMI[[#All],[Variable2_16]])+LOOKUP($J39,[1]!CMI[[#All],[CÓDIGO DE INDICADOR]],[1]!CMI[[#All],[Variable2_17]])=0,0,(LOOKUP($J39,[1]!CMI[[#All],[CÓDIGO DE INDICADOR]],[1]!CMI[[#All],[Variable1_14]])+LOOKUP($J39,[1]!CMI[[#All],[CÓDIGO DE INDICADOR]],[1]!CMI[[#All],[Variable1_15]])+LOOKUP($J39,[1]!CMI[[#All],[CÓDIGO DE INDICADOR]],[1]!CMI[[#All],[Variable1_16]])+LOOKUP($J39,[1]!CMI[[#All],[CÓDIGO DE INDICADOR]],[1]!CMI[[#All],[Variable1_17]]))/(LOOKUP($J39,[1]!CMI[[#All],[CÓDIGO DE INDICADOR]],[1]!CMI[[#All],[Variable2_14]])+LOOKUP($J39,[1]!CMI[[#All],[CÓDIGO DE INDICADOR]],[1]!CMI[[#All],[Variable2_15]])+LOOKUP($J39,[1]!CMI[[#All],[CÓDIGO DE INDICADOR]],[1]!CMI[[#All],[Variable2_16]])+LOOKUP($J39,[1]!CMI[[#All],[CÓDIGO DE INDICADOR]],[1]!CMI[[#All],[Variable2_17]]))),IF(LOOKUP($J39,[1]!CMI[[#All],[CÓDIGO DE INDICADOR]],[1]!CMI[[#All],[TIPO DE FÓRMULA]])="Tasa de variación",LOOKUP($J39,[1]!CMI[[#All],[CÓDIGO DE INDICADOR]],[1]!CMI[[#All],[EjecuciónAcumulada_17]]),0)))</f>
        <v>0</v>
      </c>
      <c r="BL39" s="51">
        <f>IF(YEAR($M39)=2016,LOOKUP($J39,[1]!CMI[[#All],[CÓDIGO DE INDICADOR]],[1]!CMI[[#All],[ProgramadoAcumulado_1]]),IF(AND(YEAR($M39)=2017,MONTH($M39)&lt;=3),LOOKUP($J39,[1]!CMI[[#All],[CÓDIGO DE INDICADOR]],[1]!CMI[[#All],[ProgramadoAcumulado_2]]),IF(AND(YEAR($M39)=2017,MONTH($M39)&lt;=6),LOOKUP($J39,[1]!CMI[[#All],[CÓDIGO DE INDICADOR]],[1]!CMI[[#All],[ProgramadoAcumulado_3]]),IF(AND(YEAR($M39)=2017,MONTH($M39)&lt;=9),LOOKUP($J39,[1]!CMI[[#All],[CÓDIGO DE INDICADOR]],[1]!CMI[[#All],[ProgramadoAcumulado_4]]),IF(AND(YEAR($M39)=2017,MONTH($M39)&lt;=12),LOOKUP($J39,[1]!CMI[[#All],[CÓDIGO DE INDICADOR]],[1]!CMI[[#All],[ProgramadoAcumulado_5]]),IF(AND(YEAR($M39)=2018,MONTH($M39)&lt;=3),LOOKUP($J39,[1]!CMI[[#All],[CÓDIGO DE INDICADOR]],[1]!CMI[[#All],[ProgramadoAcumulado_6]]),IF(AND(YEAR($M39)=2018,MONTH($M39)&lt;=6),LOOKUP($J39,[1]!CMI[[#All],[CÓDIGO DE INDICADOR]],[1]!CMI[[#All],[ProgramadoAcumulado_7]]),IF(AND(YEAR($M39)=2018,MONTH($M39)&lt;=9),LOOKUP($J39,[1]!CMI[[#All],[CÓDIGO DE INDICADOR]],[1]!CMI[[#All],[ProgramadoAcumulado_8]]),IF(AND(YEAR($M39)=2018,MONTH($M39)&lt;=12),LOOKUP($J39,[1]!CMI[[#All],[CÓDIGO DE INDICADOR]],[1]!CMI[[#All],[ProgramadoAcumulado_9]]),IF(AND(YEAR($M39)=2019,MONTH($M39)&lt;=3),LOOKUP($J39,[1]!CMI[[#All],[CÓDIGO DE INDICADOR]],[1]!CMI[[#All],[ProgramadoAcumulado_10]]),IF(AND(YEAR($M39)=2019,MONTH($M39)&lt;=6),LOOKUP($J39,[1]!CMI[[#All],[CÓDIGO DE INDICADOR]],[1]!CMI[[#All],[ProgramadoAcumulado_11]]),IF(AND(YEAR($M39)=2019,MONTH($M39)&lt;=9),LOOKUP($J39,[1]!CMI[[#All],[CÓDIGO DE INDICADOR]],[1]!CMI[[#All],[ProgramadoAcumulado_12]]),IF(AND(YEAR($M39)=2019,MONTH($M39)&lt;=12),LOOKUP($J39,[1]!CMI[[#All],[CÓDIGO DE INDICADOR]],[1]!CMI[[#All],[ProgramadoAcumulado_13]]),IF(AND(YEAR($M39)=2020,MONTH($M39)&lt;=3),LOOKUP($J39,[1]!CMI[[#All],[CÓDIGO DE INDICADOR]],[1]!CMI[[#All],[ProgramadoAcumulado_14]]),IF(AND(YEAR($M39)=2020,MONTH($M39)&lt;=6),LOOKUP($J39,[1]!CMI[[#All],[CÓDIGO DE INDICADOR]],[1]!CMI[[#All],[ProgramadoAcumulado_15]]),IF(AND(YEAR($M39)=2020,MONTH($M39)&lt;=9),LOOKUP($J39,[1]!CMI[[#All],[CÓDIGO DE INDICADOR]],[1]!CMI[[#All],[ProgramadoAcumulado_16]]),IF(AND(YEAR($M39)=2020,MONTH($M39)&lt;=12),LOOKUP($J39,[1]!CMI[[#All],[CÓDIGO DE INDICADOR]],[1]!CMI[[#All],[ProgramadoAcumulado_17]]),"N.A")))))))))))))))))</f>
        <v>0.3</v>
      </c>
      <c r="BM39" s="51">
        <f>IF(YEAR($M39)=2016,LOOKUP($J39,[1]!CMI[[#All],[CÓDIGO DE INDICADOR]],[1]!CMI[[#All],[EjecuciónAcumulada_1]]),IF(AND(YEAR($M39)=2017,MONTH($M39)&lt;=3),LOOKUP($J39,[1]!CMI[[#All],[CÓDIGO DE INDICADOR]],[1]!CMI[[#All],[EjecuciónAcumulada_2]]),IF(AND(YEAR($M39)=2017,MONTH($M39)&lt;=6),LOOKUP($J39,[1]!CMI[[#All],[CÓDIGO DE INDICADOR]],[1]!CMI[[#All],[EjecuciónAcumulada_3]]),IF(AND(YEAR($M39)=2017,MONTH($M39)&lt;=9),LOOKUP($J39,[1]!CMI[[#All],[CÓDIGO DE INDICADOR]],[1]!CMI[[#All],[EjecuciónAcumulada_4]]),IF(AND(YEAR($M39)=2017,MONTH($M39)&lt;=12),LOOKUP($J39,[1]!CMI[[#All],[CÓDIGO DE INDICADOR]],[1]!CMI[[#All],[EjecuciónAcumulada_5]]),IF(AND(YEAR($M39)=2018,MONTH($M39)&lt;=3),LOOKUP($J39,[1]!CMI[[#All],[CÓDIGO DE INDICADOR]],[1]!CMI[[#All],[EjecuciónAcumulada_6]]),IF(AND(YEAR($M39)=2018,MONTH($M39)&lt;=6),LOOKUP($J39,[1]!CMI[[#All],[CÓDIGO DE INDICADOR]],[1]!CMI[[#All],[EjecuciónAcumulada_7]]),IF(AND(YEAR($M39)=2018,MONTH($M39)&lt;=9),LOOKUP($J39,[1]!CMI[[#All],[CÓDIGO DE INDICADOR]],[1]!CMI[[#All],[EjecuciónAcumulada_8]]),IF(AND(YEAR($M39)=2018,MONTH($M39)&lt;=12),LOOKUP($J39,[1]!CMI[[#All],[CÓDIGO DE INDICADOR]],[1]!CMI[[#All],[EjecuciónAcumulada_9]]),IF(AND(YEAR($M39)=2019,MONTH($M39)&lt;=3),LOOKUP($J39,[1]!CMI[[#All],[CÓDIGO DE INDICADOR]],[1]!CMI[[#All],[EjecuciónAcumulada_10]]),IF(AND(YEAR($M39)=2019,MONTH($M39)&lt;=6),LOOKUP($J39,[1]!CMI[[#All],[CÓDIGO DE INDICADOR]],[1]!CMI[[#All],[EjecuciónAcumulada_11]]),IF(AND(YEAR($M39)=2019,MONTH($M39)&lt;=9),LOOKUP($J39,[1]!CMI[[#All],[CÓDIGO DE INDICADOR]],[1]!CMI[[#All],[EjecuciónAcumulada_12]]),IF(AND(YEAR($M39)=2019,MONTH($M39)&lt;=12),LOOKUP($J39,[1]!CMI[[#All],[CÓDIGO DE INDICADOR]],[1]!CMI[[#All],[EjecuciónAcumulada_13]]),IF(AND(YEAR($M39)=2020,MONTH($M39)&lt;=3),LOOKUP($J39,[1]!CMI[[#All],[CÓDIGO DE INDICADOR]],[1]!CMI[[#All],[EjecuciónAcumulada_14]]),IF(AND(YEAR($M39)=2020,MONTH($M39)&lt;=6),LOOKUP($J39,[1]!CMI[[#All],[CÓDIGO DE INDICADOR]],[1]!CMI[[#All],[EjecuciónAcumulada_15]]),IF(AND(YEAR($M39)=2020,MONTH($M39)&lt;=9),LOOKUP($J39,[1]!CMI[[#All],[CÓDIGO DE INDICADOR]],[1]!CMI[[#All],[EjecuciónAcumulada_16]]),IF(AND(YEAR($M39)=2020,MONTH($M39)&lt;=12),LOOKUP($J39,[1]!CMI[[#All],[CÓDIGO DE INDICADOR]],[1]!CMI[[#All],[EjecuciónAcumulada_17]]),"N.A")))))))))))))))))</f>
        <v>0.3</v>
      </c>
      <c r="BN39" s="17">
        <f t="shared" si="7"/>
        <v>1</v>
      </c>
      <c r="BO39" s="51">
        <f t="shared" si="15"/>
        <v>1</v>
      </c>
      <c r="BP39" s="68">
        <f t="shared" si="8"/>
        <v>0.3</v>
      </c>
    </row>
    <row r="40" spans="2:68" ht="264.75" customHeight="1">
      <c r="B40" s="135"/>
      <c r="C40" s="10" t="s">
        <v>179</v>
      </c>
      <c r="D40" s="11" t="str">
        <f>LOOKUP($J40,[1]!CMI[[#All],[CÓDIGO DE INDICADOR]],[1]!CMI[[#All],[NOMBRE DEL INDICADOR]])</f>
        <v>Avance en la implementación de la estrategia de cultura organizacional</v>
      </c>
      <c r="E40" s="11" t="str">
        <f>LOOKUP($J40,[1]!CMI[[#All],[CÓDIGO DE INDICADOR]],[1]!CMI[[#All],[FÓRMULA DE CÁLCULO]])</f>
        <v>Porcentaje de avance en las actividades</v>
      </c>
      <c r="F40" s="49">
        <f>LOOKUP($J40,[1]!CMI[[#All],[CÓDIGO DE INDICADOR]],[1]!CMI[[#All],[VALOR PROGRAMADO TOTAL]])</f>
        <v>1</v>
      </c>
      <c r="G40" s="10" t="s">
        <v>184</v>
      </c>
      <c r="H40" s="10" t="s">
        <v>185</v>
      </c>
      <c r="I40" s="11" t="str">
        <f>LOOKUP($J40,[1]!CMI[[#All],[CÓDIGO DE INDICADOR]],[1]!CMI[[#All],[DEPENDENCIA]])</f>
        <v>Dependencia Líder: Dirección de Talento Humano
Dependencia Operativa: Dirección de Talento Humano/Subdirección de Desarrollo del Talento Humano</v>
      </c>
      <c r="J40" s="13" t="s">
        <v>191</v>
      </c>
      <c r="K40" s="11" t="str">
        <f>LOOKUP($J40,[1]!CMI[[#All],[CÓDIGO DE INDICADOR]],[1]!CMI[[#All],[CÁLCULO VALOR PROGRAMADO ACUMULADO]])</f>
        <v>Sumatoria</v>
      </c>
      <c r="L40" s="11" t="str">
        <f>LOOKUP($J40,[1]!CMI[[#All],[CÓDIGO DE INDICADOR]],[1]!CMI[[#All],[TENDENCIA DECRECIENTE]])</f>
        <v>No</v>
      </c>
      <c r="M40" s="14">
        <f>LOOKUP($J40,[1]!CMI[[#All],[CÓDIGO DE INDICADOR]],[1]!CMI[[#All],[FECHA DE CORTE]])</f>
        <v>43281</v>
      </c>
      <c r="N40" s="49">
        <v>0</v>
      </c>
      <c r="O40" s="49">
        <v>0</v>
      </c>
      <c r="P40" s="49">
        <v>0</v>
      </c>
      <c r="Q40" s="50">
        <v>0</v>
      </c>
      <c r="R40" s="50">
        <v>0</v>
      </c>
      <c r="S40" s="50">
        <v>0</v>
      </c>
      <c r="T40" s="50">
        <f>LOOKUP($J40,[1]!CMI[[#All],[CÓDIGO DE INDICADOR]],[1]!CMI[[#All],[Programado_1]])</f>
        <v>0</v>
      </c>
      <c r="U40" s="50">
        <f>IF(LOOKUP($J40,[1]!CMI[[#All],[CÓDIGO DE INDICADOR]],[1]!CMI[[#All],[Ejecutado_1]])="-",0,LOOKUP($J40,[1]!CMI[[#All],[CÓDIGO DE INDICADOR]],[1]!CMI[[#All],[Ejecutado_1]]))</f>
        <v>0</v>
      </c>
      <c r="V40" s="51">
        <f t="shared" si="9"/>
        <v>0</v>
      </c>
      <c r="W40" s="51">
        <f t="shared" si="10"/>
        <v>0</v>
      </c>
      <c r="X40" s="49">
        <f>LOOKUP($J40,[1]!CMI[[#All],[CÓDIGO DE INDICADOR]],[1]!CMI[[#All],[Programado_2]])</f>
        <v>0</v>
      </c>
      <c r="Y40" s="49">
        <f>IF(LOOKUP($J40,[1]!CMI[[#All],[CÓDIGO DE INDICADOR]],[1]!CMI[[#All],[Ejecutado_2]])="-",0,LOOKUP($J40,[1]!CMI[[#All],[CÓDIGO DE INDICADOR]],[1]!CMI[[#All],[Ejecutado_2]]))</f>
        <v>0</v>
      </c>
      <c r="Z40" s="49">
        <f>LOOKUP($J40,[1]!CMI[[#All],[CÓDIGO DE INDICADOR]],[1]!CMI[[#All],[Programado_3]])</f>
        <v>0</v>
      </c>
      <c r="AA40" s="50">
        <f>IF(LOOKUP($J40,[1]!CMI[[#All],[CÓDIGO DE INDICADOR]],[1]!CMI[[#All],[Ejecutado_3]])="-",0,LOOKUP($J40,[1]!CMI[[#All],[CÓDIGO DE INDICADOR]],[1]!CMI[[#All],[Ejecutado_3]]))</f>
        <v>0</v>
      </c>
      <c r="AB40" s="50">
        <f>LOOKUP($J40,[1]!CMI[[#All],[CÓDIGO DE INDICADOR]],[1]!CMI[[#All],[Programado_4]])</f>
        <v>0</v>
      </c>
      <c r="AC40" s="50">
        <f>IF(LOOKUP($J40,[1]!CMI[[#All],[CÓDIGO DE INDICADOR]],[1]!CMI[[#All],[Ejecutado_4]])="-",0,LOOKUP($J40,[1]!CMI[[#All],[CÓDIGO DE INDICADOR]],[1]!CMI[[#All],[Ejecutado_4]]))</f>
        <v>0</v>
      </c>
      <c r="AD40" s="50">
        <f>LOOKUP($J40,[1]!CMI[[#All],[CÓDIGO DE INDICADOR]],[1]!CMI[[#All],[Programado_5]])</f>
        <v>0</v>
      </c>
      <c r="AE40" s="50">
        <f>IF(LOOKUP($J40,[1]!CMI[[#All],[CÓDIGO DE INDICADOR]],[1]!CMI[[#All],[Ejecutado_5]])="-",0,LOOKUP($J40,[1]!CMI[[#All],[CÓDIGO DE INDICADOR]],[1]!CMI[[#All],[Ejecutado_5]]))</f>
        <v>0</v>
      </c>
      <c r="AF40" s="51">
        <f t="shared" si="11"/>
        <v>0</v>
      </c>
      <c r="AG40" s="51">
        <f>IF(OR(LOOKUP($J40,[1]!CMI[[#All],[CÓDIGO DE INDICADOR]],[1]!CMI[[#All],[TIPO DE FÓRMULA]])="Valor absoluto",LOOKUP($J40,[1]!CMI[[#All],[CÓDIGO DE INDICADOR]],[1]!CMI[[#All],[TIPO DE FÓRMULA]])="Suma"),Y40+AA40+AC40+AE40,IF(OR(LOOKUP($J40,[1]!CMI[[#All],[CÓDIGO DE INDICADOR]],[1]!CMI[[#All],[TIPO DE FÓRMULA]])="Porcentaje",LOOKUP($J40,[1]!CMI[[#All],[CÓDIGO DE INDICADOR]],[1]!CMI[[#All],[TIPO DE FÓRMULA]])="División"),IF(LOOKUP($J40,[1]!CMI[[#All],[CÓDIGO DE INDICADOR]],[1]!CMI[[#All],[Variable2_2]])+LOOKUP($J40,[1]!CMI[[#All],[CÓDIGO DE INDICADOR]],[1]!CMI[[#All],[Variable2_3]])+LOOKUP($J40,[1]!CMI[[#All],[CÓDIGO DE INDICADOR]],[1]!CMI[[#All],[Variable2_4]])+LOOKUP($J40,[1]!CMI[[#All],[CÓDIGO DE INDICADOR]],[1]!CMI[[#All],[Variable2_5]])=0,0,(LOOKUP($J40,[1]!CMI[[#All],[CÓDIGO DE INDICADOR]],[1]!CMI[[#All],[Variable1_2]])+LOOKUP($J40,[1]!CMI[[#All],[CÓDIGO DE INDICADOR]],[1]!CMI[[#All],[Variable1_3]])+LOOKUP($J40,[1]!CMI[[#All],[CÓDIGO DE INDICADOR]],[1]!CMI[[#All],[Variable1_4]])+LOOKUP($J40,[1]!CMI[[#All],[CÓDIGO DE INDICADOR]],[1]!CMI[[#All],[Variable1_5]]))/(LOOKUP($J40,[1]!CMI[[#All],[CÓDIGO DE INDICADOR]],[1]!CMI[[#All],[Variable2_2]])+LOOKUP($J40,[1]!CMI[[#All],[CÓDIGO DE INDICADOR]],[1]!CMI[[#All],[Variable2_3]])+LOOKUP($J40,[1]!CMI[[#All],[CÓDIGO DE INDICADOR]],[1]!CMI[[#All],[Variable2_4]])+LOOKUP($J40,[1]!CMI[[#All],[CÓDIGO DE INDICADOR]],[1]!CMI[[#All],[Variable2_5]]))),IF(LOOKUP($J40,[1]!CMI[[#All],[CÓDIGO DE INDICADOR]],[1]!CMI[[#All],[TIPO DE FÓRMULA]])="Tasa de variación",LOOKUP($J40,[1]!CMI[[#All],[CÓDIGO DE INDICADOR]],[1]!CMI[[#All],[EjecuciónAcumulada_5]]),0)))</f>
        <v>0</v>
      </c>
      <c r="AH40" s="49">
        <f>LOOKUP($J40,[1]!CMI[[#All],[CÓDIGO DE INDICADOR]],[1]!CMI[[#All],[Programado_6]])</f>
        <v>0</v>
      </c>
      <c r="AI40" s="49">
        <f>IF(LOOKUP($J40,[1]!CMI[[#All],[CÓDIGO DE INDICADOR]],[1]!CMI[[#All],[Ejecutado_6]])="-",0,LOOKUP($J40,[1]!CMI[[#All],[CÓDIGO DE INDICADOR]],[1]!CMI[[#All],[Ejecutado_6]]))</f>
        <v>0</v>
      </c>
      <c r="AJ40" s="49">
        <f>LOOKUP($J40,[1]!CMI[[#All],[CÓDIGO DE INDICADOR]],[1]!CMI[[#All],[Programado_7]])</f>
        <v>0</v>
      </c>
      <c r="AK40" s="50">
        <f>IF(LOOKUP($J40,[1]!CMI[[#All],[CÓDIGO DE INDICADOR]],[1]!CMI[[#All],[Ejecutado_7]])="-",0,LOOKUP($J40,[1]!CMI[[#All],[CÓDIGO DE INDICADOR]],[1]!CMI[[#All],[Ejecutado_7]]))</f>
        <v>0</v>
      </c>
      <c r="AL40" s="50">
        <f>LOOKUP($J40,[1]!CMI[[#All],[CÓDIGO DE INDICADOR]],[1]!CMI[[#All],[Programado_8]])</f>
        <v>0.4</v>
      </c>
      <c r="AM40" s="50">
        <f>IF(LOOKUP($J40,[1]!CMI[[#All],[CÓDIGO DE INDICADOR]],[1]!CMI[[#All],[Ejecutado_8]])="-",0,LOOKUP($J40,[1]!CMI[[#All],[CÓDIGO DE INDICADOR]],[1]!CMI[[#All],[Ejecutado_8]]))</f>
        <v>0</v>
      </c>
      <c r="AN40" s="50">
        <f>LOOKUP($J40,[1]!CMI[[#All],[CÓDIGO DE INDICADOR]],[1]!CMI[[#All],[Programado_9]])</f>
        <v>0.2</v>
      </c>
      <c r="AO40" s="50">
        <f>IF(LOOKUP($J40,[1]!CMI[[#All],[CÓDIGO DE INDICADOR]],[1]!CMI[[#All],[Ejecutado_9]])="-",0,LOOKUP($J40,[1]!CMI[[#All],[CÓDIGO DE INDICADOR]],[1]!CMI[[#All],[Ejecutado_9]]))</f>
        <v>0</v>
      </c>
      <c r="AP40" s="51">
        <f t="shared" si="12"/>
        <v>0.60000000000000009</v>
      </c>
      <c r="AQ40" s="51">
        <f>IF(OR(LOOKUP($J40,[1]!CMI[[#All],[CÓDIGO DE INDICADOR]],[1]!CMI[[#All],[TIPO DE FÓRMULA]])="Valor absoluto",LOOKUP($J40,[1]!CMI[[#All],[CÓDIGO DE INDICADOR]],[1]!CMI[[#All],[TIPO DE FÓRMULA]])="Suma"),AI40+AK40+AM40+AO40,IF(OR(LOOKUP($J40,[1]!CMI[[#All],[CÓDIGO DE INDICADOR]],[1]!CMI[[#All],[TIPO DE FÓRMULA]])="Porcentaje",LOOKUP($J40,[1]!CMI[[#All],[CÓDIGO DE INDICADOR]],[1]!CMI[[#All],[TIPO DE FÓRMULA]])="División"),IF(LOOKUP($J40,[1]!CMI[[#All],[CÓDIGO DE INDICADOR]],[1]!CMI[[#All],[Variable2_6]])+LOOKUP($J40,[1]!CMI[[#All],[CÓDIGO DE INDICADOR]],[1]!CMI[[#All],[Variable2_7]])+LOOKUP($J40,[1]!CMI[[#All],[CÓDIGO DE INDICADOR]],[1]!CMI[[#All],[Variable2_8]])+LOOKUP($J40,[1]!CMI[[#All],[CÓDIGO DE INDICADOR]],[1]!CMI[[#All],[Variable2_9]])=0,0,(LOOKUP($J40,[1]!CMI[[#All],[CÓDIGO DE INDICADOR]],[1]!CMI[[#All],[Variable1_6]])+LOOKUP($J40,[1]!CMI[[#All],[CÓDIGO DE INDICADOR]],[1]!CMI[[#All],[Variable1_7]])+LOOKUP($J40,[1]!CMI[[#All],[CÓDIGO DE INDICADOR]],[1]!CMI[[#All],[Variable1_8]])+LOOKUP($J40,[1]!CMI[[#All],[CÓDIGO DE INDICADOR]],[1]!CMI[[#All],[Variable1_9]]))/(LOOKUP($J40,[1]!CMI[[#All],[CÓDIGO DE INDICADOR]],[1]!CMI[[#All],[Variable2_6]])+LOOKUP($J40,[1]!CMI[[#All],[CÓDIGO DE INDICADOR]],[1]!CMI[[#All],[Variable2_7]])+LOOKUP($J40,[1]!CMI[[#All],[CÓDIGO DE INDICADOR]],[1]!CMI[[#All],[Variable2_8]])+LOOKUP($J40,[1]!CMI[[#All],[CÓDIGO DE INDICADOR]],[1]!CMI[[#All],[Variable2_9]]))),IF(LOOKUP($J40,[1]!CMI[[#All],[CÓDIGO DE INDICADOR]],[1]!CMI[[#All],[TIPO DE FÓRMULA]])="Tasa de variación",LOOKUP($J40,[1]!CMI[[#All],[CÓDIGO DE INDICADOR]],[1]!CMI[[#All],[EjecuciónAcumulada_9]]),0)))</f>
        <v>0</v>
      </c>
      <c r="AR40" s="49">
        <f>LOOKUP($J40,[1]!CMI[[#All],[CÓDIGO DE INDICADOR]],[1]!CMI[[#All],[Programado_10]])</f>
        <v>0</v>
      </c>
      <c r="AS40" s="49">
        <f>IF(LOOKUP($J40,[1]!CMI[[#All],[CÓDIGO DE INDICADOR]],[1]!CMI[[#All],[Ejecutado_10]])="-",0,LOOKUP($J40,[1]!CMI[[#All],[CÓDIGO DE INDICADOR]],[1]!CMI[[#All],[Ejecutado_10]]))</f>
        <v>0</v>
      </c>
      <c r="AT40" s="49">
        <f>LOOKUP($J40,[1]!CMI[[#All],[CÓDIGO DE INDICADOR]],[1]!CMI[[#All],[Programado_11]])</f>
        <v>0</v>
      </c>
      <c r="AU40" s="50">
        <f>IF(LOOKUP($J40,[1]!CMI[[#All],[CÓDIGO DE INDICADOR]],[1]!CMI[[#All],[Ejecutado_11]])="-",0,LOOKUP($J40,[1]!CMI[[#All],[CÓDIGO DE INDICADOR]],[1]!CMI[[#All],[Ejecutado_11]]))</f>
        <v>0</v>
      </c>
      <c r="AV40" s="50">
        <f>LOOKUP($J40,[1]!CMI[[#All],[CÓDIGO DE INDICADOR]],[1]!CMI[[#All],[Programado_12]])</f>
        <v>0</v>
      </c>
      <c r="AW40" s="50">
        <f>IF(LOOKUP($J40,[1]!CMI[[#All],[CÓDIGO DE INDICADOR]],[1]!CMI[[#All],[Ejecutado_12]])="-",0,LOOKUP($J40,[1]!CMI[[#All],[CÓDIGO DE INDICADOR]],[1]!CMI[[#All],[Ejecutado_12]]))</f>
        <v>0</v>
      </c>
      <c r="AX40" s="50">
        <f>LOOKUP($J40,[1]!CMI[[#All],[CÓDIGO DE INDICADOR]],[1]!CMI[[#All],[Programado_13]])</f>
        <v>0.4</v>
      </c>
      <c r="AY40" s="50">
        <f>IF(LOOKUP($J40,[1]!CMI[[#All],[CÓDIGO DE INDICADOR]],[1]!CMI[[#All],[Ejecutado_13]])="-",0,LOOKUP($J40,[1]!CMI[[#All],[CÓDIGO DE INDICADOR]],[1]!CMI[[#All],[Ejecutado_13]]))</f>
        <v>0</v>
      </c>
      <c r="AZ40" s="51">
        <f t="shared" si="13"/>
        <v>0.4</v>
      </c>
      <c r="BA40" s="51">
        <f>IF(OR(LOOKUP($J40,[1]!CMI[[#All],[CÓDIGO DE INDICADOR]],[1]!CMI[[#All],[TIPO DE FÓRMULA]])="Valor absoluto",LOOKUP($J40,[1]!CMI[[#All],[CÓDIGO DE INDICADOR]],[1]!CMI[[#All],[TIPO DE FÓRMULA]])="Suma"),AS40+AU40+AW40+AY40,IF(OR(LOOKUP($J40,[1]!CMI[[#All],[CÓDIGO DE INDICADOR]],[1]!CMI[[#All],[TIPO DE FÓRMULA]])="Porcentaje",LOOKUP($J40,[1]!CMI[[#All],[CÓDIGO DE INDICADOR]],[1]!CMI[[#All],[TIPO DE FÓRMULA]])="División"),IF(LOOKUP($J40,[1]!CMI[[#All],[CÓDIGO DE INDICADOR]],[1]!CMI[[#All],[Variable2_10]])+LOOKUP($J40,[1]!CMI[[#All],[CÓDIGO DE INDICADOR]],[1]!CMI[[#All],[Variable2_11]])+LOOKUP($J40,[1]!CMI[[#All],[CÓDIGO DE INDICADOR]],[1]!CMI[[#All],[Variable2_12]])+LOOKUP($J40,[1]!CMI[[#All],[CÓDIGO DE INDICADOR]],[1]!CMI[[#All],[Variable2_13]])=0,0,(LOOKUP($J40,[1]!CMI[[#All],[CÓDIGO DE INDICADOR]],[1]!CMI[[#All],[Variable1_10]])+LOOKUP($J40,[1]!CMI[[#All],[CÓDIGO DE INDICADOR]],[1]!CMI[[#All],[Variable1_11]])+LOOKUP($J40,[1]!CMI[[#All],[CÓDIGO DE INDICADOR]],[1]!CMI[[#All],[Variable1_12]])+LOOKUP($J40,[1]!CMI[[#All],[CÓDIGO DE INDICADOR]],[1]!CMI[[#All],[Variable1_13]]))/(LOOKUP($J40,[1]!CMI[[#All],[CÓDIGO DE INDICADOR]],[1]!CMI[[#All],[Variable2_10]])+LOOKUP($J40,[1]!CMI[[#All],[CÓDIGO DE INDICADOR]],[1]!CMI[[#All],[Variable2_11]])+LOOKUP($J40,[1]!CMI[[#All],[CÓDIGO DE INDICADOR]],[1]!CMI[[#All],[Variable2_12]])+LOOKUP($J40,[1]!CMI[[#All],[CÓDIGO DE INDICADOR]],[1]!CMI[[#All],[Variable2_13]]))),IF(LOOKUP($J40,[1]!CMI[[#All],[CÓDIGO DE INDICADOR]],[1]!CMI[[#All],[TIPO DE FÓRMULA]])="Tasa de variación",LOOKUP($J40,[1]!CMI[[#All],[CÓDIGO DE INDICADOR]],[1]!CMI[[#All],[EjecuciónAcumulada_13]]),0)))</f>
        <v>0</v>
      </c>
      <c r="BB40" s="49">
        <f>LOOKUP($J40,[1]!CMI[[#All],[CÓDIGO DE INDICADOR]],[1]!CMI[[#All],[Programado_14]])</f>
        <v>0</v>
      </c>
      <c r="BC40" s="49">
        <f>IF(LOOKUP($J40,[1]!CMI[[#All],[CÓDIGO DE INDICADOR]],[1]!CMI[[#All],[Ejecutado_14]])="-",0,LOOKUP($J40,[1]!CMI[[#All],[CÓDIGO DE INDICADOR]],[1]!CMI[[#All],[Ejecutado_14]]))</f>
        <v>0</v>
      </c>
      <c r="BD40" s="49">
        <f>LOOKUP($J40,[1]!CMI[[#All],[CÓDIGO DE INDICADOR]],[1]!CMI[[#All],[Programado_15]])</f>
        <v>0</v>
      </c>
      <c r="BE40" s="50">
        <f>IF(LOOKUP($J40,[1]!CMI[[#All],[CÓDIGO DE INDICADOR]],[1]!CMI[[#All],[Ejecutado_15]])="-",0,LOOKUP($J40,[1]!CMI[[#All],[CÓDIGO DE INDICADOR]],[1]!CMI[[#All],[Ejecutado_15]]))</f>
        <v>0</v>
      </c>
      <c r="BF40" s="50">
        <f>LOOKUP($J40,[1]!CMI[[#All],[CÓDIGO DE INDICADOR]],[1]!CMI[[#All],[Programado_16]])</f>
        <v>0</v>
      </c>
      <c r="BG40" s="50">
        <f>IF(LOOKUP($J40,[1]!CMI[[#All],[CÓDIGO DE INDICADOR]],[1]!CMI[[#All],[Ejecutado_16]])="-",0,LOOKUP($J40,[1]!CMI[[#All],[CÓDIGO DE INDICADOR]],[1]!CMI[[#All],[Ejecutado_16]]))</f>
        <v>0</v>
      </c>
      <c r="BH40" s="50">
        <f>LOOKUP($J40,[1]!CMI[[#All],[CÓDIGO DE INDICADOR]],[1]!CMI[[#All],[Programado_17]])</f>
        <v>0</v>
      </c>
      <c r="BI40" s="50">
        <f>IF(LOOKUP($J40,[1]!CMI[[#All],[CÓDIGO DE INDICADOR]],[1]!CMI[[#All],[Ejecutado_17]])="-",0,LOOKUP($J40,[1]!CMI[[#All],[CÓDIGO DE INDICADOR]],[1]!CMI[[#All],[Ejecutado_17]]))</f>
        <v>0</v>
      </c>
      <c r="BJ40" s="51">
        <f t="shared" si="14"/>
        <v>0</v>
      </c>
      <c r="BK40" s="51">
        <f>IF(OR(LOOKUP($J40,[1]!CMI[[#All],[CÓDIGO DE INDICADOR]],[1]!CMI[[#All],[TIPO DE FÓRMULA]])="Valor absoluto",LOOKUP($J40,[1]!CMI[[#All],[CÓDIGO DE INDICADOR]],[1]!CMI[[#All],[TIPO DE FÓRMULA]])="Suma"),BC40+BE40+BG40+BI40,IF(OR(LOOKUP($J40,[1]!CMI[[#All],[CÓDIGO DE INDICADOR]],[1]!CMI[[#All],[TIPO DE FÓRMULA]])="Porcentaje",LOOKUP($J40,[1]!CMI[[#All],[CÓDIGO DE INDICADOR]],[1]!CMI[[#All],[TIPO DE FÓRMULA]])="División"),IF(LOOKUP($J40,[1]!CMI[[#All],[CÓDIGO DE INDICADOR]],[1]!CMI[[#All],[Variable2_14]])+LOOKUP($J40,[1]!CMI[[#All],[CÓDIGO DE INDICADOR]],[1]!CMI[[#All],[Variable2_15]])+LOOKUP($J40,[1]!CMI[[#All],[CÓDIGO DE INDICADOR]],[1]!CMI[[#All],[Variable2_16]])+LOOKUP($J40,[1]!CMI[[#All],[CÓDIGO DE INDICADOR]],[1]!CMI[[#All],[Variable2_17]])=0,0,(LOOKUP($J40,[1]!CMI[[#All],[CÓDIGO DE INDICADOR]],[1]!CMI[[#All],[Variable1_14]])+LOOKUP($J40,[1]!CMI[[#All],[CÓDIGO DE INDICADOR]],[1]!CMI[[#All],[Variable1_15]])+LOOKUP($J40,[1]!CMI[[#All],[CÓDIGO DE INDICADOR]],[1]!CMI[[#All],[Variable1_16]])+LOOKUP($J40,[1]!CMI[[#All],[CÓDIGO DE INDICADOR]],[1]!CMI[[#All],[Variable1_17]]))/(LOOKUP($J40,[1]!CMI[[#All],[CÓDIGO DE INDICADOR]],[1]!CMI[[#All],[Variable2_14]])+LOOKUP($J40,[1]!CMI[[#All],[CÓDIGO DE INDICADOR]],[1]!CMI[[#All],[Variable2_15]])+LOOKUP($J40,[1]!CMI[[#All],[CÓDIGO DE INDICADOR]],[1]!CMI[[#All],[Variable2_16]])+LOOKUP($J40,[1]!CMI[[#All],[CÓDIGO DE INDICADOR]],[1]!CMI[[#All],[Variable2_17]]))),IF(LOOKUP($J40,[1]!CMI[[#All],[CÓDIGO DE INDICADOR]],[1]!CMI[[#All],[TIPO DE FÓRMULA]])="Tasa de variación",LOOKUP($J40,[1]!CMI[[#All],[CÓDIGO DE INDICADOR]],[1]!CMI[[#All],[EjecuciónAcumulada_17]]),0)))</f>
        <v>0</v>
      </c>
      <c r="BL40" s="51">
        <f>IF(YEAR($M40)=2016,LOOKUP($J40,[1]!CMI[[#All],[CÓDIGO DE INDICADOR]],[1]!CMI[[#All],[ProgramadoAcumulado_1]]),IF(AND(YEAR($M40)=2017,MONTH($M40)&lt;=3),LOOKUP($J40,[1]!CMI[[#All],[CÓDIGO DE INDICADOR]],[1]!CMI[[#All],[ProgramadoAcumulado_2]]),IF(AND(YEAR($M40)=2017,MONTH($M40)&lt;=6),LOOKUP($J40,[1]!CMI[[#All],[CÓDIGO DE INDICADOR]],[1]!CMI[[#All],[ProgramadoAcumulado_3]]),IF(AND(YEAR($M40)=2017,MONTH($M40)&lt;=9),LOOKUP($J40,[1]!CMI[[#All],[CÓDIGO DE INDICADOR]],[1]!CMI[[#All],[ProgramadoAcumulado_4]]),IF(AND(YEAR($M40)=2017,MONTH($M40)&lt;=12),LOOKUP($J40,[1]!CMI[[#All],[CÓDIGO DE INDICADOR]],[1]!CMI[[#All],[ProgramadoAcumulado_5]]),IF(AND(YEAR($M40)=2018,MONTH($M40)&lt;=3),LOOKUP($J40,[1]!CMI[[#All],[CÓDIGO DE INDICADOR]],[1]!CMI[[#All],[ProgramadoAcumulado_6]]),IF(AND(YEAR($M40)=2018,MONTH($M40)&lt;=6),LOOKUP($J40,[1]!CMI[[#All],[CÓDIGO DE INDICADOR]],[1]!CMI[[#All],[ProgramadoAcumulado_7]]),IF(AND(YEAR($M40)=2018,MONTH($M40)&lt;=9),LOOKUP($J40,[1]!CMI[[#All],[CÓDIGO DE INDICADOR]],[1]!CMI[[#All],[ProgramadoAcumulado_8]]),IF(AND(YEAR($M40)=2018,MONTH($M40)&lt;=12),LOOKUP($J40,[1]!CMI[[#All],[CÓDIGO DE INDICADOR]],[1]!CMI[[#All],[ProgramadoAcumulado_9]]),IF(AND(YEAR($M40)=2019,MONTH($M40)&lt;=3),LOOKUP($J40,[1]!CMI[[#All],[CÓDIGO DE INDICADOR]],[1]!CMI[[#All],[ProgramadoAcumulado_10]]),IF(AND(YEAR($M40)=2019,MONTH($M40)&lt;=6),LOOKUP($J40,[1]!CMI[[#All],[CÓDIGO DE INDICADOR]],[1]!CMI[[#All],[ProgramadoAcumulado_11]]),IF(AND(YEAR($M40)=2019,MONTH($M40)&lt;=9),LOOKUP($J40,[1]!CMI[[#All],[CÓDIGO DE INDICADOR]],[1]!CMI[[#All],[ProgramadoAcumulado_12]]),IF(AND(YEAR($M40)=2019,MONTH($M40)&lt;=12),LOOKUP($J40,[1]!CMI[[#All],[CÓDIGO DE INDICADOR]],[1]!CMI[[#All],[ProgramadoAcumulado_13]]),IF(AND(YEAR($M40)=2020,MONTH($M40)&lt;=3),LOOKUP($J40,[1]!CMI[[#All],[CÓDIGO DE INDICADOR]],[1]!CMI[[#All],[ProgramadoAcumulado_14]]),IF(AND(YEAR($M40)=2020,MONTH($M40)&lt;=6),LOOKUP($J40,[1]!CMI[[#All],[CÓDIGO DE INDICADOR]],[1]!CMI[[#All],[ProgramadoAcumulado_15]]),IF(AND(YEAR($M40)=2020,MONTH($M40)&lt;=9),LOOKUP($J40,[1]!CMI[[#All],[CÓDIGO DE INDICADOR]],[1]!CMI[[#All],[ProgramadoAcumulado_16]]),IF(AND(YEAR($M40)=2020,MONTH($M40)&lt;=12),LOOKUP($J40,[1]!CMI[[#All],[CÓDIGO DE INDICADOR]],[1]!CMI[[#All],[ProgramadoAcumulado_17]]),"N.A")))))))))))))))))</f>
        <v>0</v>
      </c>
      <c r="BM40" s="51">
        <f>IF(YEAR($M40)=2016,LOOKUP($J40,[1]!CMI[[#All],[CÓDIGO DE INDICADOR]],[1]!CMI[[#All],[EjecuciónAcumulada_1]]),IF(AND(YEAR($M40)=2017,MONTH($M40)&lt;=3),LOOKUP($J40,[1]!CMI[[#All],[CÓDIGO DE INDICADOR]],[1]!CMI[[#All],[EjecuciónAcumulada_2]]),IF(AND(YEAR($M40)=2017,MONTH($M40)&lt;=6),LOOKUP($J40,[1]!CMI[[#All],[CÓDIGO DE INDICADOR]],[1]!CMI[[#All],[EjecuciónAcumulada_3]]),IF(AND(YEAR($M40)=2017,MONTH($M40)&lt;=9),LOOKUP($J40,[1]!CMI[[#All],[CÓDIGO DE INDICADOR]],[1]!CMI[[#All],[EjecuciónAcumulada_4]]),IF(AND(YEAR($M40)=2017,MONTH($M40)&lt;=12),LOOKUP($J40,[1]!CMI[[#All],[CÓDIGO DE INDICADOR]],[1]!CMI[[#All],[EjecuciónAcumulada_5]]),IF(AND(YEAR($M40)=2018,MONTH($M40)&lt;=3),LOOKUP($J40,[1]!CMI[[#All],[CÓDIGO DE INDICADOR]],[1]!CMI[[#All],[EjecuciónAcumulada_6]]),IF(AND(YEAR($M40)=2018,MONTH($M40)&lt;=6),LOOKUP($J40,[1]!CMI[[#All],[CÓDIGO DE INDICADOR]],[1]!CMI[[#All],[EjecuciónAcumulada_7]]),IF(AND(YEAR($M40)=2018,MONTH($M40)&lt;=9),LOOKUP($J40,[1]!CMI[[#All],[CÓDIGO DE INDICADOR]],[1]!CMI[[#All],[EjecuciónAcumulada_8]]),IF(AND(YEAR($M40)=2018,MONTH($M40)&lt;=12),LOOKUP($J40,[1]!CMI[[#All],[CÓDIGO DE INDICADOR]],[1]!CMI[[#All],[EjecuciónAcumulada_9]]),IF(AND(YEAR($M40)=2019,MONTH($M40)&lt;=3),LOOKUP($J40,[1]!CMI[[#All],[CÓDIGO DE INDICADOR]],[1]!CMI[[#All],[EjecuciónAcumulada_10]]),IF(AND(YEAR($M40)=2019,MONTH($M40)&lt;=6),LOOKUP($J40,[1]!CMI[[#All],[CÓDIGO DE INDICADOR]],[1]!CMI[[#All],[EjecuciónAcumulada_11]]),IF(AND(YEAR($M40)=2019,MONTH($M40)&lt;=9),LOOKUP($J40,[1]!CMI[[#All],[CÓDIGO DE INDICADOR]],[1]!CMI[[#All],[EjecuciónAcumulada_12]]),IF(AND(YEAR($M40)=2019,MONTH($M40)&lt;=12),LOOKUP($J40,[1]!CMI[[#All],[CÓDIGO DE INDICADOR]],[1]!CMI[[#All],[EjecuciónAcumulada_13]]),IF(AND(YEAR($M40)=2020,MONTH($M40)&lt;=3),LOOKUP($J40,[1]!CMI[[#All],[CÓDIGO DE INDICADOR]],[1]!CMI[[#All],[EjecuciónAcumulada_14]]),IF(AND(YEAR($M40)=2020,MONTH($M40)&lt;=6),LOOKUP($J40,[1]!CMI[[#All],[CÓDIGO DE INDICADOR]],[1]!CMI[[#All],[EjecuciónAcumulada_15]]),IF(AND(YEAR($M40)=2020,MONTH($M40)&lt;=9),LOOKUP($J40,[1]!CMI[[#All],[CÓDIGO DE INDICADOR]],[1]!CMI[[#All],[EjecuciónAcumulada_16]]),IF(AND(YEAR($M40)=2020,MONTH($M40)&lt;=12),LOOKUP($J40,[1]!CMI[[#All],[CÓDIGO DE INDICADOR]],[1]!CMI[[#All],[EjecuciónAcumulada_17]]),"N.A")))))))))))))))))</f>
        <v>0</v>
      </c>
      <c r="BN40" s="17" t="str">
        <f t="shared" si="7"/>
        <v>N.A.</v>
      </c>
      <c r="BO40" s="51">
        <f t="shared" si="15"/>
        <v>1</v>
      </c>
      <c r="BP40" s="68">
        <f t="shared" si="8"/>
        <v>0</v>
      </c>
    </row>
    <row r="41" spans="2:68" ht="191.25" customHeight="1">
      <c r="B41" s="135"/>
      <c r="C41" s="55" t="s">
        <v>180</v>
      </c>
      <c r="D41" s="11" t="str">
        <f>LOOKUP($J41,[1]!CMI[[#All],[CÓDIGO DE INDICADOR]],[1]!CMI[[#All],[NOMBRE DEL INDICADOR]])</f>
        <v>Avance en la implementación del sistema institucional de competencias laborales y comportamentales</v>
      </c>
      <c r="E41" s="11" t="str">
        <f>LOOKUP($J41,[1]!CMI[[#All],[CÓDIGO DE INDICADOR]],[1]!CMI[[#All],[FÓRMULA DE CÁLCULO]])</f>
        <v>Porcentaje de actividades realizadas</v>
      </c>
      <c r="F41" s="49">
        <f>LOOKUP($J41,[1]!CMI[[#All],[CÓDIGO DE INDICADOR]],[1]!CMI[[#All],[VALOR PROGRAMADO TOTAL]])</f>
        <v>1</v>
      </c>
      <c r="G41" s="10" t="s">
        <v>186</v>
      </c>
      <c r="H41" s="10" t="s">
        <v>187</v>
      </c>
      <c r="I41" s="11" t="str">
        <f>LOOKUP($J41,[1]!CMI[[#All],[CÓDIGO DE INDICADOR]],[1]!CMI[[#All],[DEPENDENCIA]])</f>
        <v>Dependencias Líderes: Dirección de Talento Humano/Dirección de Planeación 
Dependencia Operativa:Dirección de Talento Humano</v>
      </c>
      <c r="J41" s="13" t="s">
        <v>192</v>
      </c>
      <c r="K41" s="11" t="str">
        <f>LOOKUP($J41,[1]!CMI[[#All],[CÓDIGO DE INDICADOR]],[1]!CMI[[#All],[CÁLCULO VALOR PROGRAMADO ACUMULADO]])</f>
        <v>Sumatoria</v>
      </c>
      <c r="L41" s="11" t="str">
        <f>LOOKUP($J41,[1]!CMI[[#All],[CÓDIGO DE INDICADOR]],[1]!CMI[[#All],[TENDENCIA DECRECIENTE]])</f>
        <v>No</v>
      </c>
      <c r="M41" s="14">
        <f>LOOKUP($J41,[1]!CMI[[#All],[CÓDIGO DE INDICADOR]],[1]!CMI[[#All],[FECHA DE CORTE]])</f>
        <v>43281</v>
      </c>
      <c r="N41" s="49">
        <v>0</v>
      </c>
      <c r="O41" s="49">
        <v>0</v>
      </c>
      <c r="P41" s="49">
        <v>0</v>
      </c>
      <c r="Q41" s="50">
        <v>0</v>
      </c>
      <c r="R41" s="50">
        <v>0</v>
      </c>
      <c r="S41" s="50">
        <v>0</v>
      </c>
      <c r="T41" s="50">
        <f>LOOKUP($J41,[1]!CMI[[#All],[CÓDIGO DE INDICADOR]],[1]!CMI[[#All],[Programado_1]])</f>
        <v>0</v>
      </c>
      <c r="U41" s="50">
        <f>IF(LOOKUP($J41,[1]!CMI[[#All],[CÓDIGO DE INDICADOR]],[1]!CMI[[#All],[Ejecutado_1]])="-",0,LOOKUP($J41,[1]!CMI[[#All],[CÓDIGO DE INDICADOR]],[1]!CMI[[#All],[Ejecutado_1]]))</f>
        <v>0</v>
      </c>
      <c r="V41" s="51">
        <f t="shared" si="9"/>
        <v>0</v>
      </c>
      <c r="W41" s="51">
        <f t="shared" si="10"/>
        <v>0</v>
      </c>
      <c r="X41" s="49">
        <f>LOOKUP($J41,[1]!CMI[[#All],[CÓDIGO DE INDICADOR]],[1]!CMI[[#All],[Programado_2]])</f>
        <v>0</v>
      </c>
      <c r="Y41" s="49">
        <f>IF(LOOKUP($J41,[1]!CMI[[#All],[CÓDIGO DE INDICADOR]],[1]!CMI[[#All],[Ejecutado_2]])="-",0,LOOKUP($J41,[1]!CMI[[#All],[CÓDIGO DE INDICADOR]],[1]!CMI[[#All],[Ejecutado_2]]))</f>
        <v>0</v>
      </c>
      <c r="Z41" s="49">
        <f>LOOKUP($J41,[1]!CMI[[#All],[CÓDIGO DE INDICADOR]],[1]!CMI[[#All],[Programado_3]])</f>
        <v>0</v>
      </c>
      <c r="AA41" s="50">
        <f>IF(LOOKUP($J41,[1]!CMI[[#All],[CÓDIGO DE INDICADOR]],[1]!CMI[[#All],[Ejecutado_3]])="-",0,LOOKUP($J41,[1]!CMI[[#All],[CÓDIGO DE INDICADOR]],[1]!CMI[[#All],[Ejecutado_3]]))</f>
        <v>0</v>
      </c>
      <c r="AB41" s="50">
        <f>LOOKUP($J41,[1]!CMI[[#All],[CÓDIGO DE INDICADOR]],[1]!CMI[[#All],[Programado_4]])</f>
        <v>0</v>
      </c>
      <c r="AC41" s="50">
        <f>IF(LOOKUP($J41,[1]!CMI[[#All],[CÓDIGO DE INDICADOR]],[1]!CMI[[#All],[Ejecutado_4]])="-",0,LOOKUP($J41,[1]!CMI[[#All],[CÓDIGO DE INDICADOR]],[1]!CMI[[#All],[Ejecutado_4]]))</f>
        <v>0</v>
      </c>
      <c r="AD41" s="50">
        <f>LOOKUP($J41,[1]!CMI[[#All],[CÓDIGO DE INDICADOR]],[1]!CMI[[#All],[Programado_5]])</f>
        <v>0</v>
      </c>
      <c r="AE41" s="50">
        <f>IF(LOOKUP($J41,[1]!CMI[[#All],[CÓDIGO DE INDICADOR]],[1]!CMI[[#All],[Ejecutado_5]])="-",0,LOOKUP($J41,[1]!CMI[[#All],[CÓDIGO DE INDICADOR]],[1]!CMI[[#All],[Ejecutado_5]]))</f>
        <v>0</v>
      </c>
      <c r="AF41" s="51">
        <f t="shared" si="11"/>
        <v>0</v>
      </c>
      <c r="AG41" s="51">
        <f>IF(OR(LOOKUP($J41,[1]!CMI[[#All],[CÓDIGO DE INDICADOR]],[1]!CMI[[#All],[TIPO DE FÓRMULA]])="Valor absoluto",LOOKUP($J41,[1]!CMI[[#All],[CÓDIGO DE INDICADOR]],[1]!CMI[[#All],[TIPO DE FÓRMULA]])="Suma"),Y41+AA41+AC41+AE41,IF(OR(LOOKUP($J41,[1]!CMI[[#All],[CÓDIGO DE INDICADOR]],[1]!CMI[[#All],[TIPO DE FÓRMULA]])="Porcentaje",LOOKUP($J41,[1]!CMI[[#All],[CÓDIGO DE INDICADOR]],[1]!CMI[[#All],[TIPO DE FÓRMULA]])="División"),IF(LOOKUP($J41,[1]!CMI[[#All],[CÓDIGO DE INDICADOR]],[1]!CMI[[#All],[Variable2_2]])+LOOKUP($J41,[1]!CMI[[#All],[CÓDIGO DE INDICADOR]],[1]!CMI[[#All],[Variable2_3]])+LOOKUP($J41,[1]!CMI[[#All],[CÓDIGO DE INDICADOR]],[1]!CMI[[#All],[Variable2_4]])+LOOKUP($J41,[1]!CMI[[#All],[CÓDIGO DE INDICADOR]],[1]!CMI[[#All],[Variable2_5]])=0,0,(LOOKUP($J41,[1]!CMI[[#All],[CÓDIGO DE INDICADOR]],[1]!CMI[[#All],[Variable1_2]])+LOOKUP($J41,[1]!CMI[[#All],[CÓDIGO DE INDICADOR]],[1]!CMI[[#All],[Variable1_3]])+LOOKUP($J41,[1]!CMI[[#All],[CÓDIGO DE INDICADOR]],[1]!CMI[[#All],[Variable1_4]])+LOOKUP($J41,[1]!CMI[[#All],[CÓDIGO DE INDICADOR]],[1]!CMI[[#All],[Variable1_5]]))/(LOOKUP($J41,[1]!CMI[[#All],[CÓDIGO DE INDICADOR]],[1]!CMI[[#All],[Variable2_2]])+LOOKUP($J41,[1]!CMI[[#All],[CÓDIGO DE INDICADOR]],[1]!CMI[[#All],[Variable2_3]])+LOOKUP($J41,[1]!CMI[[#All],[CÓDIGO DE INDICADOR]],[1]!CMI[[#All],[Variable2_4]])+LOOKUP($J41,[1]!CMI[[#All],[CÓDIGO DE INDICADOR]],[1]!CMI[[#All],[Variable2_5]]))),IF(LOOKUP($J41,[1]!CMI[[#All],[CÓDIGO DE INDICADOR]],[1]!CMI[[#All],[TIPO DE FÓRMULA]])="Tasa de variación",LOOKUP($J41,[1]!CMI[[#All],[CÓDIGO DE INDICADOR]],[1]!CMI[[#All],[EjecuciónAcumulada_5]]),0)))</f>
        <v>0</v>
      </c>
      <c r="AH41" s="49">
        <f>LOOKUP($J41,[1]!CMI[[#All],[CÓDIGO DE INDICADOR]],[1]!CMI[[#All],[Programado_6]])</f>
        <v>0</v>
      </c>
      <c r="AI41" s="49">
        <f>IF(LOOKUP($J41,[1]!CMI[[#All],[CÓDIGO DE INDICADOR]],[1]!CMI[[#All],[Ejecutado_6]])="-",0,LOOKUP($J41,[1]!CMI[[#All],[CÓDIGO DE INDICADOR]],[1]!CMI[[#All],[Ejecutado_6]]))</f>
        <v>0</v>
      </c>
      <c r="AJ41" s="49">
        <f>LOOKUP($J41,[1]!CMI[[#All],[CÓDIGO DE INDICADOR]],[1]!CMI[[#All],[Programado_7]])</f>
        <v>0</v>
      </c>
      <c r="AK41" s="50">
        <f>IF(LOOKUP($J41,[1]!CMI[[#All],[CÓDIGO DE INDICADOR]],[1]!CMI[[#All],[Ejecutado_7]])="-",0,LOOKUP($J41,[1]!CMI[[#All],[CÓDIGO DE INDICADOR]],[1]!CMI[[#All],[Ejecutado_7]]))</f>
        <v>0</v>
      </c>
      <c r="AL41" s="50">
        <f>LOOKUP($J41,[1]!CMI[[#All],[CÓDIGO DE INDICADOR]],[1]!CMI[[#All],[Programado_8]])</f>
        <v>0.1</v>
      </c>
      <c r="AM41" s="50">
        <f>IF(LOOKUP($J41,[1]!CMI[[#All],[CÓDIGO DE INDICADOR]],[1]!CMI[[#All],[Ejecutado_8]])="-",0,LOOKUP($J41,[1]!CMI[[#All],[CÓDIGO DE INDICADOR]],[1]!CMI[[#All],[Ejecutado_8]]))</f>
        <v>0</v>
      </c>
      <c r="AN41" s="50">
        <f>LOOKUP($J41,[1]!CMI[[#All],[CÓDIGO DE INDICADOR]],[1]!CMI[[#All],[Programado_9]])</f>
        <v>0</v>
      </c>
      <c r="AO41" s="50">
        <f>IF(LOOKUP($J41,[1]!CMI[[#All],[CÓDIGO DE INDICADOR]],[1]!CMI[[#All],[Ejecutado_9]])="-",0,LOOKUP($J41,[1]!CMI[[#All],[CÓDIGO DE INDICADOR]],[1]!CMI[[#All],[Ejecutado_9]]))</f>
        <v>0</v>
      </c>
      <c r="AP41" s="51">
        <f t="shared" si="12"/>
        <v>0.1</v>
      </c>
      <c r="AQ41" s="51">
        <f>IF(OR(LOOKUP($J41,[1]!CMI[[#All],[CÓDIGO DE INDICADOR]],[1]!CMI[[#All],[TIPO DE FÓRMULA]])="Valor absoluto",LOOKUP($J41,[1]!CMI[[#All],[CÓDIGO DE INDICADOR]],[1]!CMI[[#All],[TIPO DE FÓRMULA]])="Suma"),AI41+AK41+AM41+AO41,IF(OR(LOOKUP($J41,[1]!CMI[[#All],[CÓDIGO DE INDICADOR]],[1]!CMI[[#All],[TIPO DE FÓRMULA]])="Porcentaje",LOOKUP($J41,[1]!CMI[[#All],[CÓDIGO DE INDICADOR]],[1]!CMI[[#All],[TIPO DE FÓRMULA]])="División"),IF(LOOKUP($J41,[1]!CMI[[#All],[CÓDIGO DE INDICADOR]],[1]!CMI[[#All],[Variable2_6]])+LOOKUP($J41,[1]!CMI[[#All],[CÓDIGO DE INDICADOR]],[1]!CMI[[#All],[Variable2_7]])+LOOKUP($J41,[1]!CMI[[#All],[CÓDIGO DE INDICADOR]],[1]!CMI[[#All],[Variable2_8]])+LOOKUP($J41,[1]!CMI[[#All],[CÓDIGO DE INDICADOR]],[1]!CMI[[#All],[Variable2_9]])=0,0,(LOOKUP($J41,[1]!CMI[[#All],[CÓDIGO DE INDICADOR]],[1]!CMI[[#All],[Variable1_6]])+LOOKUP($J41,[1]!CMI[[#All],[CÓDIGO DE INDICADOR]],[1]!CMI[[#All],[Variable1_7]])+LOOKUP($J41,[1]!CMI[[#All],[CÓDIGO DE INDICADOR]],[1]!CMI[[#All],[Variable1_8]])+LOOKUP($J41,[1]!CMI[[#All],[CÓDIGO DE INDICADOR]],[1]!CMI[[#All],[Variable1_9]]))/(LOOKUP($J41,[1]!CMI[[#All],[CÓDIGO DE INDICADOR]],[1]!CMI[[#All],[Variable2_6]])+LOOKUP($J41,[1]!CMI[[#All],[CÓDIGO DE INDICADOR]],[1]!CMI[[#All],[Variable2_7]])+LOOKUP($J41,[1]!CMI[[#All],[CÓDIGO DE INDICADOR]],[1]!CMI[[#All],[Variable2_8]])+LOOKUP($J41,[1]!CMI[[#All],[CÓDIGO DE INDICADOR]],[1]!CMI[[#All],[Variable2_9]]))),IF(LOOKUP($J41,[1]!CMI[[#All],[CÓDIGO DE INDICADOR]],[1]!CMI[[#All],[TIPO DE FÓRMULA]])="Tasa de variación",LOOKUP($J41,[1]!CMI[[#All],[CÓDIGO DE INDICADOR]],[1]!CMI[[#All],[EjecuciónAcumulada_9]]),0)))</f>
        <v>0</v>
      </c>
      <c r="AR41" s="49">
        <f>LOOKUP($J41,[1]!CMI[[#All],[CÓDIGO DE INDICADOR]],[1]!CMI[[#All],[Programado_10]])</f>
        <v>0.15</v>
      </c>
      <c r="AS41" s="49">
        <f>IF(LOOKUP($J41,[1]!CMI[[#All],[CÓDIGO DE INDICADOR]],[1]!CMI[[#All],[Ejecutado_10]])="-",0,LOOKUP($J41,[1]!CMI[[#All],[CÓDIGO DE INDICADOR]],[1]!CMI[[#All],[Ejecutado_10]]))</f>
        <v>0</v>
      </c>
      <c r="AT41" s="49">
        <f>LOOKUP($J41,[1]!CMI[[#All],[CÓDIGO DE INDICADOR]],[1]!CMI[[#All],[Programado_11]])</f>
        <v>0.25</v>
      </c>
      <c r="AU41" s="50">
        <f>IF(LOOKUP($J41,[1]!CMI[[#All],[CÓDIGO DE INDICADOR]],[1]!CMI[[#All],[Ejecutado_11]])="-",0,LOOKUP($J41,[1]!CMI[[#All],[CÓDIGO DE INDICADOR]],[1]!CMI[[#All],[Ejecutado_11]]))</f>
        <v>0</v>
      </c>
      <c r="AV41" s="50">
        <f>LOOKUP($J41,[1]!CMI[[#All],[CÓDIGO DE INDICADOR]],[1]!CMI[[#All],[Programado_12]])</f>
        <v>0</v>
      </c>
      <c r="AW41" s="50">
        <f>IF(LOOKUP($J41,[1]!CMI[[#All],[CÓDIGO DE INDICADOR]],[1]!CMI[[#All],[Ejecutado_12]])="-",0,LOOKUP($J41,[1]!CMI[[#All],[CÓDIGO DE INDICADOR]],[1]!CMI[[#All],[Ejecutado_12]]))</f>
        <v>0</v>
      </c>
      <c r="AX41" s="50">
        <f>LOOKUP($J41,[1]!CMI[[#All],[CÓDIGO DE INDICADOR]],[1]!CMI[[#All],[Programado_13]])</f>
        <v>0.25</v>
      </c>
      <c r="AY41" s="50">
        <f>IF(LOOKUP($J41,[1]!CMI[[#All],[CÓDIGO DE INDICADOR]],[1]!CMI[[#All],[Ejecutado_13]])="-",0,LOOKUP($J41,[1]!CMI[[#All],[CÓDIGO DE INDICADOR]],[1]!CMI[[#All],[Ejecutado_13]]))</f>
        <v>0</v>
      </c>
      <c r="AZ41" s="51">
        <f t="shared" si="13"/>
        <v>0.65</v>
      </c>
      <c r="BA41" s="51">
        <f>IF(OR(LOOKUP($J41,[1]!CMI[[#All],[CÓDIGO DE INDICADOR]],[1]!CMI[[#All],[TIPO DE FÓRMULA]])="Valor absoluto",LOOKUP($J41,[1]!CMI[[#All],[CÓDIGO DE INDICADOR]],[1]!CMI[[#All],[TIPO DE FÓRMULA]])="Suma"),AS41+AU41+AW41+AY41,IF(OR(LOOKUP($J41,[1]!CMI[[#All],[CÓDIGO DE INDICADOR]],[1]!CMI[[#All],[TIPO DE FÓRMULA]])="Porcentaje",LOOKUP($J41,[1]!CMI[[#All],[CÓDIGO DE INDICADOR]],[1]!CMI[[#All],[TIPO DE FÓRMULA]])="División"),IF(LOOKUP($J41,[1]!CMI[[#All],[CÓDIGO DE INDICADOR]],[1]!CMI[[#All],[Variable2_10]])+LOOKUP($J41,[1]!CMI[[#All],[CÓDIGO DE INDICADOR]],[1]!CMI[[#All],[Variable2_11]])+LOOKUP($J41,[1]!CMI[[#All],[CÓDIGO DE INDICADOR]],[1]!CMI[[#All],[Variable2_12]])+LOOKUP($J41,[1]!CMI[[#All],[CÓDIGO DE INDICADOR]],[1]!CMI[[#All],[Variable2_13]])=0,0,(LOOKUP($J41,[1]!CMI[[#All],[CÓDIGO DE INDICADOR]],[1]!CMI[[#All],[Variable1_10]])+LOOKUP($J41,[1]!CMI[[#All],[CÓDIGO DE INDICADOR]],[1]!CMI[[#All],[Variable1_11]])+LOOKUP($J41,[1]!CMI[[#All],[CÓDIGO DE INDICADOR]],[1]!CMI[[#All],[Variable1_12]])+LOOKUP($J41,[1]!CMI[[#All],[CÓDIGO DE INDICADOR]],[1]!CMI[[#All],[Variable1_13]]))/(LOOKUP($J41,[1]!CMI[[#All],[CÓDIGO DE INDICADOR]],[1]!CMI[[#All],[Variable2_10]])+LOOKUP($J41,[1]!CMI[[#All],[CÓDIGO DE INDICADOR]],[1]!CMI[[#All],[Variable2_11]])+LOOKUP($J41,[1]!CMI[[#All],[CÓDIGO DE INDICADOR]],[1]!CMI[[#All],[Variable2_12]])+LOOKUP($J41,[1]!CMI[[#All],[CÓDIGO DE INDICADOR]],[1]!CMI[[#All],[Variable2_13]]))),IF(LOOKUP($J41,[1]!CMI[[#All],[CÓDIGO DE INDICADOR]],[1]!CMI[[#All],[TIPO DE FÓRMULA]])="Tasa de variación",LOOKUP($J41,[1]!CMI[[#All],[CÓDIGO DE INDICADOR]],[1]!CMI[[#All],[EjecuciónAcumulada_13]]),0)))</f>
        <v>0</v>
      </c>
      <c r="BB41" s="49">
        <f>LOOKUP($J41,[1]!CMI[[#All],[CÓDIGO DE INDICADOR]],[1]!CMI[[#All],[Programado_14]])</f>
        <v>0.25</v>
      </c>
      <c r="BC41" s="49">
        <f>IF(LOOKUP($J41,[1]!CMI[[#All],[CÓDIGO DE INDICADOR]],[1]!CMI[[#All],[Ejecutado_14]])="-",0,LOOKUP($J41,[1]!CMI[[#All],[CÓDIGO DE INDICADOR]],[1]!CMI[[#All],[Ejecutado_14]]))</f>
        <v>0</v>
      </c>
      <c r="BD41" s="49">
        <f>LOOKUP($J41,[1]!CMI[[#All],[CÓDIGO DE INDICADOR]],[1]!CMI[[#All],[Programado_15]])</f>
        <v>0</v>
      </c>
      <c r="BE41" s="50">
        <f>IF(LOOKUP($J41,[1]!CMI[[#All],[CÓDIGO DE INDICADOR]],[1]!CMI[[#All],[Ejecutado_15]])="-",0,LOOKUP($J41,[1]!CMI[[#All],[CÓDIGO DE INDICADOR]],[1]!CMI[[#All],[Ejecutado_15]]))</f>
        <v>0</v>
      </c>
      <c r="BF41" s="50">
        <f>LOOKUP($J41,[1]!CMI[[#All],[CÓDIGO DE INDICADOR]],[1]!CMI[[#All],[Programado_16]])</f>
        <v>0</v>
      </c>
      <c r="BG41" s="50">
        <f>IF(LOOKUP($J41,[1]!CMI[[#All],[CÓDIGO DE INDICADOR]],[1]!CMI[[#All],[Ejecutado_16]])="-",0,LOOKUP($J41,[1]!CMI[[#All],[CÓDIGO DE INDICADOR]],[1]!CMI[[#All],[Ejecutado_16]]))</f>
        <v>0</v>
      </c>
      <c r="BH41" s="50">
        <f>LOOKUP($J41,[1]!CMI[[#All],[CÓDIGO DE INDICADOR]],[1]!CMI[[#All],[Programado_17]])</f>
        <v>0</v>
      </c>
      <c r="BI41" s="50">
        <f>IF(LOOKUP($J41,[1]!CMI[[#All],[CÓDIGO DE INDICADOR]],[1]!CMI[[#All],[Ejecutado_17]])="-",0,LOOKUP($J41,[1]!CMI[[#All],[CÓDIGO DE INDICADOR]],[1]!CMI[[#All],[Ejecutado_17]]))</f>
        <v>0</v>
      </c>
      <c r="BJ41" s="51">
        <f t="shared" si="14"/>
        <v>0.25</v>
      </c>
      <c r="BK41" s="51">
        <f>IF(OR(LOOKUP($J41,[1]!CMI[[#All],[CÓDIGO DE INDICADOR]],[1]!CMI[[#All],[TIPO DE FÓRMULA]])="Valor absoluto",LOOKUP($J41,[1]!CMI[[#All],[CÓDIGO DE INDICADOR]],[1]!CMI[[#All],[TIPO DE FÓRMULA]])="Suma"),BC41+BE41+BG41+BI41,IF(OR(LOOKUP($J41,[1]!CMI[[#All],[CÓDIGO DE INDICADOR]],[1]!CMI[[#All],[TIPO DE FÓRMULA]])="Porcentaje",LOOKUP($J41,[1]!CMI[[#All],[CÓDIGO DE INDICADOR]],[1]!CMI[[#All],[TIPO DE FÓRMULA]])="División"),IF(LOOKUP($J41,[1]!CMI[[#All],[CÓDIGO DE INDICADOR]],[1]!CMI[[#All],[Variable2_14]])+LOOKUP($J41,[1]!CMI[[#All],[CÓDIGO DE INDICADOR]],[1]!CMI[[#All],[Variable2_15]])+LOOKUP($J41,[1]!CMI[[#All],[CÓDIGO DE INDICADOR]],[1]!CMI[[#All],[Variable2_16]])+LOOKUP($J41,[1]!CMI[[#All],[CÓDIGO DE INDICADOR]],[1]!CMI[[#All],[Variable2_17]])=0,0,(LOOKUP($J41,[1]!CMI[[#All],[CÓDIGO DE INDICADOR]],[1]!CMI[[#All],[Variable1_14]])+LOOKUP($J41,[1]!CMI[[#All],[CÓDIGO DE INDICADOR]],[1]!CMI[[#All],[Variable1_15]])+LOOKUP($J41,[1]!CMI[[#All],[CÓDIGO DE INDICADOR]],[1]!CMI[[#All],[Variable1_16]])+LOOKUP($J41,[1]!CMI[[#All],[CÓDIGO DE INDICADOR]],[1]!CMI[[#All],[Variable1_17]]))/(LOOKUP($J41,[1]!CMI[[#All],[CÓDIGO DE INDICADOR]],[1]!CMI[[#All],[Variable2_14]])+LOOKUP($J41,[1]!CMI[[#All],[CÓDIGO DE INDICADOR]],[1]!CMI[[#All],[Variable2_15]])+LOOKUP($J41,[1]!CMI[[#All],[CÓDIGO DE INDICADOR]],[1]!CMI[[#All],[Variable2_16]])+LOOKUP($J41,[1]!CMI[[#All],[CÓDIGO DE INDICADOR]],[1]!CMI[[#All],[Variable2_17]]))),IF(LOOKUP($J41,[1]!CMI[[#All],[CÓDIGO DE INDICADOR]],[1]!CMI[[#All],[TIPO DE FÓRMULA]])="Tasa de variación",LOOKUP($J41,[1]!CMI[[#All],[CÓDIGO DE INDICADOR]],[1]!CMI[[#All],[EjecuciónAcumulada_17]]),0)))</f>
        <v>0</v>
      </c>
      <c r="BL41" s="51">
        <f>IF(YEAR($M41)=2016,LOOKUP($J41,[1]!CMI[[#All],[CÓDIGO DE INDICADOR]],[1]!CMI[[#All],[ProgramadoAcumulado_1]]),IF(AND(YEAR($M41)=2017,MONTH($M41)&lt;=3),LOOKUP($J41,[1]!CMI[[#All],[CÓDIGO DE INDICADOR]],[1]!CMI[[#All],[ProgramadoAcumulado_2]]),IF(AND(YEAR($M41)=2017,MONTH($M41)&lt;=6),LOOKUP($J41,[1]!CMI[[#All],[CÓDIGO DE INDICADOR]],[1]!CMI[[#All],[ProgramadoAcumulado_3]]),IF(AND(YEAR($M41)=2017,MONTH($M41)&lt;=9),LOOKUP($J41,[1]!CMI[[#All],[CÓDIGO DE INDICADOR]],[1]!CMI[[#All],[ProgramadoAcumulado_4]]),IF(AND(YEAR($M41)=2017,MONTH($M41)&lt;=12),LOOKUP($J41,[1]!CMI[[#All],[CÓDIGO DE INDICADOR]],[1]!CMI[[#All],[ProgramadoAcumulado_5]]),IF(AND(YEAR($M41)=2018,MONTH($M41)&lt;=3),LOOKUP($J41,[1]!CMI[[#All],[CÓDIGO DE INDICADOR]],[1]!CMI[[#All],[ProgramadoAcumulado_6]]),IF(AND(YEAR($M41)=2018,MONTH($M41)&lt;=6),LOOKUP($J41,[1]!CMI[[#All],[CÓDIGO DE INDICADOR]],[1]!CMI[[#All],[ProgramadoAcumulado_7]]),IF(AND(YEAR($M41)=2018,MONTH($M41)&lt;=9),LOOKUP($J41,[1]!CMI[[#All],[CÓDIGO DE INDICADOR]],[1]!CMI[[#All],[ProgramadoAcumulado_8]]),IF(AND(YEAR($M41)=2018,MONTH($M41)&lt;=12),LOOKUP($J41,[1]!CMI[[#All],[CÓDIGO DE INDICADOR]],[1]!CMI[[#All],[ProgramadoAcumulado_9]]),IF(AND(YEAR($M41)=2019,MONTH($M41)&lt;=3),LOOKUP($J41,[1]!CMI[[#All],[CÓDIGO DE INDICADOR]],[1]!CMI[[#All],[ProgramadoAcumulado_10]]),IF(AND(YEAR($M41)=2019,MONTH($M41)&lt;=6),LOOKUP($J41,[1]!CMI[[#All],[CÓDIGO DE INDICADOR]],[1]!CMI[[#All],[ProgramadoAcumulado_11]]),IF(AND(YEAR($M41)=2019,MONTH($M41)&lt;=9),LOOKUP($J41,[1]!CMI[[#All],[CÓDIGO DE INDICADOR]],[1]!CMI[[#All],[ProgramadoAcumulado_12]]),IF(AND(YEAR($M41)=2019,MONTH($M41)&lt;=12),LOOKUP($J41,[1]!CMI[[#All],[CÓDIGO DE INDICADOR]],[1]!CMI[[#All],[ProgramadoAcumulado_13]]),IF(AND(YEAR($M41)=2020,MONTH($M41)&lt;=3),LOOKUP($J41,[1]!CMI[[#All],[CÓDIGO DE INDICADOR]],[1]!CMI[[#All],[ProgramadoAcumulado_14]]),IF(AND(YEAR($M41)=2020,MONTH($M41)&lt;=6),LOOKUP($J41,[1]!CMI[[#All],[CÓDIGO DE INDICADOR]],[1]!CMI[[#All],[ProgramadoAcumulado_15]]),IF(AND(YEAR($M41)=2020,MONTH($M41)&lt;=9),LOOKUP($J41,[1]!CMI[[#All],[CÓDIGO DE INDICADOR]],[1]!CMI[[#All],[ProgramadoAcumulado_16]]),IF(AND(YEAR($M41)=2020,MONTH($M41)&lt;=12),LOOKUP($J41,[1]!CMI[[#All],[CÓDIGO DE INDICADOR]],[1]!CMI[[#All],[ProgramadoAcumulado_17]]),"N.A")))))))))))))))))</f>
        <v>0</v>
      </c>
      <c r="BM41" s="51">
        <f>IF(YEAR($M41)=2016,LOOKUP($J41,[1]!CMI[[#All],[CÓDIGO DE INDICADOR]],[1]!CMI[[#All],[EjecuciónAcumulada_1]]),IF(AND(YEAR($M41)=2017,MONTH($M41)&lt;=3),LOOKUP($J41,[1]!CMI[[#All],[CÓDIGO DE INDICADOR]],[1]!CMI[[#All],[EjecuciónAcumulada_2]]),IF(AND(YEAR($M41)=2017,MONTH($M41)&lt;=6),LOOKUP($J41,[1]!CMI[[#All],[CÓDIGO DE INDICADOR]],[1]!CMI[[#All],[EjecuciónAcumulada_3]]),IF(AND(YEAR($M41)=2017,MONTH($M41)&lt;=9),LOOKUP($J41,[1]!CMI[[#All],[CÓDIGO DE INDICADOR]],[1]!CMI[[#All],[EjecuciónAcumulada_4]]),IF(AND(YEAR($M41)=2017,MONTH($M41)&lt;=12),LOOKUP($J41,[1]!CMI[[#All],[CÓDIGO DE INDICADOR]],[1]!CMI[[#All],[EjecuciónAcumulada_5]]),IF(AND(YEAR($M41)=2018,MONTH($M41)&lt;=3),LOOKUP($J41,[1]!CMI[[#All],[CÓDIGO DE INDICADOR]],[1]!CMI[[#All],[EjecuciónAcumulada_6]]),IF(AND(YEAR($M41)=2018,MONTH($M41)&lt;=6),LOOKUP($J41,[1]!CMI[[#All],[CÓDIGO DE INDICADOR]],[1]!CMI[[#All],[EjecuciónAcumulada_7]]),IF(AND(YEAR($M41)=2018,MONTH($M41)&lt;=9),LOOKUP($J41,[1]!CMI[[#All],[CÓDIGO DE INDICADOR]],[1]!CMI[[#All],[EjecuciónAcumulada_8]]),IF(AND(YEAR($M41)=2018,MONTH($M41)&lt;=12),LOOKUP($J41,[1]!CMI[[#All],[CÓDIGO DE INDICADOR]],[1]!CMI[[#All],[EjecuciónAcumulada_9]]),IF(AND(YEAR($M41)=2019,MONTH($M41)&lt;=3),LOOKUP($J41,[1]!CMI[[#All],[CÓDIGO DE INDICADOR]],[1]!CMI[[#All],[EjecuciónAcumulada_10]]),IF(AND(YEAR($M41)=2019,MONTH($M41)&lt;=6),LOOKUP($J41,[1]!CMI[[#All],[CÓDIGO DE INDICADOR]],[1]!CMI[[#All],[EjecuciónAcumulada_11]]),IF(AND(YEAR($M41)=2019,MONTH($M41)&lt;=9),LOOKUP($J41,[1]!CMI[[#All],[CÓDIGO DE INDICADOR]],[1]!CMI[[#All],[EjecuciónAcumulada_12]]),IF(AND(YEAR($M41)=2019,MONTH($M41)&lt;=12),LOOKUP($J41,[1]!CMI[[#All],[CÓDIGO DE INDICADOR]],[1]!CMI[[#All],[EjecuciónAcumulada_13]]),IF(AND(YEAR($M41)=2020,MONTH($M41)&lt;=3),LOOKUP($J41,[1]!CMI[[#All],[CÓDIGO DE INDICADOR]],[1]!CMI[[#All],[EjecuciónAcumulada_14]]),IF(AND(YEAR($M41)=2020,MONTH($M41)&lt;=6),LOOKUP($J41,[1]!CMI[[#All],[CÓDIGO DE INDICADOR]],[1]!CMI[[#All],[EjecuciónAcumulada_15]]),IF(AND(YEAR($M41)=2020,MONTH($M41)&lt;=9),LOOKUP($J41,[1]!CMI[[#All],[CÓDIGO DE INDICADOR]],[1]!CMI[[#All],[EjecuciónAcumulada_16]]),IF(AND(YEAR($M41)=2020,MONTH($M41)&lt;=12),LOOKUP($J41,[1]!CMI[[#All],[CÓDIGO DE INDICADOR]],[1]!CMI[[#All],[EjecuciónAcumulada_17]]),"N.A")))))))))))))))))</f>
        <v>0</v>
      </c>
      <c r="BN41" s="17" t="str">
        <f t="shared" si="7"/>
        <v>N.A.</v>
      </c>
      <c r="BO41" s="51">
        <f t="shared" si="15"/>
        <v>1</v>
      </c>
      <c r="BP41" s="68">
        <f t="shared" si="8"/>
        <v>0</v>
      </c>
    </row>
    <row r="42" spans="2:68" ht="234" customHeight="1">
      <c r="B42" s="135"/>
      <c r="C42" s="10" t="s">
        <v>181</v>
      </c>
      <c r="D42" s="11" t="str">
        <f>LOOKUP($J42,[1]!CMI[[#All],[CÓDIGO DE INDICADOR]],[1]!CMI[[#All],[NOMBRE DEL INDICADOR]])</f>
        <v>Avance en la implementación de la estrategia de promoción del desarrollo humano de los servidores de la Entidad</v>
      </c>
      <c r="E42" s="11" t="str">
        <f>LOOKUP($J42,[1]!CMI[[#All],[CÓDIGO DE INDICADOR]],[1]!CMI[[#All],[FÓRMULA DE CÁLCULO]])</f>
        <v>Porcentaje de avance en las actividades</v>
      </c>
      <c r="F42" s="49">
        <f>LOOKUP($J42,[1]!CMI[[#All],[CÓDIGO DE INDICADOR]],[1]!CMI[[#All],[VALOR PROGRAMADO TOTAL]])</f>
        <v>1</v>
      </c>
      <c r="G42" s="10" t="s">
        <v>188</v>
      </c>
      <c r="H42" s="10" t="s">
        <v>189</v>
      </c>
      <c r="I42" s="11" t="str">
        <f>LOOKUP($J42,[1]!CMI[[#All],[CÓDIGO DE INDICADOR]],[1]!CMI[[#All],[DEPENDENCIA]])</f>
        <v>Dependencia Líder: Dirección de Talento Humano
Dependencia Operativa:Subdirección de Desarrollo del Talento Humano</v>
      </c>
      <c r="J42" s="13" t="s">
        <v>193</v>
      </c>
      <c r="K42" s="11" t="str">
        <f>LOOKUP($J42,[1]!CMI[[#All],[CÓDIGO DE INDICADOR]],[1]!CMI[[#All],[CÁLCULO VALOR PROGRAMADO ACUMULADO]])</f>
        <v>Sumatoria</v>
      </c>
      <c r="L42" s="11" t="str">
        <f>LOOKUP($J42,[1]!CMI[[#All],[CÓDIGO DE INDICADOR]],[1]!CMI[[#All],[TENDENCIA DECRECIENTE]])</f>
        <v>No</v>
      </c>
      <c r="M42" s="14">
        <f>LOOKUP($J42,[1]!CMI[[#All],[CÓDIGO DE INDICADOR]],[1]!CMI[[#All],[FECHA DE CORTE]])</f>
        <v>43281</v>
      </c>
      <c r="N42" s="49">
        <v>0</v>
      </c>
      <c r="O42" s="49">
        <v>0</v>
      </c>
      <c r="P42" s="49">
        <v>0</v>
      </c>
      <c r="Q42" s="50">
        <v>0</v>
      </c>
      <c r="R42" s="50">
        <v>0</v>
      </c>
      <c r="S42" s="50">
        <v>0</v>
      </c>
      <c r="T42" s="50">
        <f>LOOKUP($J42,[1]!CMI[[#All],[CÓDIGO DE INDICADOR]],[1]!CMI[[#All],[Programado_1]])</f>
        <v>0</v>
      </c>
      <c r="U42" s="50">
        <f>IF(LOOKUP($J42,[1]!CMI[[#All],[CÓDIGO DE INDICADOR]],[1]!CMI[[#All],[Ejecutado_1]])="-",0,LOOKUP($J42,[1]!CMI[[#All],[CÓDIGO DE INDICADOR]],[1]!CMI[[#All],[Ejecutado_1]]))</f>
        <v>0</v>
      </c>
      <c r="V42" s="51">
        <f t="shared" si="9"/>
        <v>0</v>
      </c>
      <c r="W42" s="51">
        <f t="shared" si="10"/>
        <v>0</v>
      </c>
      <c r="X42" s="49">
        <f>LOOKUP($J42,[1]!CMI[[#All],[CÓDIGO DE INDICADOR]],[1]!CMI[[#All],[Programado_2]])</f>
        <v>0</v>
      </c>
      <c r="Y42" s="49">
        <f>IF(LOOKUP($J42,[1]!CMI[[#All],[CÓDIGO DE INDICADOR]],[1]!CMI[[#All],[Ejecutado_2]])="-",0,LOOKUP($J42,[1]!CMI[[#All],[CÓDIGO DE INDICADOR]],[1]!CMI[[#All],[Ejecutado_2]]))</f>
        <v>0</v>
      </c>
      <c r="Z42" s="49">
        <f>LOOKUP($J42,[1]!CMI[[#All],[CÓDIGO DE INDICADOR]],[1]!CMI[[#All],[Programado_3]])</f>
        <v>0</v>
      </c>
      <c r="AA42" s="50">
        <f>IF(LOOKUP($J42,[1]!CMI[[#All],[CÓDIGO DE INDICADOR]],[1]!CMI[[#All],[Ejecutado_3]])="-",0,LOOKUP($J42,[1]!CMI[[#All],[CÓDIGO DE INDICADOR]],[1]!CMI[[#All],[Ejecutado_3]]))</f>
        <v>0</v>
      </c>
      <c r="AB42" s="50">
        <f>LOOKUP($J42,[1]!CMI[[#All],[CÓDIGO DE INDICADOR]],[1]!CMI[[#All],[Programado_4]])</f>
        <v>0</v>
      </c>
      <c r="AC42" s="50">
        <f>IF(LOOKUP($J42,[1]!CMI[[#All],[CÓDIGO DE INDICADOR]],[1]!CMI[[#All],[Ejecutado_4]])="-",0,LOOKUP($J42,[1]!CMI[[#All],[CÓDIGO DE INDICADOR]],[1]!CMI[[#All],[Ejecutado_4]]))</f>
        <v>0</v>
      </c>
      <c r="AD42" s="50">
        <f>LOOKUP($J42,[1]!CMI[[#All],[CÓDIGO DE INDICADOR]],[1]!CMI[[#All],[Programado_5]])</f>
        <v>0</v>
      </c>
      <c r="AE42" s="50">
        <f>IF(LOOKUP($J42,[1]!CMI[[#All],[CÓDIGO DE INDICADOR]],[1]!CMI[[#All],[Ejecutado_5]])="-",0,LOOKUP($J42,[1]!CMI[[#All],[CÓDIGO DE INDICADOR]],[1]!CMI[[#All],[Ejecutado_5]]))</f>
        <v>0</v>
      </c>
      <c r="AF42" s="51">
        <f t="shared" si="11"/>
        <v>0</v>
      </c>
      <c r="AG42" s="51">
        <f>IF(OR(LOOKUP($J42,[1]!CMI[[#All],[CÓDIGO DE INDICADOR]],[1]!CMI[[#All],[TIPO DE FÓRMULA]])="Valor absoluto",LOOKUP($J42,[1]!CMI[[#All],[CÓDIGO DE INDICADOR]],[1]!CMI[[#All],[TIPO DE FÓRMULA]])="Suma"),Y42+AA42+AC42+AE42,IF(OR(LOOKUP($J42,[1]!CMI[[#All],[CÓDIGO DE INDICADOR]],[1]!CMI[[#All],[TIPO DE FÓRMULA]])="Porcentaje",LOOKUP($J42,[1]!CMI[[#All],[CÓDIGO DE INDICADOR]],[1]!CMI[[#All],[TIPO DE FÓRMULA]])="División"),IF(LOOKUP($J42,[1]!CMI[[#All],[CÓDIGO DE INDICADOR]],[1]!CMI[[#All],[Variable2_2]])+LOOKUP($J42,[1]!CMI[[#All],[CÓDIGO DE INDICADOR]],[1]!CMI[[#All],[Variable2_3]])+LOOKUP($J42,[1]!CMI[[#All],[CÓDIGO DE INDICADOR]],[1]!CMI[[#All],[Variable2_4]])+LOOKUP($J42,[1]!CMI[[#All],[CÓDIGO DE INDICADOR]],[1]!CMI[[#All],[Variable2_5]])=0,0,(LOOKUP($J42,[1]!CMI[[#All],[CÓDIGO DE INDICADOR]],[1]!CMI[[#All],[Variable1_2]])+LOOKUP($J42,[1]!CMI[[#All],[CÓDIGO DE INDICADOR]],[1]!CMI[[#All],[Variable1_3]])+LOOKUP($J42,[1]!CMI[[#All],[CÓDIGO DE INDICADOR]],[1]!CMI[[#All],[Variable1_4]])+LOOKUP($J42,[1]!CMI[[#All],[CÓDIGO DE INDICADOR]],[1]!CMI[[#All],[Variable1_5]]))/(LOOKUP($J42,[1]!CMI[[#All],[CÓDIGO DE INDICADOR]],[1]!CMI[[#All],[Variable2_2]])+LOOKUP($J42,[1]!CMI[[#All],[CÓDIGO DE INDICADOR]],[1]!CMI[[#All],[Variable2_3]])+LOOKUP($J42,[1]!CMI[[#All],[CÓDIGO DE INDICADOR]],[1]!CMI[[#All],[Variable2_4]])+LOOKUP($J42,[1]!CMI[[#All],[CÓDIGO DE INDICADOR]],[1]!CMI[[#All],[Variable2_5]]))),IF(LOOKUP($J42,[1]!CMI[[#All],[CÓDIGO DE INDICADOR]],[1]!CMI[[#All],[TIPO DE FÓRMULA]])="Tasa de variación",LOOKUP($J42,[1]!CMI[[#All],[CÓDIGO DE INDICADOR]],[1]!CMI[[#All],[EjecuciónAcumulada_5]]),0)))</f>
        <v>0</v>
      </c>
      <c r="AH42" s="49">
        <f>LOOKUP($J42,[1]!CMI[[#All],[CÓDIGO DE INDICADOR]],[1]!CMI[[#All],[Programado_6]])</f>
        <v>0</v>
      </c>
      <c r="AI42" s="49">
        <f>IF(LOOKUP($J42,[1]!CMI[[#All],[CÓDIGO DE INDICADOR]],[1]!CMI[[#All],[Ejecutado_6]])="-",0,LOOKUP($J42,[1]!CMI[[#All],[CÓDIGO DE INDICADOR]],[1]!CMI[[#All],[Ejecutado_6]]))</f>
        <v>0</v>
      </c>
      <c r="AJ42" s="49">
        <f>LOOKUP($J42,[1]!CMI[[#All],[CÓDIGO DE INDICADOR]],[1]!CMI[[#All],[Programado_7]])</f>
        <v>0</v>
      </c>
      <c r="AK42" s="50">
        <f>IF(LOOKUP($J42,[1]!CMI[[#All],[CÓDIGO DE INDICADOR]],[1]!CMI[[#All],[Ejecutado_7]])="-",0,LOOKUP($J42,[1]!CMI[[#All],[CÓDIGO DE INDICADOR]],[1]!CMI[[#All],[Ejecutado_7]]))</f>
        <v>0</v>
      </c>
      <c r="AL42" s="50">
        <f>LOOKUP($J42,[1]!CMI[[#All],[CÓDIGO DE INDICADOR]],[1]!CMI[[#All],[Programado_8]])</f>
        <v>0.5</v>
      </c>
      <c r="AM42" s="50">
        <f>IF(LOOKUP($J42,[1]!CMI[[#All],[CÓDIGO DE INDICADOR]],[1]!CMI[[#All],[Ejecutado_8]])="-",0,LOOKUP($J42,[1]!CMI[[#All],[CÓDIGO DE INDICADOR]],[1]!CMI[[#All],[Ejecutado_8]]))</f>
        <v>0</v>
      </c>
      <c r="AN42" s="50">
        <f>LOOKUP($J42,[1]!CMI[[#All],[CÓDIGO DE INDICADOR]],[1]!CMI[[#All],[Programado_9]])</f>
        <v>0</v>
      </c>
      <c r="AO42" s="50">
        <f>IF(LOOKUP($J42,[1]!CMI[[#All],[CÓDIGO DE INDICADOR]],[1]!CMI[[#All],[Ejecutado_9]])="-",0,LOOKUP($J42,[1]!CMI[[#All],[CÓDIGO DE INDICADOR]],[1]!CMI[[#All],[Ejecutado_9]]))</f>
        <v>0</v>
      </c>
      <c r="AP42" s="51">
        <f t="shared" si="12"/>
        <v>0.5</v>
      </c>
      <c r="AQ42" s="51">
        <f>IF(OR(LOOKUP($J42,[1]!CMI[[#All],[CÓDIGO DE INDICADOR]],[1]!CMI[[#All],[TIPO DE FÓRMULA]])="Valor absoluto",LOOKUP($J42,[1]!CMI[[#All],[CÓDIGO DE INDICADOR]],[1]!CMI[[#All],[TIPO DE FÓRMULA]])="Suma"),AI42+AK42+AM42+AO42,IF(OR(LOOKUP($J42,[1]!CMI[[#All],[CÓDIGO DE INDICADOR]],[1]!CMI[[#All],[TIPO DE FÓRMULA]])="Porcentaje",LOOKUP($J42,[1]!CMI[[#All],[CÓDIGO DE INDICADOR]],[1]!CMI[[#All],[TIPO DE FÓRMULA]])="División"),IF(LOOKUP($J42,[1]!CMI[[#All],[CÓDIGO DE INDICADOR]],[1]!CMI[[#All],[Variable2_6]])+LOOKUP($J42,[1]!CMI[[#All],[CÓDIGO DE INDICADOR]],[1]!CMI[[#All],[Variable2_7]])+LOOKUP($J42,[1]!CMI[[#All],[CÓDIGO DE INDICADOR]],[1]!CMI[[#All],[Variable2_8]])+LOOKUP($J42,[1]!CMI[[#All],[CÓDIGO DE INDICADOR]],[1]!CMI[[#All],[Variable2_9]])=0,0,(LOOKUP($J42,[1]!CMI[[#All],[CÓDIGO DE INDICADOR]],[1]!CMI[[#All],[Variable1_6]])+LOOKUP($J42,[1]!CMI[[#All],[CÓDIGO DE INDICADOR]],[1]!CMI[[#All],[Variable1_7]])+LOOKUP($J42,[1]!CMI[[#All],[CÓDIGO DE INDICADOR]],[1]!CMI[[#All],[Variable1_8]])+LOOKUP($J42,[1]!CMI[[#All],[CÓDIGO DE INDICADOR]],[1]!CMI[[#All],[Variable1_9]]))/(LOOKUP($J42,[1]!CMI[[#All],[CÓDIGO DE INDICADOR]],[1]!CMI[[#All],[Variable2_6]])+LOOKUP($J42,[1]!CMI[[#All],[CÓDIGO DE INDICADOR]],[1]!CMI[[#All],[Variable2_7]])+LOOKUP($J42,[1]!CMI[[#All],[CÓDIGO DE INDICADOR]],[1]!CMI[[#All],[Variable2_8]])+LOOKUP($J42,[1]!CMI[[#All],[CÓDIGO DE INDICADOR]],[1]!CMI[[#All],[Variable2_9]]))),IF(LOOKUP($J42,[1]!CMI[[#All],[CÓDIGO DE INDICADOR]],[1]!CMI[[#All],[TIPO DE FÓRMULA]])="Tasa de variación",LOOKUP($J42,[1]!CMI[[#All],[CÓDIGO DE INDICADOR]],[1]!CMI[[#All],[EjecuciónAcumulada_9]]),0)))</f>
        <v>0</v>
      </c>
      <c r="AR42" s="49">
        <f>LOOKUP($J42,[1]!CMI[[#All],[CÓDIGO DE INDICADOR]],[1]!CMI[[#All],[Programado_10]])</f>
        <v>0.5</v>
      </c>
      <c r="AS42" s="49">
        <f>IF(LOOKUP($J42,[1]!CMI[[#All],[CÓDIGO DE INDICADOR]],[1]!CMI[[#All],[Ejecutado_10]])="-",0,LOOKUP($J42,[1]!CMI[[#All],[CÓDIGO DE INDICADOR]],[1]!CMI[[#All],[Ejecutado_10]]))</f>
        <v>0</v>
      </c>
      <c r="AT42" s="49">
        <f>LOOKUP($J42,[1]!CMI[[#All],[CÓDIGO DE INDICADOR]],[1]!CMI[[#All],[Programado_11]])</f>
        <v>0</v>
      </c>
      <c r="AU42" s="50">
        <f>IF(LOOKUP($J42,[1]!CMI[[#All],[CÓDIGO DE INDICADOR]],[1]!CMI[[#All],[Ejecutado_11]])="-",0,LOOKUP($J42,[1]!CMI[[#All],[CÓDIGO DE INDICADOR]],[1]!CMI[[#All],[Ejecutado_11]]))</f>
        <v>0</v>
      </c>
      <c r="AV42" s="50">
        <f>LOOKUP($J42,[1]!CMI[[#All],[CÓDIGO DE INDICADOR]],[1]!CMI[[#All],[Programado_12]])</f>
        <v>0</v>
      </c>
      <c r="AW42" s="50">
        <f>IF(LOOKUP($J42,[1]!CMI[[#All],[CÓDIGO DE INDICADOR]],[1]!CMI[[#All],[Ejecutado_12]])="-",0,LOOKUP($J42,[1]!CMI[[#All],[CÓDIGO DE INDICADOR]],[1]!CMI[[#All],[Ejecutado_12]]))</f>
        <v>0</v>
      </c>
      <c r="AX42" s="50">
        <f>LOOKUP($J42,[1]!CMI[[#All],[CÓDIGO DE INDICADOR]],[1]!CMI[[#All],[Programado_13]])</f>
        <v>0</v>
      </c>
      <c r="AY42" s="50">
        <f>IF(LOOKUP($J42,[1]!CMI[[#All],[CÓDIGO DE INDICADOR]],[1]!CMI[[#All],[Ejecutado_13]])="-",0,LOOKUP($J42,[1]!CMI[[#All],[CÓDIGO DE INDICADOR]],[1]!CMI[[#All],[Ejecutado_13]]))</f>
        <v>0</v>
      </c>
      <c r="AZ42" s="51">
        <f t="shared" si="13"/>
        <v>0.5</v>
      </c>
      <c r="BA42" s="51">
        <f>IF(OR(LOOKUP($J42,[1]!CMI[[#All],[CÓDIGO DE INDICADOR]],[1]!CMI[[#All],[TIPO DE FÓRMULA]])="Valor absoluto",LOOKUP($J42,[1]!CMI[[#All],[CÓDIGO DE INDICADOR]],[1]!CMI[[#All],[TIPO DE FÓRMULA]])="Suma"),AS42+AU42+AW42+AY42,IF(OR(LOOKUP($J42,[1]!CMI[[#All],[CÓDIGO DE INDICADOR]],[1]!CMI[[#All],[TIPO DE FÓRMULA]])="Porcentaje",LOOKUP($J42,[1]!CMI[[#All],[CÓDIGO DE INDICADOR]],[1]!CMI[[#All],[TIPO DE FÓRMULA]])="División"),IF(LOOKUP($J42,[1]!CMI[[#All],[CÓDIGO DE INDICADOR]],[1]!CMI[[#All],[Variable2_10]])+LOOKUP($J42,[1]!CMI[[#All],[CÓDIGO DE INDICADOR]],[1]!CMI[[#All],[Variable2_11]])+LOOKUP($J42,[1]!CMI[[#All],[CÓDIGO DE INDICADOR]],[1]!CMI[[#All],[Variable2_12]])+LOOKUP($J42,[1]!CMI[[#All],[CÓDIGO DE INDICADOR]],[1]!CMI[[#All],[Variable2_13]])=0,0,(LOOKUP($J42,[1]!CMI[[#All],[CÓDIGO DE INDICADOR]],[1]!CMI[[#All],[Variable1_10]])+LOOKUP($J42,[1]!CMI[[#All],[CÓDIGO DE INDICADOR]],[1]!CMI[[#All],[Variable1_11]])+LOOKUP($J42,[1]!CMI[[#All],[CÓDIGO DE INDICADOR]],[1]!CMI[[#All],[Variable1_12]])+LOOKUP($J42,[1]!CMI[[#All],[CÓDIGO DE INDICADOR]],[1]!CMI[[#All],[Variable1_13]]))/(LOOKUP($J42,[1]!CMI[[#All],[CÓDIGO DE INDICADOR]],[1]!CMI[[#All],[Variable2_10]])+LOOKUP($J42,[1]!CMI[[#All],[CÓDIGO DE INDICADOR]],[1]!CMI[[#All],[Variable2_11]])+LOOKUP($J42,[1]!CMI[[#All],[CÓDIGO DE INDICADOR]],[1]!CMI[[#All],[Variable2_12]])+LOOKUP($J42,[1]!CMI[[#All],[CÓDIGO DE INDICADOR]],[1]!CMI[[#All],[Variable2_13]]))),IF(LOOKUP($J42,[1]!CMI[[#All],[CÓDIGO DE INDICADOR]],[1]!CMI[[#All],[TIPO DE FÓRMULA]])="Tasa de variación",LOOKUP($J42,[1]!CMI[[#All],[CÓDIGO DE INDICADOR]],[1]!CMI[[#All],[EjecuciónAcumulada_13]]),0)))</f>
        <v>0</v>
      </c>
      <c r="BB42" s="49">
        <f>LOOKUP($J42,[1]!CMI[[#All],[CÓDIGO DE INDICADOR]],[1]!CMI[[#All],[Programado_14]])</f>
        <v>0</v>
      </c>
      <c r="BC42" s="49">
        <f>IF(LOOKUP($J42,[1]!CMI[[#All],[CÓDIGO DE INDICADOR]],[1]!CMI[[#All],[Ejecutado_14]])="-",0,LOOKUP($J42,[1]!CMI[[#All],[CÓDIGO DE INDICADOR]],[1]!CMI[[#All],[Ejecutado_14]]))</f>
        <v>0</v>
      </c>
      <c r="BD42" s="49">
        <f>LOOKUP($J42,[1]!CMI[[#All],[CÓDIGO DE INDICADOR]],[1]!CMI[[#All],[Programado_15]])</f>
        <v>0</v>
      </c>
      <c r="BE42" s="50">
        <f>IF(LOOKUP($J42,[1]!CMI[[#All],[CÓDIGO DE INDICADOR]],[1]!CMI[[#All],[Ejecutado_15]])="-",0,LOOKUP($J42,[1]!CMI[[#All],[CÓDIGO DE INDICADOR]],[1]!CMI[[#All],[Ejecutado_15]]))</f>
        <v>0</v>
      </c>
      <c r="BF42" s="50">
        <f>LOOKUP($J42,[1]!CMI[[#All],[CÓDIGO DE INDICADOR]],[1]!CMI[[#All],[Programado_16]])</f>
        <v>0</v>
      </c>
      <c r="BG42" s="50">
        <f>IF(LOOKUP($J42,[1]!CMI[[#All],[CÓDIGO DE INDICADOR]],[1]!CMI[[#All],[Ejecutado_16]])="-",0,LOOKUP($J42,[1]!CMI[[#All],[CÓDIGO DE INDICADOR]],[1]!CMI[[#All],[Ejecutado_16]]))</f>
        <v>0</v>
      </c>
      <c r="BH42" s="50">
        <f>LOOKUP($J42,[1]!CMI[[#All],[CÓDIGO DE INDICADOR]],[1]!CMI[[#All],[Programado_17]])</f>
        <v>0</v>
      </c>
      <c r="BI42" s="50">
        <f>IF(LOOKUP($J42,[1]!CMI[[#All],[CÓDIGO DE INDICADOR]],[1]!CMI[[#All],[Ejecutado_17]])="-",0,LOOKUP($J42,[1]!CMI[[#All],[CÓDIGO DE INDICADOR]],[1]!CMI[[#All],[Ejecutado_17]]))</f>
        <v>0</v>
      </c>
      <c r="BJ42" s="51">
        <f t="shared" si="14"/>
        <v>0</v>
      </c>
      <c r="BK42" s="51">
        <f>IF(OR(LOOKUP($J42,[1]!CMI[[#All],[CÓDIGO DE INDICADOR]],[1]!CMI[[#All],[TIPO DE FÓRMULA]])="Valor absoluto",LOOKUP($J42,[1]!CMI[[#All],[CÓDIGO DE INDICADOR]],[1]!CMI[[#All],[TIPO DE FÓRMULA]])="Suma"),BC42+BE42+BG42+BI42,IF(OR(LOOKUP($J42,[1]!CMI[[#All],[CÓDIGO DE INDICADOR]],[1]!CMI[[#All],[TIPO DE FÓRMULA]])="Porcentaje",LOOKUP($J42,[1]!CMI[[#All],[CÓDIGO DE INDICADOR]],[1]!CMI[[#All],[TIPO DE FÓRMULA]])="División"),IF(LOOKUP($J42,[1]!CMI[[#All],[CÓDIGO DE INDICADOR]],[1]!CMI[[#All],[Variable2_14]])+LOOKUP($J42,[1]!CMI[[#All],[CÓDIGO DE INDICADOR]],[1]!CMI[[#All],[Variable2_15]])+LOOKUP($J42,[1]!CMI[[#All],[CÓDIGO DE INDICADOR]],[1]!CMI[[#All],[Variable2_16]])+LOOKUP($J42,[1]!CMI[[#All],[CÓDIGO DE INDICADOR]],[1]!CMI[[#All],[Variable2_17]])=0,0,(LOOKUP($J42,[1]!CMI[[#All],[CÓDIGO DE INDICADOR]],[1]!CMI[[#All],[Variable1_14]])+LOOKUP($J42,[1]!CMI[[#All],[CÓDIGO DE INDICADOR]],[1]!CMI[[#All],[Variable1_15]])+LOOKUP($J42,[1]!CMI[[#All],[CÓDIGO DE INDICADOR]],[1]!CMI[[#All],[Variable1_16]])+LOOKUP($J42,[1]!CMI[[#All],[CÓDIGO DE INDICADOR]],[1]!CMI[[#All],[Variable1_17]]))/(LOOKUP($J42,[1]!CMI[[#All],[CÓDIGO DE INDICADOR]],[1]!CMI[[#All],[Variable2_14]])+LOOKUP($J42,[1]!CMI[[#All],[CÓDIGO DE INDICADOR]],[1]!CMI[[#All],[Variable2_15]])+LOOKUP($J42,[1]!CMI[[#All],[CÓDIGO DE INDICADOR]],[1]!CMI[[#All],[Variable2_16]])+LOOKUP($J42,[1]!CMI[[#All],[CÓDIGO DE INDICADOR]],[1]!CMI[[#All],[Variable2_17]]))),IF(LOOKUP($J42,[1]!CMI[[#All],[CÓDIGO DE INDICADOR]],[1]!CMI[[#All],[TIPO DE FÓRMULA]])="Tasa de variación",LOOKUP($J42,[1]!CMI[[#All],[CÓDIGO DE INDICADOR]],[1]!CMI[[#All],[EjecuciónAcumulada_17]]),0)))</f>
        <v>0</v>
      </c>
      <c r="BL42" s="51">
        <f>IF(YEAR($M42)=2016,LOOKUP($J42,[1]!CMI[[#All],[CÓDIGO DE INDICADOR]],[1]!CMI[[#All],[ProgramadoAcumulado_1]]),IF(AND(YEAR($M42)=2017,MONTH($M42)&lt;=3),LOOKUP($J42,[1]!CMI[[#All],[CÓDIGO DE INDICADOR]],[1]!CMI[[#All],[ProgramadoAcumulado_2]]),IF(AND(YEAR($M42)=2017,MONTH($M42)&lt;=6),LOOKUP($J42,[1]!CMI[[#All],[CÓDIGO DE INDICADOR]],[1]!CMI[[#All],[ProgramadoAcumulado_3]]),IF(AND(YEAR($M42)=2017,MONTH($M42)&lt;=9),LOOKUP($J42,[1]!CMI[[#All],[CÓDIGO DE INDICADOR]],[1]!CMI[[#All],[ProgramadoAcumulado_4]]),IF(AND(YEAR($M42)=2017,MONTH($M42)&lt;=12),LOOKUP($J42,[1]!CMI[[#All],[CÓDIGO DE INDICADOR]],[1]!CMI[[#All],[ProgramadoAcumulado_5]]),IF(AND(YEAR($M42)=2018,MONTH($M42)&lt;=3),LOOKUP($J42,[1]!CMI[[#All],[CÓDIGO DE INDICADOR]],[1]!CMI[[#All],[ProgramadoAcumulado_6]]),IF(AND(YEAR($M42)=2018,MONTH($M42)&lt;=6),LOOKUP($J42,[1]!CMI[[#All],[CÓDIGO DE INDICADOR]],[1]!CMI[[#All],[ProgramadoAcumulado_7]]),IF(AND(YEAR($M42)=2018,MONTH($M42)&lt;=9),LOOKUP($J42,[1]!CMI[[#All],[CÓDIGO DE INDICADOR]],[1]!CMI[[#All],[ProgramadoAcumulado_8]]),IF(AND(YEAR($M42)=2018,MONTH($M42)&lt;=12),LOOKUP($J42,[1]!CMI[[#All],[CÓDIGO DE INDICADOR]],[1]!CMI[[#All],[ProgramadoAcumulado_9]]),IF(AND(YEAR($M42)=2019,MONTH($M42)&lt;=3),LOOKUP($J42,[1]!CMI[[#All],[CÓDIGO DE INDICADOR]],[1]!CMI[[#All],[ProgramadoAcumulado_10]]),IF(AND(YEAR($M42)=2019,MONTH($M42)&lt;=6),LOOKUP($J42,[1]!CMI[[#All],[CÓDIGO DE INDICADOR]],[1]!CMI[[#All],[ProgramadoAcumulado_11]]),IF(AND(YEAR($M42)=2019,MONTH($M42)&lt;=9),LOOKUP($J42,[1]!CMI[[#All],[CÓDIGO DE INDICADOR]],[1]!CMI[[#All],[ProgramadoAcumulado_12]]),IF(AND(YEAR($M42)=2019,MONTH($M42)&lt;=12),LOOKUP($J42,[1]!CMI[[#All],[CÓDIGO DE INDICADOR]],[1]!CMI[[#All],[ProgramadoAcumulado_13]]),IF(AND(YEAR($M42)=2020,MONTH($M42)&lt;=3),LOOKUP($J42,[1]!CMI[[#All],[CÓDIGO DE INDICADOR]],[1]!CMI[[#All],[ProgramadoAcumulado_14]]),IF(AND(YEAR($M42)=2020,MONTH($M42)&lt;=6),LOOKUP($J42,[1]!CMI[[#All],[CÓDIGO DE INDICADOR]],[1]!CMI[[#All],[ProgramadoAcumulado_15]]),IF(AND(YEAR($M42)=2020,MONTH($M42)&lt;=9),LOOKUP($J42,[1]!CMI[[#All],[CÓDIGO DE INDICADOR]],[1]!CMI[[#All],[ProgramadoAcumulado_16]]),IF(AND(YEAR($M42)=2020,MONTH($M42)&lt;=12),LOOKUP($J42,[1]!CMI[[#All],[CÓDIGO DE INDICADOR]],[1]!CMI[[#All],[ProgramadoAcumulado_17]]),"N.A")))))))))))))))))</f>
        <v>0</v>
      </c>
      <c r="BM42" s="51">
        <f>IF(YEAR($M42)=2016,LOOKUP($J42,[1]!CMI[[#All],[CÓDIGO DE INDICADOR]],[1]!CMI[[#All],[EjecuciónAcumulada_1]]),IF(AND(YEAR($M42)=2017,MONTH($M42)&lt;=3),LOOKUP($J42,[1]!CMI[[#All],[CÓDIGO DE INDICADOR]],[1]!CMI[[#All],[EjecuciónAcumulada_2]]),IF(AND(YEAR($M42)=2017,MONTH($M42)&lt;=6),LOOKUP($J42,[1]!CMI[[#All],[CÓDIGO DE INDICADOR]],[1]!CMI[[#All],[EjecuciónAcumulada_3]]),IF(AND(YEAR($M42)=2017,MONTH($M42)&lt;=9),LOOKUP($J42,[1]!CMI[[#All],[CÓDIGO DE INDICADOR]],[1]!CMI[[#All],[EjecuciónAcumulada_4]]),IF(AND(YEAR($M42)=2017,MONTH($M42)&lt;=12),LOOKUP($J42,[1]!CMI[[#All],[CÓDIGO DE INDICADOR]],[1]!CMI[[#All],[EjecuciónAcumulada_5]]),IF(AND(YEAR($M42)=2018,MONTH($M42)&lt;=3),LOOKUP($J42,[1]!CMI[[#All],[CÓDIGO DE INDICADOR]],[1]!CMI[[#All],[EjecuciónAcumulada_6]]),IF(AND(YEAR($M42)=2018,MONTH($M42)&lt;=6),LOOKUP($J42,[1]!CMI[[#All],[CÓDIGO DE INDICADOR]],[1]!CMI[[#All],[EjecuciónAcumulada_7]]),IF(AND(YEAR($M42)=2018,MONTH($M42)&lt;=9),LOOKUP($J42,[1]!CMI[[#All],[CÓDIGO DE INDICADOR]],[1]!CMI[[#All],[EjecuciónAcumulada_8]]),IF(AND(YEAR($M42)=2018,MONTH($M42)&lt;=12),LOOKUP($J42,[1]!CMI[[#All],[CÓDIGO DE INDICADOR]],[1]!CMI[[#All],[EjecuciónAcumulada_9]]),IF(AND(YEAR($M42)=2019,MONTH($M42)&lt;=3),LOOKUP($J42,[1]!CMI[[#All],[CÓDIGO DE INDICADOR]],[1]!CMI[[#All],[EjecuciónAcumulada_10]]),IF(AND(YEAR($M42)=2019,MONTH($M42)&lt;=6),LOOKUP($J42,[1]!CMI[[#All],[CÓDIGO DE INDICADOR]],[1]!CMI[[#All],[EjecuciónAcumulada_11]]),IF(AND(YEAR($M42)=2019,MONTH($M42)&lt;=9),LOOKUP($J42,[1]!CMI[[#All],[CÓDIGO DE INDICADOR]],[1]!CMI[[#All],[EjecuciónAcumulada_12]]),IF(AND(YEAR($M42)=2019,MONTH($M42)&lt;=12),LOOKUP($J42,[1]!CMI[[#All],[CÓDIGO DE INDICADOR]],[1]!CMI[[#All],[EjecuciónAcumulada_13]]),IF(AND(YEAR($M42)=2020,MONTH($M42)&lt;=3),LOOKUP($J42,[1]!CMI[[#All],[CÓDIGO DE INDICADOR]],[1]!CMI[[#All],[EjecuciónAcumulada_14]]),IF(AND(YEAR($M42)=2020,MONTH($M42)&lt;=6),LOOKUP($J42,[1]!CMI[[#All],[CÓDIGO DE INDICADOR]],[1]!CMI[[#All],[EjecuciónAcumulada_15]]),IF(AND(YEAR($M42)=2020,MONTH($M42)&lt;=9),LOOKUP($J42,[1]!CMI[[#All],[CÓDIGO DE INDICADOR]],[1]!CMI[[#All],[EjecuciónAcumulada_16]]),IF(AND(YEAR($M42)=2020,MONTH($M42)&lt;=12),LOOKUP($J42,[1]!CMI[[#All],[CÓDIGO DE INDICADOR]],[1]!CMI[[#All],[EjecuciónAcumulada_17]]),"N.A")))))))))))))))))</f>
        <v>0</v>
      </c>
      <c r="BN42" s="17" t="str">
        <f t="shared" si="7"/>
        <v>N.A.</v>
      </c>
      <c r="BO42" s="51">
        <f t="shared" si="15"/>
        <v>1</v>
      </c>
      <c r="BP42" s="68">
        <f t="shared" si="8"/>
        <v>0</v>
      </c>
    </row>
    <row r="43" spans="2:68" ht="228" customHeight="1">
      <c r="B43" s="132" t="s">
        <v>194</v>
      </c>
      <c r="C43" s="10" t="s">
        <v>203</v>
      </c>
      <c r="D43" s="11" t="str">
        <f>LOOKUP($J43,[1]!CMI[[#All],[CÓDIGO DE INDICADOR]],[1]!CMI[[#All],[NOMBRE DEL INDICADOR]])</f>
        <v>Avance en la formulación de una estrategia de rendición de cuentas</v>
      </c>
      <c r="E43" s="11" t="str">
        <f>LOOKUP($J43,[1]!CMI[[#All],[CÓDIGO DE INDICADOR]],[1]!CMI[[#All],[FÓRMULA DE CÁLCULO]])</f>
        <v>Avance en la formulación de una estrategia de rendición de cuentas</v>
      </c>
      <c r="F43" s="49">
        <f>LOOKUP($J43,[1]!CMI[[#All],[CÓDIGO DE INDICADOR]],[1]!CMI[[#All],[VALOR PROGRAMADO TOTAL]])</f>
        <v>1</v>
      </c>
      <c r="G43" s="10" t="s">
        <v>198</v>
      </c>
      <c r="H43" s="10" t="s">
        <v>199</v>
      </c>
      <c r="I43" s="11" t="str">
        <f>LOOKUP($J43,[1]!CMI[[#All],[CÓDIGO DE INDICADOR]],[1]!CMI[[#All],[DEPENDENCIA]])</f>
        <v>Dirección de Planeación</v>
      </c>
      <c r="J43" s="13" t="s">
        <v>204</v>
      </c>
      <c r="K43" s="11" t="str">
        <f>LOOKUP($J43,[1]!CMI[[#All],[CÓDIGO DE INDICADOR]],[1]!CMI[[#All],[CÁLCULO VALOR PROGRAMADO ACUMULADO]])</f>
        <v>Sumatoria</v>
      </c>
      <c r="L43" s="11" t="str">
        <f>LOOKUP($J43,[1]!CMI[[#All],[CÓDIGO DE INDICADOR]],[1]!CMI[[#All],[TENDENCIA DECRECIENTE]])</f>
        <v>No</v>
      </c>
      <c r="M43" s="14">
        <f>LOOKUP($J43,[1]!CMI[[#All],[CÓDIGO DE INDICADOR]],[1]!CMI[[#All],[FECHA DE CORTE]])</f>
        <v>43280</v>
      </c>
      <c r="N43" s="49">
        <v>0</v>
      </c>
      <c r="O43" s="49">
        <v>0</v>
      </c>
      <c r="P43" s="49">
        <v>0</v>
      </c>
      <c r="Q43" s="50">
        <v>0</v>
      </c>
      <c r="R43" s="50">
        <v>0</v>
      </c>
      <c r="S43" s="50">
        <v>0</v>
      </c>
      <c r="T43" s="50">
        <f>LOOKUP($J43,[1]!CMI[[#All],[CÓDIGO DE INDICADOR]],[1]!CMI[[#All],[Programado_1]])</f>
        <v>0</v>
      </c>
      <c r="U43" s="50">
        <f>IF(LOOKUP($J43,[1]!CMI[[#All],[CÓDIGO DE INDICADOR]],[1]!CMI[[#All],[Ejecutado_1]])="-",0,LOOKUP($J43,[1]!CMI[[#All],[CÓDIGO DE INDICADOR]],[1]!CMI[[#All],[Ejecutado_1]]))</f>
        <v>0</v>
      </c>
      <c r="V43" s="51">
        <f t="shared" si="9"/>
        <v>0</v>
      </c>
      <c r="W43" s="51">
        <f t="shared" si="10"/>
        <v>0</v>
      </c>
      <c r="X43" s="49">
        <f>LOOKUP($J43,[1]!CMI[[#All],[CÓDIGO DE INDICADOR]],[1]!CMI[[#All],[Programado_2]])</f>
        <v>0</v>
      </c>
      <c r="Y43" s="49">
        <f>IF(LOOKUP($J43,[1]!CMI[[#All],[CÓDIGO DE INDICADOR]],[1]!CMI[[#All],[Ejecutado_2]])="-",0,LOOKUP($J43,[1]!CMI[[#All],[CÓDIGO DE INDICADOR]],[1]!CMI[[#All],[Ejecutado_2]]))</f>
        <v>0</v>
      </c>
      <c r="Z43" s="49">
        <f>LOOKUP($J43,[1]!CMI[[#All],[CÓDIGO DE INDICADOR]],[1]!CMI[[#All],[Programado_3]])</f>
        <v>0</v>
      </c>
      <c r="AA43" s="50">
        <f>IF(LOOKUP($J43,[1]!CMI[[#All],[CÓDIGO DE INDICADOR]],[1]!CMI[[#All],[Ejecutado_3]])="-",0,LOOKUP($J43,[1]!CMI[[#All],[CÓDIGO DE INDICADOR]],[1]!CMI[[#All],[Ejecutado_3]]))</f>
        <v>0</v>
      </c>
      <c r="AB43" s="50">
        <f>LOOKUP($J43,[1]!CMI[[#All],[CÓDIGO DE INDICADOR]],[1]!CMI[[#All],[Programado_4]])</f>
        <v>0</v>
      </c>
      <c r="AC43" s="50">
        <f>IF(LOOKUP($J43,[1]!CMI[[#All],[CÓDIGO DE INDICADOR]],[1]!CMI[[#All],[Ejecutado_4]])="-",0,LOOKUP($J43,[1]!CMI[[#All],[CÓDIGO DE INDICADOR]],[1]!CMI[[#All],[Ejecutado_4]]))</f>
        <v>0</v>
      </c>
      <c r="AD43" s="50">
        <f>LOOKUP($J43,[1]!CMI[[#All],[CÓDIGO DE INDICADOR]],[1]!CMI[[#All],[Programado_5]])</f>
        <v>0</v>
      </c>
      <c r="AE43" s="50">
        <f>IF(LOOKUP($J43,[1]!CMI[[#All],[CÓDIGO DE INDICADOR]],[1]!CMI[[#All],[Ejecutado_5]])="-",0,LOOKUP($J43,[1]!CMI[[#All],[CÓDIGO DE INDICADOR]],[1]!CMI[[#All],[Ejecutado_5]]))</f>
        <v>0</v>
      </c>
      <c r="AF43" s="51">
        <f t="shared" si="11"/>
        <v>0</v>
      </c>
      <c r="AG43" s="51">
        <f>IF(OR(LOOKUP($J43,[1]!CMI[[#All],[CÓDIGO DE INDICADOR]],[1]!CMI[[#All],[TIPO DE FÓRMULA]])="Valor absoluto",LOOKUP($J43,[1]!CMI[[#All],[CÓDIGO DE INDICADOR]],[1]!CMI[[#All],[TIPO DE FÓRMULA]])="Suma"),Y43+AA43+AC43+AE43,IF(OR(LOOKUP($J43,[1]!CMI[[#All],[CÓDIGO DE INDICADOR]],[1]!CMI[[#All],[TIPO DE FÓRMULA]])="Porcentaje",LOOKUP($J43,[1]!CMI[[#All],[CÓDIGO DE INDICADOR]],[1]!CMI[[#All],[TIPO DE FÓRMULA]])="División"),IF(LOOKUP($J43,[1]!CMI[[#All],[CÓDIGO DE INDICADOR]],[1]!CMI[[#All],[Variable2_2]])+LOOKUP($J43,[1]!CMI[[#All],[CÓDIGO DE INDICADOR]],[1]!CMI[[#All],[Variable2_3]])+LOOKUP($J43,[1]!CMI[[#All],[CÓDIGO DE INDICADOR]],[1]!CMI[[#All],[Variable2_4]])+LOOKUP($J43,[1]!CMI[[#All],[CÓDIGO DE INDICADOR]],[1]!CMI[[#All],[Variable2_5]])=0,0,(LOOKUP($J43,[1]!CMI[[#All],[CÓDIGO DE INDICADOR]],[1]!CMI[[#All],[Variable1_2]])+LOOKUP($J43,[1]!CMI[[#All],[CÓDIGO DE INDICADOR]],[1]!CMI[[#All],[Variable1_3]])+LOOKUP($J43,[1]!CMI[[#All],[CÓDIGO DE INDICADOR]],[1]!CMI[[#All],[Variable1_4]])+LOOKUP($J43,[1]!CMI[[#All],[CÓDIGO DE INDICADOR]],[1]!CMI[[#All],[Variable1_5]]))/(LOOKUP($J43,[1]!CMI[[#All],[CÓDIGO DE INDICADOR]],[1]!CMI[[#All],[Variable2_2]])+LOOKUP($J43,[1]!CMI[[#All],[CÓDIGO DE INDICADOR]],[1]!CMI[[#All],[Variable2_3]])+LOOKUP($J43,[1]!CMI[[#All],[CÓDIGO DE INDICADOR]],[1]!CMI[[#All],[Variable2_4]])+LOOKUP($J43,[1]!CMI[[#All],[CÓDIGO DE INDICADOR]],[1]!CMI[[#All],[Variable2_5]]))),IF(LOOKUP($J43,[1]!CMI[[#All],[CÓDIGO DE INDICADOR]],[1]!CMI[[#All],[TIPO DE FÓRMULA]])="Tasa de variación",LOOKUP($J43,[1]!CMI[[#All],[CÓDIGO DE INDICADOR]],[1]!CMI[[#All],[EjecuciónAcumulada_5]]),0)))</f>
        <v>0</v>
      </c>
      <c r="AH43" s="49">
        <f>LOOKUP($J43,[1]!CMI[[#All],[CÓDIGO DE INDICADOR]],[1]!CMI[[#All],[Programado_6]])</f>
        <v>0</v>
      </c>
      <c r="AI43" s="49">
        <f>IF(LOOKUP($J43,[1]!CMI[[#All],[CÓDIGO DE INDICADOR]],[1]!CMI[[#All],[Ejecutado_6]])="-",0,LOOKUP($J43,[1]!CMI[[#All],[CÓDIGO DE INDICADOR]],[1]!CMI[[#All],[Ejecutado_6]]))</f>
        <v>0</v>
      </c>
      <c r="AJ43" s="49">
        <f>LOOKUP($J43,[1]!CMI[[#All],[CÓDIGO DE INDICADOR]],[1]!CMI[[#All],[Programado_7]])</f>
        <v>0.33333333333333331</v>
      </c>
      <c r="AK43" s="50">
        <f>IF(LOOKUP($J43,[1]!CMI[[#All],[CÓDIGO DE INDICADOR]],[1]!CMI[[#All],[Ejecutado_7]])="-",0,LOOKUP($J43,[1]!CMI[[#All],[CÓDIGO DE INDICADOR]],[1]!CMI[[#All],[Ejecutado_7]]))</f>
        <v>0.33</v>
      </c>
      <c r="AL43" s="50">
        <f>LOOKUP($J43,[1]!CMI[[#All],[CÓDIGO DE INDICADOR]],[1]!CMI[[#All],[Programado_8]])</f>
        <v>0</v>
      </c>
      <c r="AM43" s="50">
        <f>IF(LOOKUP($J43,[1]!CMI[[#All],[CÓDIGO DE INDICADOR]],[1]!CMI[[#All],[Ejecutado_8]])="-",0,LOOKUP($J43,[1]!CMI[[#All],[CÓDIGO DE INDICADOR]],[1]!CMI[[#All],[Ejecutado_8]]))</f>
        <v>0</v>
      </c>
      <c r="AN43" s="50">
        <f>LOOKUP($J43,[1]!CMI[[#All],[CÓDIGO DE INDICADOR]],[1]!CMI[[#All],[Programado_9]])</f>
        <v>0.33333333333333331</v>
      </c>
      <c r="AO43" s="50">
        <f>IF(LOOKUP($J43,[1]!CMI[[#All],[CÓDIGO DE INDICADOR]],[1]!CMI[[#All],[Ejecutado_9]])="-",0,LOOKUP($J43,[1]!CMI[[#All],[CÓDIGO DE INDICADOR]],[1]!CMI[[#All],[Ejecutado_9]]))</f>
        <v>0</v>
      </c>
      <c r="AP43" s="51">
        <f t="shared" si="12"/>
        <v>0.66666666666666663</v>
      </c>
      <c r="AQ43" s="51">
        <f>IF(OR(LOOKUP($J43,[1]!CMI[[#All],[CÓDIGO DE INDICADOR]],[1]!CMI[[#All],[TIPO DE FÓRMULA]])="Valor absoluto",LOOKUP($J43,[1]!CMI[[#All],[CÓDIGO DE INDICADOR]],[1]!CMI[[#All],[TIPO DE FÓRMULA]])="Suma"),AI43+AK43+AM43+AO43,IF(OR(LOOKUP($J43,[1]!CMI[[#All],[CÓDIGO DE INDICADOR]],[1]!CMI[[#All],[TIPO DE FÓRMULA]])="Porcentaje",LOOKUP($J43,[1]!CMI[[#All],[CÓDIGO DE INDICADOR]],[1]!CMI[[#All],[TIPO DE FÓRMULA]])="División"),IF(LOOKUP($J43,[1]!CMI[[#All],[CÓDIGO DE INDICADOR]],[1]!CMI[[#All],[Variable2_6]])+LOOKUP($J43,[1]!CMI[[#All],[CÓDIGO DE INDICADOR]],[1]!CMI[[#All],[Variable2_7]])+LOOKUP($J43,[1]!CMI[[#All],[CÓDIGO DE INDICADOR]],[1]!CMI[[#All],[Variable2_8]])+LOOKUP($J43,[1]!CMI[[#All],[CÓDIGO DE INDICADOR]],[1]!CMI[[#All],[Variable2_9]])=0,0,(LOOKUP($J43,[1]!CMI[[#All],[CÓDIGO DE INDICADOR]],[1]!CMI[[#All],[Variable1_6]])+LOOKUP($J43,[1]!CMI[[#All],[CÓDIGO DE INDICADOR]],[1]!CMI[[#All],[Variable1_7]])+LOOKUP($J43,[1]!CMI[[#All],[CÓDIGO DE INDICADOR]],[1]!CMI[[#All],[Variable1_8]])+LOOKUP($J43,[1]!CMI[[#All],[CÓDIGO DE INDICADOR]],[1]!CMI[[#All],[Variable1_9]]))/(LOOKUP($J43,[1]!CMI[[#All],[CÓDIGO DE INDICADOR]],[1]!CMI[[#All],[Variable2_6]])+LOOKUP($J43,[1]!CMI[[#All],[CÓDIGO DE INDICADOR]],[1]!CMI[[#All],[Variable2_7]])+LOOKUP($J43,[1]!CMI[[#All],[CÓDIGO DE INDICADOR]],[1]!CMI[[#All],[Variable2_8]])+LOOKUP($J43,[1]!CMI[[#All],[CÓDIGO DE INDICADOR]],[1]!CMI[[#All],[Variable2_9]]))),IF(LOOKUP($J43,[1]!CMI[[#All],[CÓDIGO DE INDICADOR]],[1]!CMI[[#All],[TIPO DE FÓRMULA]])="Tasa de variación",LOOKUP($J43,[1]!CMI[[#All],[CÓDIGO DE INDICADOR]],[1]!CMI[[#All],[EjecuciónAcumulada_9]]),0)))</f>
        <v>0.33</v>
      </c>
      <c r="AR43" s="49">
        <f>LOOKUP($J43,[1]!CMI[[#All],[CÓDIGO DE INDICADOR]],[1]!CMI[[#All],[Programado_10]])</f>
        <v>0</v>
      </c>
      <c r="AS43" s="49">
        <f>IF(LOOKUP($J43,[1]!CMI[[#All],[CÓDIGO DE INDICADOR]],[1]!CMI[[#All],[Ejecutado_10]])="-",0,LOOKUP($J43,[1]!CMI[[#All],[CÓDIGO DE INDICADOR]],[1]!CMI[[#All],[Ejecutado_10]]))</f>
        <v>0</v>
      </c>
      <c r="AT43" s="49">
        <f>LOOKUP($J43,[1]!CMI[[#All],[CÓDIGO DE INDICADOR]],[1]!CMI[[#All],[Programado_11]])</f>
        <v>0.33333333333333331</v>
      </c>
      <c r="AU43" s="50">
        <f>IF(LOOKUP($J43,[1]!CMI[[#All],[CÓDIGO DE INDICADOR]],[1]!CMI[[#All],[Ejecutado_11]])="-",0,LOOKUP($J43,[1]!CMI[[#All],[CÓDIGO DE INDICADOR]],[1]!CMI[[#All],[Ejecutado_11]]))</f>
        <v>0</v>
      </c>
      <c r="AV43" s="50">
        <f>LOOKUP($J43,[1]!CMI[[#All],[CÓDIGO DE INDICADOR]],[1]!CMI[[#All],[Programado_12]])</f>
        <v>0</v>
      </c>
      <c r="AW43" s="50">
        <f>IF(LOOKUP($J43,[1]!CMI[[#All],[CÓDIGO DE INDICADOR]],[1]!CMI[[#All],[Ejecutado_12]])="-",0,LOOKUP($J43,[1]!CMI[[#All],[CÓDIGO DE INDICADOR]],[1]!CMI[[#All],[Ejecutado_12]]))</f>
        <v>0</v>
      </c>
      <c r="AX43" s="50">
        <f>LOOKUP($J43,[1]!CMI[[#All],[CÓDIGO DE INDICADOR]],[1]!CMI[[#All],[Programado_13]])</f>
        <v>0</v>
      </c>
      <c r="AY43" s="50">
        <f>IF(LOOKUP($J43,[1]!CMI[[#All],[CÓDIGO DE INDICADOR]],[1]!CMI[[#All],[Ejecutado_13]])="-",0,LOOKUP($J43,[1]!CMI[[#All],[CÓDIGO DE INDICADOR]],[1]!CMI[[#All],[Ejecutado_13]]))</f>
        <v>0</v>
      </c>
      <c r="AZ43" s="51">
        <f t="shared" si="13"/>
        <v>0.33333333333333331</v>
      </c>
      <c r="BA43" s="51">
        <f>IF(OR(LOOKUP($J43,[1]!CMI[[#All],[CÓDIGO DE INDICADOR]],[1]!CMI[[#All],[TIPO DE FÓRMULA]])="Valor absoluto",LOOKUP($J43,[1]!CMI[[#All],[CÓDIGO DE INDICADOR]],[1]!CMI[[#All],[TIPO DE FÓRMULA]])="Suma"),AS43+AU43+AW43+AY43,IF(OR(LOOKUP($J43,[1]!CMI[[#All],[CÓDIGO DE INDICADOR]],[1]!CMI[[#All],[TIPO DE FÓRMULA]])="Porcentaje",LOOKUP($J43,[1]!CMI[[#All],[CÓDIGO DE INDICADOR]],[1]!CMI[[#All],[TIPO DE FÓRMULA]])="División"),IF(LOOKUP($J43,[1]!CMI[[#All],[CÓDIGO DE INDICADOR]],[1]!CMI[[#All],[Variable2_10]])+LOOKUP($J43,[1]!CMI[[#All],[CÓDIGO DE INDICADOR]],[1]!CMI[[#All],[Variable2_11]])+LOOKUP($J43,[1]!CMI[[#All],[CÓDIGO DE INDICADOR]],[1]!CMI[[#All],[Variable2_12]])+LOOKUP($J43,[1]!CMI[[#All],[CÓDIGO DE INDICADOR]],[1]!CMI[[#All],[Variable2_13]])=0,0,(LOOKUP($J43,[1]!CMI[[#All],[CÓDIGO DE INDICADOR]],[1]!CMI[[#All],[Variable1_10]])+LOOKUP($J43,[1]!CMI[[#All],[CÓDIGO DE INDICADOR]],[1]!CMI[[#All],[Variable1_11]])+LOOKUP($J43,[1]!CMI[[#All],[CÓDIGO DE INDICADOR]],[1]!CMI[[#All],[Variable1_12]])+LOOKUP($J43,[1]!CMI[[#All],[CÓDIGO DE INDICADOR]],[1]!CMI[[#All],[Variable1_13]]))/(LOOKUP($J43,[1]!CMI[[#All],[CÓDIGO DE INDICADOR]],[1]!CMI[[#All],[Variable2_10]])+LOOKUP($J43,[1]!CMI[[#All],[CÓDIGO DE INDICADOR]],[1]!CMI[[#All],[Variable2_11]])+LOOKUP($J43,[1]!CMI[[#All],[CÓDIGO DE INDICADOR]],[1]!CMI[[#All],[Variable2_12]])+LOOKUP($J43,[1]!CMI[[#All],[CÓDIGO DE INDICADOR]],[1]!CMI[[#All],[Variable2_13]]))),IF(LOOKUP($J43,[1]!CMI[[#All],[CÓDIGO DE INDICADOR]],[1]!CMI[[#All],[TIPO DE FÓRMULA]])="Tasa de variación",LOOKUP($J43,[1]!CMI[[#All],[CÓDIGO DE INDICADOR]],[1]!CMI[[#All],[EjecuciónAcumulada_13]]),0)))</f>
        <v>0</v>
      </c>
      <c r="BB43" s="49">
        <f>LOOKUP($J43,[1]!CMI[[#All],[CÓDIGO DE INDICADOR]],[1]!CMI[[#All],[Programado_14]])</f>
        <v>0</v>
      </c>
      <c r="BC43" s="49">
        <f>IF(LOOKUP($J43,[1]!CMI[[#All],[CÓDIGO DE INDICADOR]],[1]!CMI[[#All],[Ejecutado_14]])="-",0,LOOKUP($J43,[1]!CMI[[#All],[CÓDIGO DE INDICADOR]],[1]!CMI[[#All],[Ejecutado_14]]))</f>
        <v>0</v>
      </c>
      <c r="BD43" s="49">
        <f>LOOKUP($J43,[1]!CMI[[#All],[CÓDIGO DE INDICADOR]],[1]!CMI[[#All],[Programado_15]])</f>
        <v>0</v>
      </c>
      <c r="BE43" s="50">
        <f>IF(LOOKUP($J43,[1]!CMI[[#All],[CÓDIGO DE INDICADOR]],[1]!CMI[[#All],[Ejecutado_15]])="-",0,LOOKUP($J43,[1]!CMI[[#All],[CÓDIGO DE INDICADOR]],[1]!CMI[[#All],[Ejecutado_15]]))</f>
        <v>0</v>
      </c>
      <c r="BF43" s="50">
        <f>LOOKUP($J43,[1]!CMI[[#All],[CÓDIGO DE INDICADOR]],[1]!CMI[[#All],[Programado_16]])</f>
        <v>0</v>
      </c>
      <c r="BG43" s="50">
        <f>IF(LOOKUP($J43,[1]!CMI[[#All],[CÓDIGO DE INDICADOR]],[1]!CMI[[#All],[Ejecutado_16]])="-",0,LOOKUP($J43,[1]!CMI[[#All],[CÓDIGO DE INDICADOR]],[1]!CMI[[#All],[Ejecutado_16]]))</f>
        <v>0</v>
      </c>
      <c r="BH43" s="50">
        <f>LOOKUP($J43,[1]!CMI[[#All],[CÓDIGO DE INDICADOR]],[1]!CMI[[#All],[Programado_17]])</f>
        <v>0</v>
      </c>
      <c r="BI43" s="50">
        <f>IF(LOOKUP($J43,[1]!CMI[[#All],[CÓDIGO DE INDICADOR]],[1]!CMI[[#All],[Ejecutado_17]])="-",0,LOOKUP($J43,[1]!CMI[[#All],[CÓDIGO DE INDICADOR]],[1]!CMI[[#All],[Ejecutado_17]]))</f>
        <v>0</v>
      </c>
      <c r="BJ43" s="51">
        <f t="shared" si="14"/>
        <v>0</v>
      </c>
      <c r="BK43" s="51">
        <f>IF(OR(LOOKUP($J43,[1]!CMI[[#All],[CÓDIGO DE INDICADOR]],[1]!CMI[[#All],[TIPO DE FÓRMULA]])="Valor absoluto",LOOKUP($J43,[1]!CMI[[#All],[CÓDIGO DE INDICADOR]],[1]!CMI[[#All],[TIPO DE FÓRMULA]])="Suma"),BC43+BE43+BG43+BI43,IF(OR(LOOKUP($J43,[1]!CMI[[#All],[CÓDIGO DE INDICADOR]],[1]!CMI[[#All],[TIPO DE FÓRMULA]])="Porcentaje",LOOKUP($J43,[1]!CMI[[#All],[CÓDIGO DE INDICADOR]],[1]!CMI[[#All],[TIPO DE FÓRMULA]])="División"),IF(LOOKUP($J43,[1]!CMI[[#All],[CÓDIGO DE INDICADOR]],[1]!CMI[[#All],[Variable2_14]])+LOOKUP($J43,[1]!CMI[[#All],[CÓDIGO DE INDICADOR]],[1]!CMI[[#All],[Variable2_15]])+LOOKUP($J43,[1]!CMI[[#All],[CÓDIGO DE INDICADOR]],[1]!CMI[[#All],[Variable2_16]])+LOOKUP($J43,[1]!CMI[[#All],[CÓDIGO DE INDICADOR]],[1]!CMI[[#All],[Variable2_17]])=0,0,(LOOKUP($J43,[1]!CMI[[#All],[CÓDIGO DE INDICADOR]],[1]!CMI[[#All],[Variable1_14]])+LOOKUP($J43,[1]!CMI[[#All],[CÓDIGO DE INDICADOR]],[1]!CMI[[#All],[Variable1_15]])+LOOKUP($J43,[1]!CMI[[#All],[CÓDIGO DE INDICADOR]],[1]!CMI[[#All],[Variable1_16]])+LOOKUP($J43,[1]!CMI[[#All],[CÓDIGO DE INDICADOR]],[1]!CMI[[#All],[Variable1_17]]))/(LOOKUP($J43,[1]!CMI[[#All],[CÓDIGO DE INDICADOR]],[1]!CMI[[#All],[Variable2_14]])+LOOKUP($J43,[1]!CMI[[#All],[CÓDIGO DE INDICADOR]],[1]!CMI[[#All],[Variable2_15]])+LOOKUP($J43,[1]!CMI[[#All],[CÓDIGO DE INDICADOR]],[1]!CMI[[#All],[Variable2_16]])+LOOKUP($J43,[1]!CMI[[#All],[CÓDIGO DE INDICADOR]],[1]!CMI[[#All],[Variable2_17]]))),IF(LOOKUP($J43,[1]!CMI[[#All],[CÓDIGO DE INDICADOR]],[1]!CMI[[#All],[TIPO DE FÓRMULA]])="Tasa de variación",LOOKUP($J43,[1]!CMI[[#All],[CÓDIGO DE INDICADOR]],[1]!CMI[[#All],[EjecuciónAcumulada_17]]),0)))</f>
        <v>0</v>
      </c>
      <c r="BL43" s="51">
        <f>IF(YEAR($M43)=2016,LOOKUP($J43,[1]!CMI[[#All],[CÓDIGO DE INDICADOR]],[1]!CMI[[#All],[ProgramadoAcumulado_1]]),IF(AND(YEAR($M43)=2017,MONTH($M43)&lt;=3),LOOKUP($J43,[1]!CMI[[#All],[CÓDIGO DE INDICADOR]],[1]!CMI[[#All],[ProgramadoAcumulado_2]]),IF(AND(YEAR($M43)=2017,MONTH($M43)&lt;=6),LOOKUP($J43,[1]!CMI[[#All],[CÓDIGO DE INDICADOR]],[1]!CMI[[#All],[ProgramadoAcumulado_3]]),IF(AND(YEAR($M43)=2017,MONTH($M43)&lt;=9),LOOKUP($J43,[1]!CMI[[#All],[CÓDIGO DE INDICADOR]],[1]!CMI[[#All],[ProgramadoAcumulado_4]]),IF(AND(YEAR($M43)=2017,MONTH($M43)&lt;=12),LOOKUP($J43,[1]!CMI[[#All],[CÓDIGO DE INDICADOR]],[1]!CMI[[#All],[ProgramadoAcumulado_5]]),IF(AND(YEAR($M43)=2018,MONTH($M43)&lt;=3),LOOKUP($J43,[1]!CMI[[#All],[CÓDIGO DE INDICADOR]],[1]!CMI[[#All],[ProgramadoAcumulado_6]]),IF(AND(YEAR($M43)=2018,MONTH($M43)&lt;=6),LOOKUP($J43,[1]!CMI[[#All],[CÓDIGO DE INDICADOR]],[1]!CMI[[#All],[ProgramadoAcumulado_7]]),IF(AND(YEAR($M43)=2018,MONTH($M43)&lt;=9),LOOKUP($J43,[1]!CMI[[#All],[CÓDIGO DE INDICADOR]],[1]!CMI[[#All],[ProgramadoAcumulado_8]]),IF(AND(YEAR($M43)=2018,MONTH($M43)&lt;=12),LOOKUP($J43,[1]!CMI[[#All],[CÓDIGO DE INDICADOR]],[1]!CMI[[#All],[ProgramadoAcumulado_9]]),IF(AND(YEAR($M43)=2019,MONTH($M43)&lt;=3),LOOKUP($J43,[1]!CMI[[#All],[CÓDIGO DE INDICADOR]],[1]!CMI[[#All],[ProgramadoAcumulado_10]]),IF(AND(YEAR($M43)=2019,MONTH($M43)&lt;=6),LOOKUP($J43,[1]!CMI[[#All],[CÓDIGO DE INDICADOR]],[1]!CMI[[#All],[ProgramadoAcumulado_11]]),IF(AND(YEAR($M43)=2019,MONTH($M43)&lt;=9),LOOKUP($J43,[1]!CMI[[#All],[CÓDIGO DE INDICADOR]],[1]!CMI[[#All],[ProgramadoAcumulado_12]]),IF(AND(YEAR($M43)=2019,MONTH($M43)&lt;=12),LOOKUP($J43,[1]!CMI[[#All],[CÓDIGO DE INDICADOR]],[1]!CMI[[#All],[ProgramadoAcumulado_13]]),IF(AND(YEAR($M43)=2020,MONTH($M43)&lt;=3),LOOKUP($J43,[1]!CMI[[#All],[CÓDIGO DE INDICADOR]],[1]!CMI[[#All],[ProgramadoAcumulado_14]]),IF(AND(YEAR($M43)=2020,MONTH($M43)&lt;=6),LOOKUP($J43,[1]!CMI[[#All],[CÓDIGO DE INDICADOR]],[1]!CMI[[#All],[ProgramadoAcumulado_15]]),IF(AND(YEAR($M43)=2020,MONTH($M43)&lt;=9),LOOKUP($J43,[1]!CMI[[#All],[CÓDIGO DE INDICADOR]],[1]!CMI[[#All],[ProgramadoAcumulado_16]]),IF(AND(YEAR($M43)=2020,MONTH($M43)&lt;=12),LOOKUP($J43,[1]!CMI[[#All],[CÓDIGO DE INDICADOR]],[1]!CMI[[#All],[ProgramadoAcumulado_17]]),"N.A")))))))))))))))))</f>
        <v>0.33333333333333331</v>
      </c>
      <c r="BM43" s="51">
        <f>IF(YEAR($M43)=2016,LOOKUP($J43,[1]!CMI[[#All],[CÓDIGO DE INDICADOR]],[1]!CMI[[#All],[EjecuciónAcumulada_1]]),IF(AND(YEAR($M43)=2017,MONTH($M43)&lt;=3),LOOKUP($J43,[1]!CMI[[#All],[CÓDIGO DE INDICADOR]],[1]!CMI[[#All],[EjecuciónAcumulada_2]]),IF(AND(YEAR($M43)=2017,MONTH($M43)&lt;=6),LOOKUP($J43,[1]!CMI[[#All],[CÓDIGO DE INDICADOR]],[1]!CMI[[#All],[EjecuciónAcumulada_3]]),IF(AND(YEAR($M43)=2017,MONTH($M43)&lt;=9),LOOKUP($J43,[1]!CMI[[#All],[CÓDIGO DE INDICADOR]],[1]!CMI[[#All],[EjecuciónAcumulada_4]]),IF(AND(YEAR($M43)=2017,MONTH($M43)&lt;=12),LOOKUP($J43,[1]!CMI[[#All],[CÓDIGO DE INDICADOR]],[1]!CMI[[#All],[EjecuciónAcumulada_5]]),IF(AND(YEAR($M43)=2018,MONTH($M43)&lt;=3),LOOKUP($J43,[1]!CMI[[#All],[CÓDIGO DE INDICADOR]],[1]!CMI[[#All],[EjecuciónAcumulada_6]]),IF(AND(YEAR($M43)=2018,MONTH($M43)&lt;=6),LOOKUP($J43,[1]!CMI[[#All],[CÓDIGO DE INDICADOR]],[1]!CMI[[#All],[EjecuciónAcumulada_7]]),IF(AND(YEAR($M43)=2018,MONTH($M43)&lt;=9),LOOKUP($J43,[1]!CMI[[#All],[CÓDIGO DE INDICADOR]],[1]!CMI[[#All],[EjecuciónAcumulada_8]]),IF(AND(YEAR($M43)=2018,MONTH($M43)&lt;=12),LOOKUP($J43,[1]!CMI[[#All],[CÓDIGO DE INDICADOR]],[1]!CMI[[#All],[EjecuciónAcumulada_9]]),IF(AND(YEAR($M43)=2019,MONTH($M43)&lt;=3),LOOKUP($J43,[1]!CMI[[#All],[CÓDIGO DE INDICADOR]],[1]!CMI[[#All],[EjecuciónAcumulada_10]]),IF(AND(YEAR($M43)=2019,MONTH($M43)&lt;=6),LOOKUP($J43,[1]!CMI[[#All],[CÓDIGO DE INDICADOR]],[1]!CMI[[#All],[EjecuciónAcumulada_11]]),IF(AND(YEAR($M43)=2019,MONTH($M43)&lt;=9),LOOKUP($J43,[1]!CMI[[#All],[CÓDIGO DE INDICADOR]],[1]!CMI[[#All],[EjecuciónAcumulada_12]]),IF(AND(YEAR($M43)=2019,MONTH($M43)&lt;=12),LOOKUP($J43,[1]!CMI[[#All],[CÓDIGO DE INDICADOR]],[1]!CMI[[#All],[EjecuciónAcumulada_13]]),IF(AND(YEAR($M43)=2020,MONTH($M43)&lt;=3),LOOKUP($J43,[1]!CMI[[#All],[CÓDIGO DE INDICADOR]],[1]!CMI[[#All],[EjecuciónAcumulada_14]]),IF(AND(YEAR($M43)=2020,MONTH($M43)&lt;=6),LOOKUP($J43,[1]!CMI[[#All],[CÓDIGO DE INDICADOR]],[1]!CMI[[#All],[EjecuciónAcumulada_15]]),IF(AND(YEAR($M43)=2020,MONTH($M43)&lt;=9),LOOKUP($J43,[1]!CMI[[#All],[CÓDIGO DE INDICADOR]],[1]!CMI[[#All],[EjecuciónAcumulada_16]]),IF(AND(YEAR($M43)=2020,MONTH($M43)&lt;=12),LOOKUP($J43,[1]!CMI[[#All],[CÓDIGO DE INDICADOR]],[1]!CMI[[#All],[EjecuciónAcumulada_17]]),"N.A")))))))))))))))))</f>
        <v>0.33</v>
      </c>
      <c r="BN43" s="17">
        <f t="shared" si="7"/>
        <v>0.9900000000000001</v>
      </c>
      <c r="BO43" s="51">
        <f t="shared" si="15"/>
        <v>1</v>
      </c>
      <c r="BP43" s="68">
        <f t="shared" si="8"/>
        <v>0.33</v>
      </c>
    </row>
    <row r="44" spans="2:68" ht="192.75" customHeight="1">
      <c r="B44" s="132"/>
      <c r="C44" s="10" t="s">
        <v>195</v>
      </c>
      <c r="D44" s="11" t="str">
        <f>LOOKUP($J44,[1]!CMI[[#All],[CÓDIGO DE INDICADOR]],[1]!CMI[[#All],[NOMBRE DEL INDICADOR]])</f>
        <v>Avance en la formulación del Plan Anticorrupción y de Atención al Ciudadano</v>
      </c>
      <c r="E44" s="11" t="str">
        <f>LOOKUP($J44,[1]!CMI[[#All],[CÓDIGO DE INDICADOR]],[1]!CMI[[#All],[FÓRMULA DE CÁLCULO]])</f>
        <v>Avance en la formulación del Plan Anticorrupción y de Atención al Ciudadano</v>
      </c>
      <c r="F44" s="49">
        <f>LOOKUP($J44,[1]!CMI[[#All],[CÓDIGO DE INDICADOR]],[1]!CMI[[#All],[VALOR PROGRAMADO TOTAL]])</f>
        <v>1</v>
      </c>
      <c r="G44" s="10" t="s">
        <v>200</v>
      </c>
      <c r="H44" s="53" t="s">
        <v>254</v>
      </c>
      <c r="I44" s="11" t="str">
        <f>LOOKUP($J44,[1]!CMI[[#All],[CÓDIGO DE INDICADOR]],[1]!CMI[[#All],[DEPENDENCIA]])</f>
        <v>Dirección de Planeación</v>
      </c>
      <c r="J44" s="13" t="s">
        <v>205</v>
      </c>
      <c r="K44" s="11" t="str">
        <f>LOOKUP($J44,[1]!CMI[[#All],[CÓDIGO DE INDICADOR]],[1]!CMI[[#All],[CÁLCULO VALOR PROGRAMADO ACUMULADO]])</f>
        <v>Sumatoria</v>
      </c>
      <c r="L44" s="11" t="str">
        <f>LOOKUP($J44,[1]!CMI[[#All],[CÓDIGO DE INDICADOR]],[1]!CMI[[#All],[TENDENCIA DECRECIENTE]])</f>
        <v>No</v>
      </c>
      <c r="M44" s="14">
        <f>LOOKUP($J44,[1]!CMI[[#All],[CÓDIGO DE INDICADOR]],[1]!CMI[[#All],[FECHA DE CORTE]])</f>
        <v>43280</v>
      </c>
      <c r="N44" s="49">
        <v>0</v>
      </c>
      <c r="O44" s="49">
        <v>0</v>
      </c>
      <c r="P44" s="49">
        <v>0</v>
      </c>
      <c r="Q44" s="50">
        <v>0</v>
      </c>
      <c r="R44" s="50">
        <v>0</v>
      </c>
      <c r="S44" s="50">
        <v>0</v>
      </c>
      <c r="T44" s="50">
        <f>LOOKUP($J44,[1]!CMI[[#All],[CÓDIGO DE INDICADOR]],[1]!CMI[[#All],[Programado_1]])</f>
        <v>0</v>
      </c>
      <c r="U44" s="50">
        <f>IF(LOOKUP($J44,[1]!CMI[[#All],[CÓDIGO DE INDICADOR]],[1]!CMI[[#All],[Ejecutado_1]])="-",0,LOOKUP($J44,[1]!CMI[[#All],[CÓDIGO DE INDICADOR]],[1]!CMI[[#All],[Ejecutado_1]]))</f>
        <v>0</v>
      </c>
      <c r="V44" s="51">
        <f t="shared" si="9"/>
        <v>0</v>
      </c>
      <c r="W44" s="51">
        <f t="shared" si="10"/>
        <v>0</v>
      </c>
      <c r="X44" s="49">
        <f>LOOKUP($J44,[1]!CMI[[#All],[CÓDIGO DE INDICADOR]],[1]!CMI[[#All],[Programado_2]])</f>
        <v>0</v>
      </c>
      <c r="Y44" s="49">
        <f>IF(LOOKUP($J44,[1]!CMI[[#All],[CÓDIGO DE INDICADOR]],[1]!CMI[[#All],[Ejecutado_2]])="-",0,LOOKUP($J44,[1]!CMI[[#All],[CÓDIGO DE INDICADOR]],[1]!CMI[[#All],[Ejecutado_2]]))</f>
        <v>0</v>
      </c>
      <c r="Z44" s="49">
        <f>LOOKUP($J44,[1]!CMI[[#All],[CÓDIGO DE INDICADOR]],[1]!CMI[[#All],[Programado_3]])</f>
        <v>0</v>
      </c>
      <c r="AA44" s="50">
        <f>IF(LOOKUP($J44,[1]!CMI[[#All],[CÓDIGO DE INDICADOR]],[1]!CMI[[#All],[Ejecutado_3]])="-",0,LOOKUP($J44,[1]!CMI[[#All],[CÓDIGO DE INDICADOR]],[1]!CMI[[#All],[Ejecutado_3]]))</f>
        <v>0</v>
      </c>
      <c r="AB44" s="50">
        <f>LOOKUP($J44,[1]!CMI[[#All],[CÓDIGO DE INDICADOR]],[1]!CMI[[#All],[Programado_4]])</f>
        <v>0</v>
      </c>
      <c r="AC44" s="50">
        <f>IF(LOOKUP($J44,[1]!CMI[[#All],[CÓDIGO DE INDICADOR]],[1]!CMI[[#All],[Ejecutado_4]])="-",0,LOOKUP($J44,[1]!CMI[[#All],[CÓDIGO DE INDICADOR]],[1]!CMI[[#All],[Ejecutado_4]]))</f>
        <v>0</v>
      </c>
      <c r="AD44" s="50">
        <f>LOOKUP($J44,[1]!CMI[[#All],[CÓDIGO DE INDICADOR]],[1]!CMI[[#All],[Programado_5]])</f>
        <v>0</v>
      </c>
      <c r="AE44" s="50">
        <f>IF(LOOKUP($J44,[1]!CMI[[#All],[CÓDIGO DE INDICADOR]],[1]!CMI[[#All],[Ejecutado_5]])="-",0,LOOKUP($J44,[1]!CMI[[#All],[CÓDIGO DE INDICADOR]],[1]!CMI[[#All],[Ejecutado_5]]))</f>
        <v>0</v>
      </c>
      <c r="AF44" s="51">
        <f t="shared" si="11"/>
        <v>0</v>
      </c>
      <c r="AG44" s="51">
        <f>IF(OR(LOOKUP($J44,[1]!CMI[[#All],[CÓDIGO DE INDICADOR]],[1]!CMI[[#All],[TIPO DE FÓRMULA]])="Valor absoluto",LOOKUP($J44,[1]!CMI[[#All],[CÓDIGO DE INDICADOR]],[1]!CMI[[#All],[TIPO DE FÓRMULA]])="Suma"),Y44+AA44+AC44+AE44,IF(OR(LOOKUP($J44,[1]!CMI[[#All],[CÓDIGO DE INDICADOR]],[1]!CMI[[#All],[TIPO DE FÓRMULA]])="Porcentaje",LOOKUP($J44,[1]!CMI[[#All],[CÓDIGO DE INDICADOR]],[1]!CMI[[#All],[TIPO DE FÓRMULA]])="División"),IF(LOOKUP($J44,[1]!CMI[[#All],[CÓDIGO DE INDICADOR]],[1]!CMI[[#All],[Variable2_2]])+LOOKUP($J44,[1]!CMI[[#All],[CÓDIGO DE INDICADOR]],[1]!CMI[[#All],[Variable2_3]])+LOOKUP($J44,[1]!CMI[[#All],[CÓDIGO DE INDICADOR]],[1]!CMI[[#All],[Variable2_4]])+LOOKUP($J44,[1]!CMI[[#All],[CÓDIGO DE INDICADOR]],[1]!CMI[[#All],[Variable2_5]])=0,0,(LOOKUP($J44,[1]!CMI[[#All],[CÓDIGO DE INDICADOR]],[1]!CMI[[#All],[Variable1_2]])+LOOKUP($J44,[1]!CMI[[#All],[CÓDIGO DE INDICADOR]],[1]!CMI[[#All],[Variable1_3]])+LOOKUP($J44,[1]!CMI[[#All],[CÓDIGO DE INDICADOR]],[1]!CMI[[#All],[Variable1_4]])+LOOKUP($J44,[1]!CMI[[#All],[CÓDIGO DE INDICADOR]],[1]!CMI[[#All],[Variable1_5]]))/(LOOKUP($J44,[1]!CMI[[#All],[CÓDIGO DE INDICADOR]],[1]!CMI[[#All],[Variable2_2]])+LOOKUP($J44,[1]!CMI[[#All],[CÓDIGO DE INDICADOR]],[1]!CMI[[#All],[Variable2_3]])+LOOKUP($J44,[1]!CMI[[#All],[CÓDIGO DE INDICADOR]],[1]!CMI[[#All],[Variable2_4]])+LOOKUP($J44,[1]!CMI[[#All],[CÓDIGO DE INDICADOR]],[1]!CMI[[#All],[Variable2_5]]))),IF(LOOKUP($J44,[1]!CMI[[#All],[CÓDIGO DE INDICADOR]],[1]!CMI[[#All],[TIPO DE FÓRMULA]])="Tasa de variación",LOOKUP($J44,[1]!CMI[[#All],[CÓDIGO DE INDICADOR]],[1]!CMI[[#All],[EjecuciónAcumulada_5]]),0)))</f>
        <v>0</v>
      </c>
      <c r="AH44" s="49">
        <f>LOOKUP($J44,[1]!CMI[[#All],[CÓDIGO DE INDICADOR]],[1]!CMI[[#All],[Programado_6]])</f>
        <v>0</v>
      </c>
      <c r="AI44" s="49">
        <f>IF(LOOKUP($J44,[1]!CMI[[#All],[CÓDIGO DE INDICADOR]],[1]!CMI[[#All],[Ejecutado_6]])="-",0,LOOKUP($J44,[1]!CMI[[#All],[CÓDIGO DE INDICADOR]],[1]!CMI[[#All],[Ejecutado_6]]))</f>
        <v>0</v>
      </c>
      <c r="AJ44" s="49">
        <f>LOOKUP($J44,[1]!CMI[[#All],[CÓDIGO DE INDICADOR]],[1]!CMI[[#All],[Programado_7]])</f>
        <v>0</v>
      </c>
      <c r="AK44" s="50">
        <f>IF(LOOKUP($J44,[1]!CMI[[#All],[CÓDIGO DE INDICADOR]],[1]!CMI[[#All],[Ejecutado_7]])="-",0,LOOKUP($J44,[1]!CMI[[#All],[CÓDIGO DE INDICADOR]],[1]!CMI[[#All],[Ejecutado_7]]))</f>
        <v>0</v>
      </c>
      <c r="AL44" s="50">
        <f>LOOKUP($J44,[1]!CMI[[#All],[CÓDIGO DE INDICADOR]],[1]!CMI[[#All],[Programado_8]])</f>
        <v>0</v>
      </c>
      <c r="AM44" s="50">
        <f>IF(LOOKUP($J44,[1]!CMI[[#All],[CÓDIGO DE INDICADOR]],[1]!CMI[[#All],[Ejecutado_8]])="-",0,LOOKUP($J44,[1]!CMI[[#All],[CÓDIGO DE INDICADOR]],[1]!CMI[[#All],[Ejecutado_8]]))</f>
        <v>0</v>
      </c>
      <c r="AN44" s="50">
        <f>LOOKUP($J44,[1]!CMI[[#All],[CÓDIGO DE INDICADOR]],[1]!CMI[[#All],[Programado_9]])</f>
        <v>0.35</v>
      </c>
      <c r="AO44" s="50">
        <f>IF(LOOKUP($J44,[1]!CMI[[#All],[CÓDIGO DE INDICADOR]],[1]!CMI[[#All],[Ejecutado_9]])="-",0,LOOKUP($J44,[1]!CMI[[#All],[CÓDIGO DE INDICADOR]],[1]!CMI[[#All],[Ejecutado_9]]))</f>
        <v>0</v>
      </c>
      <c r="AP44" s="51">
        <f>IF($K44="Sumatoria",AH44+AJ44+AL44+AN44,IF($K44="Constante",$F44,AN44))</f>
        <v>0.35</v>
      </c>
      <c r="AQ44" s="51">
        <f>IF(OR(LOOKUP($J44,[1]!CMI[[#All],[CÓDIGO DE INDICADOR]],[1]!CMI[[#All],[TIPO DE FÓRMULA]])="Valor absoluto",LOOKUP($J44,[1]!CMI[[#All],[CÓDIGO DE INDICADOR]],[1]!CMI[[#All],[TIPO DE FÓRMULA]])="Suma"),AI44+AK44+AM44+AO44,IF(OR(LOOKUP($J44,[1]!CMI[[#All],[CÓDIGO DE INDICADOR]],[1]!CMI[[#All],[TIPO DE FÓRMULA]])="Porcentaje",LOOKUP($J44,[1]!CMI[[#All],[CÓDIGO DE INDICADOR]],[1]!CMI[[#All],[TIPO DE FÓRMULA]])="División"),IF(LOOKUP($J44,[1]!CMI[[#All],[CÓDIGO DE INDICADOR]],[1]!CMI[[#All],[Variable2_6]])+LOOKUP($J44,[1]!CMI[[#All],[CÓDIGO DE INDICADOR]],[1]!CMI[[#All],[Variable2_7]])+LOOKUP($J44,[1]!CMI[[#All],[CÓDIGO DE INDICADOR]],[1]!CMI[[#All],[Variable2_8]])+LOOKUP($J44,[1]!CMI[[#All],[CÓDIGO DE INDICADOR]],[1]!CMI[[#All],[Variable2_9]])=0,0,(LOOKUP($J44,[1]!CMI[[#All],[CÓDIGO DE INDICADOR]],[1]!CMI[[#All],[Variable1_6]])+LOOKUP($J44,[1]!CMI[[#All],[CÓDIGO DE INDICADOR]],[1]!CMI[[#All],[Variable1_7]])+LOOKUP($J44,[1]!CMI[[#All],[CÓDIGO DE INDICADOR]],[1]!CMI[[#All],[Variable1_8]])+LOOKUP($J44,[1]!CMI[[#All],[CÓDIGO DE INDICADOR]],[1]!CMI[[#All],[Variable1_9]]))/(LOOKUP($J44,[1]!CMI[[#All],[CÓDIGO DE INDICADOR]],[1]!CMI[[#All],[Variable2_6]])+LOOKUP($J44,[1]!CMI[[#All],[CÓDIGO DE INDICADOR]],[1]!CMI[[#All],[Variable2_7]])+LOOKUP($J44,[1]!CMI[[#All],[CÓDIGO DE INDICADOR]],[1]!CMI[[#All],[Variable2_8]])+LOOKUP($J44,[1]!CMI[[#All],[CÓDIGO DE INDICADOR]],[1]!CMI[[#All],[Variable2_9]]))),IF(LOOKUP($J44,[1]!CMI[[#All],[CÓDIGO DE INDICADOR]],[1]!CMI[[#All],[TIPO DE FÓRMULA]])="Tasa de variación",LOOKUP($J44,[1]!CMI[[#All],[CÓDIGO DE INDICADOR]],[1]!CMI[[#All],[EjecuciónAcumulada_9]]),0)))</f>
        <v>0</v>
      </c>
      <c r="AR44" s="49">
        <f>LOOKUP($J44,[1]!CMI[[#All],[CÓDIGO DE INDICADOR]],[1]!CMI[[#All],[Programado_10]])</f>
        <v>0.15</v>
      </c>
      <c r="AS44" s="49">
        <f>IF(LOOKUP($J44,[1]!CMI[[#All],[CÓDIGO DE INDICADOR]],[1]!CMI[[#All],[Ejecutado_10]])="-",0,LOOKUP($J44,[1]!CMI[[#All],[CÓDIGO DE INDICADOR]],[1]!CMI[[#All],[Ejecutado_10]]))</f>
        <v>0</v>
      </c>
      <c r="AT44" s="49">
        <f>LOOKUP($J44,[1]!CMI[[#All],[CÓDIGO DE INDICADOR]],[1]!CMI[[#All],[Programado_11]])</f>
        <v>0</v>
      </c>
      <c r="AU44" s="50">
        <f>IF(LOOKUP($J44,[1]!CMI[[#All],[CÓDIGO DE INDICADOR]],[1]!CMI[[#All],[Ejecutado_11]])="-",0,LOOKUP($J44,[1]!CMI[[#All],[CÓDIGO DE INDICADOR]],[1]!CMI[[#All],[Ejecutado_11]]))</f>
        <v>0</v>
      </c>
      <c r="AV44" s="50">
        <f>LOOKUP($J44,[1]!CMI[[#All],[CÓDIGO DE INDICADOR]],[1]!CMI[[#All],[Programado_12]])</f>
        <v>0</v>
      </c>
      <c r="AW44" s="50">
        <f>IF(LOOKUP($J44,[1]!CMI[[#All],[CÓDIGO DE INDICADOR]],[1]!CMI[[#All],[Ejecutado_12]])="-",0,LOOKUP($J44,[1]!CMI[[#All],[CÓDIGO DE INDICADOR]],[1]!CMI[[#All],[Ejecutado_12]]))</f>
        <v>0</v>
      </c>
      <c r="AX44" s="50">
        <f>LOOKUP($J44,[1]!CMI[[#All],[CÓDIGO DE INDICADOR]],[1]!CMI[[#All],[Programado_13]])</f>
        <v>0.35</v>
      </c>
      <c r="AY44" s="50">
        <f>IF(LOOKUP($J44,[1]!CMI[[#All],[CÓDIGO DE INDICADOR]],[1]!CMI[[#All],[Ejecutado_13]])="-",0,LOOKUP($J44,[1]!CMI[[#All],[CÓDIGO DE INDICADOR]],[1]!CMI[[#All],[Ejecutado_13]]))</f>
        <v>0</v>
      </c>
      <c r="AZ44" s="51">
        <f t="shared" si="13"/>
        <v>0.5</v>
      </c>
      <c r="BA44" s="51">
        <f>IF(OR(LOOKUP($J44,[1]!CMI[[#All],[CÓDIGO DE INDICADOR]],[1]!CMI[[#All],[TIPO DE FÓRMULA]])="Valor absoluto",LOOKUP($J44,[1]!CMI[[#All],[CÓDIGO DE INDICADOR]],[1]!CMI[[#All],[TIPO DE FÓRMULA]])="Suma"),AS44+AU44+AW44+AY44,IF(OR(LOOKUP($J44,[1]!CMI[[#All],[CÓDIGO DE INDICADOR]],[1]!CMI[[#All],[TIPO DE FÓRMULA]])="Porcentaje",LOOKUP($J44,[1]!CMI[[#All],[CÓDIGO DE INDICADOR]],[1]!CMI[[#All],[TIPO DE FÓRMULA]])="División"),IF(LOOKUP($J44,[1]!CMI[[#All],[CÓDIGO DE INDICADOR]],[1]!CMI[[#All],[Variable2_10]])+LOOKUP($J44,[1]!CMI[[#All],[CÓDIGO DE INDICADOR]],[1]!CMI[[#All],[Variable2_11]])+LOOKUP($J44,[1]!CMI[[#All],[CÓDIGO DE INDICADOR]],[1]!CMI[[#All],[Variable2_12]])+LOOKUP($J44,[1]!CMI[[#All],[CÓDIGO DE INDICADOR]],[1]!CMI[[#All],[Variable2_13]])=0,0,(LOOKUP($J44,[1]!CMI[[#All],[CÓDIGO DE INDICADOR]],[1]!CMI[[#All],[Variable1_10]])+LOOKUP($J44,[1]!CMI[[#All],[CÓDIGO DE INDICADOR]],[1]!CMI[[#All],[Variable1_11]])+LOOKUP($J44,[1]!CMI[[#All],[CÓDIGO DE INDICADOR]],[1]!CMI[[#All],[Variable1_12]])+LOOKUP($J44,[1]!CMI[[#All],[CÓDIGO DE INDICADOR]],[1]!CMI[[#All],[Variable1_13]]))/(LOOKUP($J44,[1]!CMI[[#All],[CÓDIGO DE INDICADOR]],[1]!CMI[[#All],[Variable2_10]])+LOOKUP($J44,[1]!CMI[[#All],[CÓDIGO DE INDICADOR]],[1]!CMI[[#All],[Variable2_11]])+LOOKUP($J44,[1]!CMI[[#All],[CÓDIGO DE INDICADOR]],[1]!CMI[[#All],[Variable2_12]])+LOOKUP($J44,[1]!CMI[[#All],[CÓDIGO DE INDICADOR]],[1]!CMI[[#All],[Variable2_13]]))),IF(LOOKUP($J44,[1]!CMI[[#All],[CÓDIGO DE INDICADOR]],[1]!CMI[[#All],[TIPO DE FÓRMULA]])="Tasa de variación",LOOKUP($J44,[1]!CMI[[#All],[CÓDIGO DE INDICADOR]],[1]!CMI[[#All],[EjecuciónAcumulada_13]]),0)))</f>
        <v>0</v>
      </c>
      <c r="BB44" s="49">
        <f>LOOKUP($J44,[1]!CMI[[#All],[CÓDIGO DE INDICADOR]],[1]!CMI[[#All],[Programado_14]])</f>
        <v>0.15</v>
      </c>
      <c r="BC44" s="49">
        <f>IF(LOOKUP($J44,[1]!CMI[[#All],[CÓDIGO DE INDICADOR]],[1]!CMI[[#All],[Ejecutado_14]])="-",0,LOOKUP($J44,[1]!CMI[[#All],[CÓDIGO DE INDICADOR]],[1]!CMI[[#All],[Ejecutado_14]]))</f>
        <v>0</v>
      </c>
      <c r="BD44" s="49">
        <f>LOOKUP($J44,[1]!CMI[[#All],[CÓDIGO DE INDICADOR]],[1]!CMI[[#All],[Programado_15]])</f>
        <v>0</v>
      </c>
      <c r="BE44" s="50">
        <f>IF(LOOKUP($J44,[1]!CMI[[#All],[CÓDIGO DE INDICADOR]],[1]!CMI[[#All],[Ejecutado_15]])="-",0,LOOKUP($J44,[1]!CMI[[#All],[CÓDIGO DE INDICADOR]],[1]!CMI[[#All],[Ejecutado_15]]))</f>
        <v>0</v>
      </c>
      <c r="BF44" s="50">
        <f>LOOKUP($J44,[1]!CMI[[#All],[CÓDIGO DE INDICADOR]],[1]!CMI[[#All],[Programado_16]])</f>
        <v>0</v>
      </c>
      <c r="BG44" s="50">
        <f>IF(LOOKUP($J44,[1]!CMI[[#All],[CÓDIGO DE INDICADOR]],[1]!CMI[[#All],[Ejecutado_16]])="-",0,LOOKUP($J44,[1]!CMI[[#All],[CÓDIGO DE INDICADOR]],[1]!CMI[[#All],[Ejecutado_16]]))</f>
        <v>0</v>
      </c>
      <c r="BH44" s="50">
        <f>LOOKUP($J44,[1]!CMI[[#All],[CÓDIGO DE INDICADOR]],[1]!CMI[[#All],[Programado_17]])</f>
        <v>0</v>
      </c>
      <c r="BI44" s="50">
        <f>IF(LOOKUP($J44,[1]!CMI[[#All],[CÓDIGO DE INDICADOR]],[1]!CMI[[#All],[Ejecutado_17]])="-",0,LOOKUP($J44,[1]!CMI[[#All],[CÓDIGO DE INDICADOR]],[1]!CMI[[#All],[Ejecutado_17]]))</f>
        <v>0</v>
      </c>
      <c r="BJ44" s="51">
        <f t="shared" si="14"/>
        <v>0.15</v>
      </c>
      <c r="BK44" s="51">
        <f>IF(OR(LOOKUP($J44,[1]!CMI[[#All],[CÓDIGO DE INDICADOR]],[1]!CMI[[#All],[TIPO DE FÓRMULA]])="Valor absoluto",LOOKUP($J44,[1]!CMI[[#All],[CÓDIGO DE INDICADOR]],[1]!CMI[[#All],[TIPO DE FÓRMULA]])="Suma"),BC44+BE44+BG44+BI44,IF(OR(LOOKUP($J44,[1]!CMI[[#All],[CÓDIGO DE INDICADOR]],[1]!CMI[[#All],[TIPO DE FÓRMULA]])="Porcentaje",LOOKUP($J44,[1]!CMI[[#All],[CÓDIGO DE INDICADOR]],[1]!CMI[[#All],[TIPO DE FÓRMULA]])="División"),IF(LOOKUP($J44,[1]!CMI[[#All],[CÓDIGO DE INDICADOR]],[1]!CMI[[#All],[Variable2_14]])+LOOKUP($J44,[1]!CMI[[#All],[CÓDIGO DE INDICADOR]],[1]!CMI[[#All],[Variable2_15]])+LOOKUP($J44,[1]!CMI[[#All],[CÓDIGO DE INDICADOR]],[1]!CMI[[#All],[Variable2_16]])+LOOKUP($J44,[1]!CMI[[#All],[CÓDIGO DE INDICADOR]],[1]!CMI[[#All],[Variable2_17]])=0,0,(LOOKUP($J44,[1]!CMI[[#All],[CÓDIGO DE INDICADOR]],[1]!CMI[[#All],[Variable1_14]])+LOOKUP($J44,[1]!CMI[[#All],[CÓDIGO DE INDICADOR]],[1]!CMI[[#All],[Variable1_15]])+LOOKUP($J44,[1]!CMI[[#All],[CÓDIGO DE INDICADOR]],[1]!CMI[[#All],[Variable1_16]])+LOOKUP($J44,[1]!CMI[[#All],[CÓDIGO DE INDICADOR]],[1]!CMI[[#All],[Variable1_17]]))/(LOOKUP($J44,[1]!CMI[[#All],[CÓDIGO DE INDICADOR]],[1]!CMI[[#All],[Variable2_14]])+LOOKUP($J44,[1]!CMI[[#All],[CÓDIGO DE INDICADOR]],[1]!CMI[[#All],[Variable2_15]])+LOOKUP($J44,[1]!CMI[[#All],[CÓDIGO DE INDICADOR]],[1]!CMI[[#All],[Variable2_16]])+LOOKUP($J44,[1]!CMI[[#All],[CÓDIGO DE INDICADOR]],[1]!CMI[[#All],[Variable2_17]]))),IF(LOOKUP($J44,[1]!CMI[[#All],[CÓDIGO DE INDICADOR]],[1]!CMI[[#All],[TIPO DE FÓRMULA]])="Tasa de variación",LOOKUP($J44,[1]!CMI[[#All],[CÓDIGO DE INDICADOR]],[1]!CMI[[#All],[EjecuciónAcumulada_17]]),0)))</f>
        <v>0</v>
      </c>
      <c r="BL44" s="51">
        <f>IF(YEAR($M44)=2016,LOOKUP($J44,[1]!CMI[[#All],[CÓDIGO DE INDICADOR]],[1]!CMI[[#All],[ProgramadoAcumulado_1]]),IF(AND(YEAR($M44)=2017,MONTH($M44)&lt;=3),LOOKUP($J44,[1]!CMI[[#All],[CÓDIGO DE INDICADOR]],[1]!CMI[[#All],[ProgramadoAcumulado_2]]),IF(AND(YEAR($M44)=2017,MONTH($M44)&lt;=6),LOOKUP($J44,[1]!CMI[[#All],[CÓDIGO DE INDICADOR]],[1]!CMI[[#All],[ProgramadoAcumulado_3]]),IF(AND(YEAR($M44)=2017,MONTH($M44)&lt;=9),LOOKUP($J44,[1]!CMI[[#All],[CÓDIGO DE INDICADOR]],[1]!CMI[[#All],[ProgramadoAcumulado_4]]),IF(AND(YEAR($M44)=2017,MONTH($M44)&lt;=12),LOOKUP($J44,[1]!CMI[[#All],[CÓDIGO DE INDICADOR]],[1]!CMI[[#All],[ProgramadoAcumulado_5]]),IF(AND(YEAR($M44)=2018,MONTH($M44)&lt;=3),LOOKUP($J44,[1]!CMI[[#All],[CÓDIGO DE INDICADOR]],[1]!CMI[[#All],[ProgramadoAcumulado_6]]),IF(AND(YEAR($M44)=2018,MONTH($M44)&lt;=6),LOOKUP($J44,[1]!CMI[[#All],[CÓDIGO DE INDICADOR]],[1]!CMI[[#All],[ProgramadoAcumulado_7]]),IF(AND(YEAR($M44)=2018,MONTH($M44)&lt;=9),LOOKUP($J44,[1]!CMI[[#All],[CÓDIGO DE INDICADOR]],[1]!CMI[[#All],[ProgramadoAcumulado_8]]),IF(AND(YEAR($M44)=2018,MONTH($M44)&lt;=12),LOOKUP($J44,[1]!CMI[[#All],[CÓDIGO DE INDICADOR]],[1]!CMI[[#All],[ProgramadoAcumulado_9]]),IF(AND(YEAR($M44)=2019,MONTH($M44)&lt;=3),LOOKUP($J44,[1]!CMI[[#All],[CÓDIGO DE INDICADOR]],[1]!CMI[[#All],[ProgramadoAcumulado_10]]),IF(AND(YEAR($M44)=2019,MONTH($M44)&lt;=6),LOOKUP($J44,[1]!CMI[[#All],[CÓDIGO DE INDICADOR]],[1]!CMI[[#All],[ProgramadoAcumulado_11]]),IF(AND(YEAR($M44)=2019,MONTH($M44)&lt;=9),LOOKUP($J44,[1]!CMI[[#All],[CÓDIGO DE INDICADOR]],[1]!CMI[[#All],[ProgramadoAcumulado_12]]),IF(AND(YEAR($M44)=2019,MONTH($M44)&lt;=12),LOOKUP($J44,[1]!CMI[[#All],[CÓDIGO DE INDICADOR]],[1]!CMI[[#All],[ProgramadoAcumulado_13]]),IF(AND(YEAR($M44)=2020,MONTH($M44)&lt;=3),LOOKUP($J44,[1]!CMI[[#All],[CÓDIGO DE INDICADOR]],[1]!CMI[[#All],[ProgramadoAcumulado_14]]),IF(AND(YEAR($M44)=2020,MONTH($M44)&lt;=6),LOOKUP($J44,[1]!CMI[[#All],[CÓDIGO DE INDICADOR]],[1]!CMI[[#All],[ProgramadoAcumulado_15]]),IF(AND(YEAR($M44)=2020,MONTH($M44)&lt;=9),LOOKUP($J44,[1]!CMI[[#All],[CÓDIGO DE INDICADOR]],[1]!CMI[[#All],[ProgramadoAcumulado_16]]),IF(AND(YEAR($M44)=2020,MONTH($M44)&lt;=12),LOOKUP($J44,[1]!CMI[[#All],[CÓDIGO DE INDICADOR]],[1]!CMI[[#All],[ProgramadoAcumulado_17]]),"N.A")))))))))))))))))</f>
        <v>0</v>
      </c>
      <c r="BM44" s="51">
        <f>IF(YEAR($M44)=2016,LOOKUP($J44,[1]!CMI[[#All],[CÓDIGO DE INDICADOR]],[1]!CMI[[#All],[EjecuciónAcumulada_1]]),IF(AND(YEAR($M44)=2017,MONTH($M44)&lt;=3),LOOKUP($J44,[1]!CMI[[#All],[CÓDIGO DE INDICADOR]],[1]!CMI[[#All],[EjecuciónAcumulada_2]]),IF(AND(YEAR($M44)=2017,MONTH($M44)&lt;=6),LOOKUP($J44,[1]!CMI[[#All],[CÓDIGO DE INDICADOR]],[1]!CMI[[#All],[EjecuciónAcumulada_3]]),IF(AND(YEAR($M44)=2017,MONTH($M44)&lt;=9),LOOKUP($J44,[1]!CMI[[#All],[CÓDIGO DE INDICADOR]],[1]!CMI[[#All],[EjecuciónAcumulada_4]]),IF(AND(YEAR($M44)=2017,MONTH($M44)&lt;=12),LOOKUP($J44,[1]!CMI[[#All],[CÓDIGO DE INDICADOR]],[1]!CMI[[#All],[EjecuciónAcumulada_5]]),IF(AND(YEAR($M44)=2018,MONTH($M44)&lt;=3),LOOKUP($J44,[1]!CMI[[#All],[CÓDIGO DE INDICADOR]],[1]!CMI[[#All],[EjecuciónAcumulada_6]]),IF(AND(YEAR($M44)=2018,MONTH($M44)&lt;=6),LOOKUP($J44,[1]!CMI[[#All],[CÓDIGO DE INDICADOR]],[1]!CMI[[#All],[EjecuciónAcumulada_7]]),IF(AND(YEAR($M44)=2018,MONTH($M44)&lt;=9),LOOKUP($J44,[1]!CMI[[#All],[CÓDIGO DE INDICADOR]],[1]!CMI[[#All],[EjecuciónAcumulada_8]]),IF(AND(YEAR($M44)=2018,MONTH($M44)&lt;=12),LOOKUP($J44,[1]!CMI[[#All],[CÓDIGO DE INDICADOR]],[1]!CMI[[#All],[EjecuciónAcumulada_9]]),IF(AND(YEAR($M44)=2019,MONTH($M44)&lt;=3),LOOKUP($J44,[1]!CMI[[#All],[CÓDIGO DE INDICADOR]],[1]!CMI[[#All],[EjecuciónAcumulada_10]]),IF(AND(YEAR($M44)=2019,MONTH($M44)&lt;=6),LOOKUP($J44,[1]!CMI[[#All],[CÓDIGO DE INDICADOR]],[1]!CMI[[#All],[EjecuciónAcumulada_11]]),IF(AND(YEAR($M44)=2019,MONTH($M44)&lt;=9),LOOKUP($J44,[1]!CMI[[#All],[CÓDIGO DE INDICADOR]],[1]!CMI[[#All],[EjecuciónAcumulada_12]]),IF(AND(YEAR($M44)=2019,MONTH($M44)&lt;=12),LOOKUP($J44,[1]!CMI[[#All],[CÓDIGO DE INDICADOR]],[1]!CMI[[#All],[EjecuciónAcumulada_13]]),IF(AND(YEAR($M44)=2020,MONTH($M44)&lt;=3),LOOKUP($J44,[1]!CMI[[#All],[CÓDIGO DE INDICADOR]],[1]!CMI[[#All],[EjecuciónAcumulada_14]]),IF(AND(YEAR($M44)=2020,MONTH($M44)&lt;=6),LOOKUP($J44,[1]!CMI[[#All],[CÓDIGO DE INDICADOR]],[1]!CMI[[#All],[EjecuciónAcumulada_15]]),IF(AND(YEAR($M44)=2020,MONTH($M44)&lt;=9),LOOKUP($J44,[1]!CMI[[#All],[CÓDIGO DE INDICADOR]],[1]!CMI[[#All],[EjecuciónAcumulada_16]]),IF(AND(YEAR($M44)=2020,MONTH($M44)&lt;=12),LOOKUP($J44,[1]!CMI[[#All],[CÓDIGO DE INDICADOR]],[1]!CMI[[#All],[EjecuciónAcumulada_17]]),"N.A")))))))))))))))))</f>
        <v>0</v>
      </c>
      <c r="BN44" s="17" t="str">
        <f t="shared" si="7"/>
        <v>N.A.</v>
      </c>
      <c r="BO44" s="51">
        <f t="shared" si="15"/>
        <v>1</v>
      </c>
      <c r="BP44" s="68">
        <f t="shared" si="8"/>
        <v>0</v>
      </c>
    </row>
    <row r="45" spans="2:68" ht="174.75" customHeight="1">
      <c r="B45" s="132"/>
      <c r="C45" s="56" t="s">
        <v>196</v>
      </c>
      <c r="D45" s="11" t="str">
        <f>LOOKUP($J45,[1]!CMI[[#All],[CÓDIGO DE INDICADOR]],[1]!CMI[[#All],[NOMBRE DEL INDICADOR]])</f>
        <v>Implementación del formulario de cero tolerancia contra la corrupción</v>
      </c>
      <c r="E45" s="11" t="str">
        <f>LOOKUP($J45,[1]!CMI[[#All],[CÓDIGO DE INDICADOR]],[1]!CMI[[#All],[FÓRMULA DE CÁLCULO]])</f>
        <v>Avance en las actividades necesarias para la implementación del formulario de cero tolerancia contra la corrupción</v>
      </c>
      <c r="F45" s="49">
        <f>LOOKUP($J45,[1]!CMI[[#All],[CÓDIGO DE INDICADOR]],[1]!CMI[[#All],[VALOR PROGRAMADO TOTAL]])</f>
        <v>1</v>
      </c>
      <c r="G45" s="10" t="s">
        <v>253</v>
      </c>
      <c r="H45" s="10" t="s">
        <v>251</v>
      </c>
      <c r="I45" s="11" t="str">
        <f>LOOKUP($J45,[1]!CMI[[#All],[CÓDIGO DE INDICADOR]],[1]!CMI[[#All],[DEPENDENCIA]])</f>
        <v>Dirección de Planeación</v>
      </c>
      <c r="J45" s="13" t="s">
        <v>252</v>
      </c>
      <c r="K45" s="11" t="str">
        <f>LOOKUP($J45,[1]!CMI[[#All],[CÓDIGO DE INDICADOR]],[1]!CMI[[#All],[CÁLCULO VALOR PROGRAMADO ACUMULADO]])</f>
        <v>Sumatoria</v>
      </c>
      <c r="L45" s="11" t="str">
        <f>LOOKUP($J45,[1]!CMI[[#All],[CÓDIGO DE INDICADOR]],[1]!CMI[[#All],[TENDENCIA DECRECIENTE]])</f>
        <v>No</v>
      </c>
      <c r="M45" s="14">
        <f>LOOKUP($J45,[1]!CMI[[#All],[CÓDIGO DE INDICADOR]],[1]!CMI[[#All],[FECHA DE CORTE]])</f>
        <v>43280</v>
      </c>
      <c r="N45" s="49">
        <v>0</v>
      </c>
      <c r="O45" s="49">
        <v>0</v>
      </c>
      <c r="P45" s="49">
        <v>0</v>
      </c>
      <c r="Q45" s="50">
        <v>0</v>
      </c>
      <c r="R45" s="50">
        <v>0</v>
      </c>
      <c r="S45" s="50">
        <v>0</v>
      </c>
      <c r="T45" s="50">
        <f>LOOKUP($J45,[1]!CMI[[#All],[CÓDIGO DE INDICADOR]],[1]!CMI[[#All],[Programado_1]])</f>
        <v>0</v>
      </c>
      <c r="U45" s="50">
        <f>IF(LOOKUP($J45,[1]!CMI[[#All],[CÓDIGO DE INDICADOR]],[1]!CMI[[#All],[Ejecutado_1]])="-",0,LOOKUP($J45,[1]!CMI[[#All],[CÓDIGO DE INDICADOR]],[1]!CMI[[#All],[Ejecutado_1]]))</f>
        <v>0</v>
      </c>
      <c r="V45" s="51">
        <f t="shared" ref="V45" si="16">T45</f>
        <v>0</v>
      </c>
      <c r="W45" s="51">
        <f t="shared" ref="W45" si="17">U45</f>
        <v>0</v>
      </c>
      <c r="X45" s="49">
        <f>LOOKUP($J45,[1]!CMI[[#All],[CÓDIGO DE INDICADOR]],[1]!CMI[[#All],[Programado_2]])</f>
        <v>0</v>
      </c>
      <c r="Y45" s="49">
        <f>IF(LOOKUP($J45,[1]!CMI[[#All],[CÓDIGO DE INDICADOR]],[1]!CMI[[#All],[Ejecutado_2]])="-",0,LOOKUP($J45,[1]!CMI[[#All],[CÓDIGO DE INDICADOR]],[1]!CMI[[#All],[Ejecutado_2]]))</f>
        <v>0</v>
      </c>
      <c r="Z45" s="49">
        <f>LOOKUP($J45,[1]!CMI[[#All],[CÓDIGO DE INDICADOR]],[1]!CMI[[#All],[Programado_3]])</f>
        <v>0</v>
      </c>
      <c r="AA45" s="50">
        <f>IF(LOOKUP($J45,[1]!CMI[[#All],[CÓDIGO DE INDICADOR]],[1]!CMI[[#All],[Ejecutado_3]])="-",0,LOOKUP($J45,[1]!CMI[[#All],[CÓDIGO DE INDICADOR]],[1]!CMI[[#All],[Ejecutado_3]]))</f>
        <v>0</v>
      </c>
      <c r="AB45" s="50">
        <f>LOOKUP($J45,[1]!CMI[[#All],[CÓDIGO DE INDICADOR]],[1]!CMI[[#All],[Programado_4]])</f>
        <v>0</v>
      </c>
      <c r="AC45" s="50">
        <f>IF(LOOKUP($J45,[1]!CMI[[#All],[CÓDIGO DE INDICADOR]],[1]!CMI[[#All],[Ejecutado_4]])="-",0,LOOKUP($J45,[1]!CMI[[#All],[CÓDIGO DE INDICADOR]],[1]!CMI[[#All],[Ejecutado_4]]))</f>
        <v>0</v>
      </c>
      <c r="AD45" s="50">
        <f>LOOKUP($J45,[1]!CMI[[#All],[CÓDIGO DE INDICADOR]],[1]!CMI[[#All],[Programado_5]])</f>
        <v>0</v>
      </c>
      <c r="AE45" s="50">
        <f>IF(LOOKUP($J45,[1]!CMI[[#All],[CÓDIGO DE INDICADOR]],[1]!CMI[[#All],[Ejecutado_5]])="-",0,LOOKUP($J45,[1]!CMI[[#All],[CÓDIGO DE INDICADOR]],[1]!CMI[[#All],[Ejecutado_5]]))</f>
        <v>0</v>
      </c>
      <c r="AF45" s="51">
        <f t="shared" ref="AF45" si="18">IF($K45="Sumatoria",X45+Z45+AB45+AD45,IF($K45="Constante",$F45,AD45))</f>
        <v>0</v>
      </c>
      <c r="AG45" s="51">
        <f>IF(OR(LOOKUP($J45,[1]!CMI[[#All],[CÓDIGO DE INDICADOR]],[1]!CMI[[#All],[TIPO DE FÓRMULA]])="Valor absoluto",LOOKUP($J45,[1]!CMI[[#All],[CÓDIGO DE INDICADOR]],[1]!CMI[[#All],[TIPO DE FÓRMULA]])="Suma"),Y45+AA45+AC45+AE45,IF(OR(LOOKUP($J45,[1]!CMI[[#All],[CÓDIGO DE INDICADOR]],[1]!CMI[[#All],[TIPO DE FÓRMULA]])="Porcentaje",LOOKUP($J45,[1]!CMI[[#All],[CÓDIGO DE INDICADOR]],[1]!CMI[[#All],[TIPO DE FÓRMULA]])="División"),IF(LOOKUP($J45,[1]!CMI[[#All],[CÓDIGO DE INDICADOR]],[1]!CMI[[#All],[Variable2_2]])+LOOKUP($J45,[1]!CMI[[#All],[CÓDIGO DE INDICADOR]],[1]!CMI[[#All],[Variable2_3]])+LOOKUP($J45,[1]!CMI[[#All],[CÓDIGO DE INDICADOR]],[1]!CMI[[#All],[Variable2_4]])+LOOKUP($J45,[1]!CMI[[#All],[CÓDIGO DE INDICADOR]],[1]!CMI[[#All],[Variable2_5]])=0,0,(LOOKUP($J45,[1]!CMI[[#All],[CÓDIGO DE INDICADOR]],[1]!CMI[[#All],[Variable1_2]])+LOOKUP($J45,[1]!CMI[[#All],[CÓDIGO DE INDICADOR]],[1]!CMI[[#All],[Variable1_3]])+LOOKUP($J45,[1]!CMI[[#All],[CÓDIGO DE INDICADOR]],[1]!CMI[[#All],[Variable1_4]])+LOOKUP($J45,[1]!CMI[[#All],[CÓDIGO DE INDICADOR]],[1]!CMI[[#All],[Variable1_5]]))/(LOOKUP($J45,[1]!CMI[[#All],[CÓDIGO DE INDICADOR]],[1]!CMI[[#All],[Variable2_2]])+LOOKUP($J45,[1]!CMI[[#All],[CÓDIGO DE INDICADOR]],[1]!CMI[[#All],[Variable2_3]])+LOOKUP($J45,[1]!CMI[[#All],[CÓDIGO DE INDICADOR]],[1]!CMI[[#All],[Variable2_4]])+LOOKUP($J45,[1]!CMI[[#All],[CÓDIGO DE INDICADOR]],[1]!CMI[[#All],[Variable2_5]]))),IF(LOOKUP($J45,[1]!CMI[[#All],[CÓDIGO DE INDICADOR]],[1]!CMI[[#All],[TIPO DE FÓRMULA]])="Tasa de variación",LOOKUP($J45,[1]!CMI[[#All],[CÓDIGO DE INDICADOR]],[1]!CMI[[#All],[EjecuciónAcumulada_5]]),0)))</f>
        <v>0</v>
      </c>
      <c r="AH45" s="49">
        <f>LOOKUP($J45,[1]!CMI[[#All],[CÓDIGO DE INDICADOR]],[1]!CMI[[#All],[Programado_6]])</f>
        <v>0</v>
      </c>
      <c r="AI45" s="49">
        <f>IF(LOOKUP($J45,[1]!CMI[[#All],[CÓDIGO DE INDICADOR]],[1]!CMI[[#All],[Ejecutado_6]])="-",0,LOOKUP($J45,[1]!CMI[[#All],[CÓDIGO DE INDICADOR]],[1]!CMI[[#All],[Ejecutado_6]]))</f>
        <v>0</v>
      </c>
      <c r="AJ45" s="49">
        <f>LOOKUP($J45,[1]!CMI[[#All],[CÓDIGO DE INDICADOR]],[1]!CMI[[#All],[Programado_7]])</f>
        <v>0</v>
      </c>
      <c r="AK45" s="50">
        <f>IF(LOOKUP($J45,[1]!CMI[[#All],[CÓDIGO DE INDICADOR]],[1]!CMI[[#All],[Ejecutado_7]])="-",0,LOOKUP($J45,[1]!CMI[[#All],[CÓDIGO DE INDICADOR]],[1]!CMI[[#All],[Ejecutado_7]]))</f>
        <v>0</v>
      </c>
      <c r="AL45" s="50">
        <f>LOOKUP($J45,[1]!CMI[[#All],[CÓDIGO DE INDICADOR]],[1]!CMI[[#All],[Programado_8]])</f>
        <v>0</v>
      </c>
      <c r="AM45" s="50">
        <f>IF(LOOKUP($J45,[1]!CMI[[#All],[CÓDIGO DE INDICADOR]],[1]!CMI[[#All],[Ejecutado_8]])="-",0,LOOKUP($J45,[1]!CMI[[#All],[CÓDIGO DE INDICADOR]],[1]!CMI[[#All],[Ejecutado_8]]))</f>
        <v>0</v>
      </c>
      <c r="AN45" s="50">
        <f>LOOKUP($J45,[1]!CMI[[#All],[CÓDIGO DE INDICADOR]],[1]!CMI[[#All],[Programado_9]])</f>
        <v>0.25</v>
      </c>
      <c r="AO45" s="50">
        <f>IF(LOOKUP($J45,[1]!CMI[[#All],[CÓDIGO DE INDICADOR]],[1]!CMI[[#All],[Ejecutado_9]])="-",0,LOOKUP($J45,[1]!CMI[[#All],[CÓDIGO DE INDICADOR]],[1]!CMI[[#All],[Ejecutado_9]]))</f>
        <v>0</v>
      </c>
      <c r="AP45" s="51">
        <f>IF($K45="Sumatoria",AH45+AJ45+AL45+AN45,IF($K45="Constante",$F45,AN45))</f>
        <v>0.25</v>
      </c>
      <c r="AQ45" s="51">
        <f>IF(OR(LOOKUP($J45,[1]!CMI[[#All],[CÓDIGO DE INDICADOR]],[1]!CMI[[#All],[TIPO DE FÓRMULA]])="Valor absoluto",LOOKUP($J45,[1]!CMI[[#All],[CÓDIGO DE INDICADOR]],[1]!CMI[[#All],[TIPO DE FÓRMULA]])="Suma"),AI45+AK45+AM45+AO45,IF(OR(LOOKUP($J45,[1]!CMI[[#All],[CÓDIGO DE INDICADOR]],[1]!CMI[[#All],[TIPO DE FÓRMULA]])="Porcentaje",LOOKUP($J45,[1]!CMI[[#All],[CÓDIGO DE INDICADOR]],[1]!CMI[[#All],[TIPO DE FÓRMULA]])="División"),IF(LOOKUP($J45,[1]!CMI[[#All],[CÓDIGO DE INDICADOR]],[1]!CMI[[#All],[Variable2_6]])+LOOKUP($J45,[1]!CMI[[#All],[CÓDIGO DE INDICADOR]],[1]!CMI[[#All],[Variable2_7]])+LOOKUP($J45,[1]!CMI[[#All],[CÓDIGO DE INDICADOR]],[1]!CMI[[#All],[Variable2_8]])+LOOKUP($J45,[1]!CMI[[#All],[CÓDIGO DE INDICADOR]],[1]!CMI[[#All],[Variable2_9]])=0,0,(LOOKUP($J45,[1]!CMI[[#All],[CÓDIGO DE INDICADOR]],[1]!CMI[[#All],[Variable1_6]])+LOOKUP($J45,[1]!CMI[[#All],[CÓDIGO DE INDICADOR]],[1]!CMI[[#All],[Variable1_7]])+LOOKUP($J45,[1]!CMI[[#All],[CÓDIGO DE INDICADOR]],[1]!CMI[[#All],[Variable1_8]])+LOOKUP($J45,[1]!CMI[[#All],[CÓDIGO DE INDICADOR]],[1]!CMI[[#All],[Variable1_9]]))/(LOOKUP($J45,[1]!CMI[[#All],[CÓDIGO DE INDICADOR]],[1]!CMI[[#All],[Variable2_6]])+LOOKUP($J45,[1]!CMI[[#All],[CÓDIGO DE INDICADOR]],[1]!CMI[[#All],[Variable2_7]])+LOOKUP($J45,[1]!CMI[[#All],[CÓDIGO DE INDICADOR]],[1]!CMI[[#All],[Variable2_8]])+LOOKUP($J45,[1]!CMI[[#All],[CÓDIGO DE INDICADOR]],[1]!CMI[[#All],[Variable2_9]]))),IF(LOOKUP($J45,[1]!CMI[[#All],[CÓDIGO DE INDICADOR]],[1]!CMI[[#All],[TIPO DE FÓRMULA]])="Tasa de variación",LOOKUP($J45,[1]!CMI[[#All],[CÓDIGO DE INDICADOR]],[1]!CMI[[#All],[EjecuciónAcumulada_9]]),0)))</f>
        <v>0</v>
      </c>
      <c r="AR45" s="49">
        <f>LOOKUP($J45,[1]!CMI[[#All],[CÓDIGO DE INDICADOR]],[1]!CMI[[#All],[Programado_10]])</f>
        <v>0.25</v>
      </c>
      <c r="AS45" s="49">
        <f>IF(LOOKUP($J45,[1]!CMI[[#All],[CÓDIGO DE INDICADOR]],[1]!CMI[[#All],[Ejecutado_10]])="-",0,LOOKUP($J45,[1]!CMI[[#All],[CÓDIGO DE INDICADOR]],[1]!CMI[[#All],[Ejecutado_10]]))</f>
        <v>0</v>
      </c>
      <c r="AT45" s="49">
        <f>LOOKUP($J45,[1]!CMI[[#All],[CÓDIGO DE INDICADOR]],[1]!CMI[[#All],[Programado_11]])</f>
        <v>0.25</v>
      </c>
      <c r="AU45" s="50">
        <f>IF(LOOKUP($J45,[1]!CMI[[#All],[CÓDIGO DE INDICADOR]],[1]!CMI[[#All],[Ejecutado_11]])="-",0,LOOKUP($J45,[1]!CMI[[#All],[CÓDIGO DE INDICADOR]],[1]!CMI[[#All],[Ejecutado_11]]))</f>
        <v>0</v>
      </c>
      <c r="AV45" s="50">
        <f>LOOKUP($J45,[1]!CMI[[#All],[CÓDIGO DE INDICADOR]],[1]!CMI[[#All],[Programado_12]])</f>
        <v>0.25</v>
      </c>
      <c r="AW45" s="50">
        <f>IF(LOOKUP($J45,[1]!CMI[[#All],[CÓDIGO DE INDICADOR]],[1]!CMI[[#All],[Ejecutado_12]])="-",0,LOOKUP($J45,[1]!CMI[[#All],[CÓDIGO DE INDICADOR]],[1]!CMI[[#All],[Ejecutado_12]]))</f>
        <v>0</v>
      </c>
      <c r="AX45" s="50">
        <f>LOOKUP($J45,[1]!CMI[[#All],[CÓDIGO DE INDICADOR]],[1]!CMI[[#All],[Programado_13]])</f>
        <v>0</v>
      </c>
      <c r="AY45" s="50">
        <f>IF(LOOKUP($J45,[1]!CMI[[#All],[CÓDIGO DE INDICADOR]],[1]!CMI[[#All],[Ejecutado_13]])="-",0,LOOKUP($J45,[1]!CMI[[#All],[CÓDIGO DE INDICADOR]],[1]!CMI[[#All],[Ejecutado_13]]))</f>
        <v>0</v>
      </c>
      <c r="AZ45" s="51">
        <f t="shared" ref="AZ45" si="19">IF($K45="Sumatoria",AR45+AT45+AV45+AX45,IF($K45="Constante",$F45,AX45))</f>
        <v>0.75</v>
      </c>
      <c r="BA45" s="51">
        <f>IF(OR(LOOKUP($J45,[1]!CMI[[#All],[CÓDIGO DE INDICADOR]],[1]!CMI[[#All],[TIPO DE FÓRMULA]])="Valor absoluto",LOOKUP($J45,[1]!CMI[[#All],[CÓDIGO DE INDICADOR]],[1]!CMI[[#All],[TIPO DE FÓRMULA]])="Suma"),AS45+AU45+AW45+AY45,IF(OR(LOOKUP($J45,[1]!CMI[[#All],[CÓDIGO DE INDICADOR]],[1]!CMI[[#All],[TIPO DE FÓRMULA]])="Porcentaje",LOOKUP($J45,[1]!CMI[[#All],[CÓDIGO DE INDICADOR]],[1]!CMI[[#All],[TIPO DE FÓRMULA]])="División"),IF(LOOKUP($J45,[1]!CMI[[#All],[CÓDIGO DE INDICADOR]],[1]!CMI[[#All],[Variable2_10]])+LOOKUP($J45,[1]!CMI[[#All],[CÓDIGO DE INDICADOR]],[1]!CMI[[#All],[Variable2_11]])+LOOKUP($J45,[1]!CMI[[#All],[CÓDIGO DE INDICADOR]],[1]!CMI[[#All],[Variable2_12]])+LOOKUP($J45,[1]!CMI[[#All],[CÓDIGO DE INDICADOR]],[1]!CMI[[#All],[Variable2_13]])=0,0,(LOOKUP($J45,[1]!CMI[[#All],[CÓDIGO DE INDICADOR]],[1]!CMI[[#All],[Variable1_10]])+LOOKUP($J45,[1]!CMI[[#All],[CÓDIGO DE INDICADOR]],[1]!CMI[[#All],[Variable1_11]])+LOOKUP($J45,[1]!CMI[[#All],[CÓDIGO DE INDICADOR]],[1]!CMI[[#All],[Variable1_12]])+LOOKUP($J45,[1]!CMI[[#All],[CÓDIGO DE INDICADOR]],[1]!CMI[[#All],[Variable1_13]]))/(LOOKUP($J45,[1]!CMI[[#All],[CÓDIGO DE INDICADOR]],[1]!CMI[[#All],[Variable2_10]])+LOOKUP($J45,[1]!CMI[[#All],[CÓDIGO DE INDICADOR]],[1]!CMI[[#All],[Variable2_11]])+LOOKUP($J45,[1]!CMI[[#All],[CÓDIGO DE INDICADOR]],[1]!CMI[[#All],[Variable2_12]])+LOOKUP($J45,[1]!CMI[[#All],[CÓDIGO DE INDICADOR]],[1]!CMI[[#All],[Variable2_13]]))),IF(LOOKUP($J45,[1]!CMI[[#All],[CÓDIGO DE INDICADOR]],[1]!CMI[[#All],[TIPO DE FÓRMULA]])="Tasa de variación",LOOKUP($J45,[1]!CMI[[#All],[CÓDIGO DE INDICADOR]],[1]!CMI[[#All],[EjecuciónAcumulada_13]]),0)))</f>
        <v>0</v>
      </c>
      <c r="BB45" s="49">
        <f>LOOKUP($J45,[1]!CMI[[#All],[CÓDIGO DE INDICADOR]],[1]!CMI[[#All],[Programado_14]])</f>
        <v>0</v>
      </c>
      <c r="BC45" s="49">
        <f>IF(LOOKUP($J45,[1]!CMI[[#All],[CÓDIGO DE INDICADOR]],[1]!CMI[[#All],[Ejecutado_14]])="-",0,LOOKUP($J45,[1]!CMI[[#All],[CÓDIGO DE INDICADOR]],[1]!CMI[[#All],[Ejecutado_14]]))</f>
        <v>0</v>
      </c>
      <c r="BD45" s="49">
        <f>LOOKUP($J45,[1]!CMI[[#All],[CÓDIGO DE INDICADOR]],[1]!CMI[[#All],[Programado_15]])</f>
        <v>0</v>
      </c>
      <c r="BE45" s="50">
        <f>IF(LOOKUP($J45,[1]!CMI[[#All],[CÓDIGO DE INDICADOR]],[1]!CMI[[#All],[Ejecutado_15]])="-",0,LOOKUP($J45,[1]!CMI[[#All],[CÓDIGO DE INDICADOR]],[1]!CMI[[#All],[Ejecutado_15]]))</f>
        <v>0</v>
      </c>
      <c r="BF45" s="50">
        <f>LOOKUP($J45,[1]!CMI[[#All],[CÓDIGO DE INDICADOR]],[1]!CMI[[#All],[Programado_16]])</f>
        <v>0</v>
      </c>
      <c r="BG45" s="50">
        <f>IF(LOOKUP($J45,[1]!CMI[[#All],[CÓDIGO DE INDICADOR]],[1]!CMI[[#All],[Ejecutado_16]])="-",0,LOOKUP($J45,[1]!CMI[[#All],[CÓDIGO DE INDICADOR]],[1]!CMI[[#All],[Ejecutado_16]]))</f>
        <v>0</v>
      </c>
      <c r="BH45" s="50">
        <f>LOOKUP($J45,[1]!CMI[[#All],[CÓDIGO DE INDICADOR]],[1]!CMI[[#All],[Programado_17]])</f>
        <v>0</v>
      </c>
      <c r="BI45" s="50">
        <f>IF(LOOKUP($J45,[1]!CMI[[#All],[CÓDIGO DE INDICADOR]],[1]!CMI[[#All],[Ejecutado_17]])="-",0,LOOKUP($J45,[1]!CMI[[#All],[CÓDIGO DE INDICADOR]],[1]!CMI[[#All],[Ejecutado_17]]))</f>
        <v>0</v>
      </c>
      <c r="BJ45" s="51">
        <f t="shared" ref="BJ45" si="20">IF($K45="Sumatoria",BB45+BD45+BF45+BH45,IF($K45="Constante",$F45,BH45))</f>
        <v>0</v>
      </c>
      <c r="BK45" s="51">
        <f>IF(OR(LOOKUP($J45,[1]!CMI[[#All],[CÓDIGO DE INDICADOR]],[1]!CMI[[#All],[TIPO DE FÓRMULA]])="Valor absoluto",LOOKUP($J45,[1]!CMI[[#All],[CÓDIGO DE INDICADOR]],[1]!CMI[[#All],[TIPO DE FÓRMULA]])="Suma"),BC45+BE45+BG45+BI45,IF(OR(LOOKUP($J45,[1]!CMI[[#All],[CÓDIGO DE INDICADOR]],[1]!CMI[[#All],[TIPO DE FÓRMULA]])="Porcentaje",LOOKUP($J45,[1]!CMI[[#All],[CÓDIGO DE INDICADOR]],[1]!CMI[[#All],[TIPO DE FÓRMULA]])="División"),IF(LOOKUP($J45,[1]!CMI[[#All],[CÓDIGO DE INDICADOR]],[1]!CMI[[#All],[Variable2_14]])+LOOKUP($J45,[1]!CMI[[#All],[CÓDIGO DE INDICADOR]],[1]!CMI[[#All],[Variable2_15]])+LOOKUP($J45,[1]!CMI[[#All],[CÓDIGO DE INDICADOR]],[1]!CMI[[#All],[Variable2_16]])+LOOKUP($J45,[1]!CMI[[#All],[CÓDIGO DE INDICADOR]],[1]!CMI[[#All],[Variable2_17]])=0,0,(LOOKUP($J45,[1]!CMI[[#All],[CÓDIGO DE INDICADOR]],[1]!CMI[[#All],[Variable1_14]])+LOOKUP($J45,[1]!CMI[[#All],[CÓDIGO DE INDICADOR]],[1]!CMI[[#All],[Variable1_15]])+LOOKUP($J45,[1]!CMI[[#All],[CÓDIGO DE INDICADOR]],[1]!CMI[[#All],[Variable1_16]])+LOOKUP($J45,[1]!CMI[[#All],[CÓDIGO DE INDICADOR]],[1]!CMI[[#All],[Variable1_17]]))/(LOOKUP($J45,[1]!CMI[[#All],[CÓDIGO DE INDICADOR]],[1]!CMI[[#All],[Variable2_14]])+LOOKUP($J45,[1]!CMI[[#All],[CÓDIGO DE INDICADOR]],[1]!CMI[[#All],[Variable2_15]])+LOOKUP($J45,[1]!CMI[[#All],[CÓDIGO DE INDICADOR]],[1]!CMI[[#All],[Variable2_16]])+LOOKUP($J45,[1]!CMI[[#All],[CÓDIGO DE INDICADOR]],[1]!CMI[[#All],[Variable2_17]]))),IF(LOOKUP($J45,[1]!CMI[[#All],[CÓDIGO DE INDICADOR]],[1]!CMI[[#All],[TIPO DE FÓRMULA]])="Tasa de variación",LOOKUP($J45,[1]!CMI[[#All],[CÓDIGO DE INDICADOR]],[1]!CMI[[#All],[EjecuciónAcumulada_17]]),0)))</f>
        <v>0</v>
      </c>
      <c r="BL45" s="51">
        <f>IF(YEAR($M45)=2016,LOOKUP($J45,[1]!CMI[[#All],[CÓDIGO DE INDICADOR]],[1]!CMI[[#All],[ProgramadoAcumulado_1]]),IF(AND(YEAR($M45)=2017,MONTH($M45)&lt;=3),LOOKUP($J45,[1]!CMI[[#All],[CÓDIGO DE INDICADOR]],[1]!CMI[[#All],[ProgramadoAcumulado_2]]),IF(AND(YEAR($M45)=2017,MONTH($M45)&lt;=6),LOOKUP($J45,[1]!CMI[[#All],[CÓDIGO DE INDICADOR]],[1]!CMI[[#All],[ProgramadoAcumulado_3]]),IF(AND(YEAR($M45)=2017,MONTH($M45)&lt;=9),LOOKUP($J45,[1]!CMI[[#All],[CÓDIGO DE INDICADOR]],[1]!CMI[[#All],[ProgramadoAcumulado_4]]),IF(AND(YEAR($M45)=2017,MONTH($M45)&lt;=12),LOOKUP($J45,[1]!CMI[[#All],[CÓDIGO DE INDICADOR]],[1]!CMI[[#All],[ProgramadoAcumulado_5]]),IF(AND(YEAR($M45)=2018,MONTH($M45)&lt;=3),LOOKUP($J45,[1]!CMI[[#All],[CÓDIGO DE INDICADOR]],[1]!CMI[[#All],[ProgramadoAcumulado_6]]),IF(AND(YEAR($M45)=2018,MONTH($M45)&lt;=6),LOOKUP($J45,[1]!CMI[[#All],[CÓDIGO DE INDICADOR]],[1]!CMI[[#All],[ProgramadoAcumulado_7]]),IF(AND(YEAR($M45)=2018,MONTH($M45)&lt;=9),LOOKUP($J45,[1]!CMI[[#All],[CÓDIGO DE INDICADOR]],[1]!CMI[[#All],[ProgramadoAcumulado_8]]),IF(AND(YEAR($M45)=2018,MONTH($M45)&lt;=12),LOOKUP($J45,[1]!CMI[[#All],[CÓDIGO DE INDICADOR]],[1]!CMI[[#All],[ProgramadoAcumulado_9]]),IF(AND(YEAR($M45)=2019,MONTH($M45)&lt;=3),LOOKUP($J45,[1]!CMI[[#All],[CÓDIGO DE INDICADOR]],[1]!CMI[[#All],[ProgramadoAcumulado_10]]),IF(AND(YEAR($M45)=2019,MONTH($M45)&lt;=6),LOOKUP($J45,[1]!CMI[[#All],[CÓDIGO DE INDICADOR]],[1]!CMI[[#All],[ProgramadoAcumulado_11]]),IF(AND(YEAR($M45)=2019,MONTH($M45)&lt;=9),LOOKUP($J45,[1]!CMI[[#All],[CÓDIGO DE INDICADOR]],[1]!CMI[[#All],[ProgramadoAcumulado_12]]),IF(AND(YEAR($M45)=2019,MONTH($M45)&lt;=12),LOOKUP($J45,[1]!CMI[[#All],[CÓDIGO DE INDICADOR]],[1]!CMI[[#All],[ProgramadoAcumulado_13]]),IF(AND(YEAR($M45)=2020,MONTH($M45)&lt;=3),LOOKUP($J45,[1]!CMI[[#All],[CÓDIGO DE INDICADOR]],[1]!CMI[[#All],[ProgramadoAcumulado_14]]),IF(AND(YEAR($M45)=2020,MONTH($M45)&lt;=6),LOOKUP($J45,[1]!CMI[[#All],[CÓDIGO DE INDICADOR]],[1]!CMI[[#All],[ProgramadoAcumulado_15]]),IF(AND(YEAR($M45)=2020,MONTH($M45)&lt;=9),LOOKUP($J45,[1]!CMI[[#All],[CÓDIGO DE INDICADOR]],[1]!CMI[[#All],[ProgramadoAcumulado_16]]),IF(AND(YEAR($M45)=2020,MONTH($M45)&lt;=12),LOOKUP($J45,[1]!CMI[[#All],[CÓDIGO DE INDICADOR]],[1]!CMI[[#All],[ProgramadoAcumulado_17]]),"N.A")))))))))))))))))</f>
        <v>0</v>
      </c>
      <c r="BM45" s="51">
        <f>IF(YEAR($M45)=2016,LOOKUP($J45,[1]!CMI[[#All],[CÓDIGO DE INDICADOR]],[1]!CMI[[#All],[EjecuciónAcumulada_1]]),IF(AND(YEAR($M45)=2017,MONTH($M45)&lt;=3),LOOKUP($J45,[1]!CMI[[#All],[CÓDIGO DE INDICADOR]],[1]!CMI[[#All],[EjecuciónAcumulada_2]]),IF(AND(YEAR($M45)=2017,MONTH($M45)&lt;=6),LOOKUP($J45,[1]!CMI[[#All],[CÓDIGO DE INDICADOR]],[1]!CMI[[#All],[EjecuciónAcumulada_3]]),IF(AND(YEAR($M45)=2017,MONTH($M45)&lt;=9),LOOKUP($J45,[1]!CMI[[#All],[CÓDIGO DE INDICADOR]],[1]!CMI[[#All],[EjecuciónAcumulada_4]]),IF(AND(YEAR($M45)=2017,MONTH($M45)&lt;=12),LOOKUP($J45,[1]!CMI[[#All],[CÓDIGO DE INDICADOR]],[1]!CMI[[#All],[EjecuciónAcumulada_5]]),IF(AND(YEAR($M45)=2018,MONTH($M45)&lt;=3),LOOKUP($J45,[1]!CMI[[#All],[CÓDIGO DE INDICADOR]],[1]!CMI[[#All],[EjecuciónAcumulada_6]]),IF(AND(YEAR($M45)=2018,MONTH($M45)&lt;=6),LOOKUP($J45,[1]!CMI[[#All],[CÓDIGO DE INDICADOR]],[1]!CMI[[#All],[EjecuciónAcumulada_7]]),IF(AND(YEAR($M45)=2018,MONTH($M45)&lt;=9),LOOKUP($J45,[1]!CMI[[#All],[CÓDIGO DE INDICADOR]],[1]!CMI[[#All],[EjecuciónAcumulada_8]]),IF(AND(YEAR($M45)=2018,MONTH($M45)&lt;=12),LOOKUP($J45,[1]!CMI[[#All],[CÓDIGO DE INDICADOR]],[1]!CMI[[#All],[EjecuciónAcumulada_9]]),IF(AND(YEAR($M45)=2019,MONTH($M45)&lt;=3),LOOKUP($J45,[1]!CMI[[#All],[CÓDIGO DE INDICADOR]],[1]!CMI[[#All],[EjecuciónAcumulada_10]]),IF(AND(YEAR($M45)=2019,MONTH($M45)&lt;=6),LOOKUP($J45,[1]!CMI[[#All],[CÓDIGO DE INDICADOR]],[1]!CMI[[#All],[EjecuciónAcumulada_11]]),IF(AND(YEAR($M45)=2019,MONTH($M45)&lt;=9),LOOKUP($J45,[1]!CMI[[#All],[CÓDIGO DE INDICADOR]],[1]!CMI[[#All],[EjecuciónAcumulada_12]]),IF(AND(YEAR($M45)=2019,MONTH($M45)&lt;=12),LOOKUP($J45,[1]!CMI[[#All],[CÓDIGO DE INDICADOR]],[1]!CMI[[#All],[EjecuciónAcumulada_13]]),IF(AND(YEAR($M45)=2020,MONTH($M45)&lt;=3),LOOKUP($J45,[1]!CMI[[#All],[CÓDIGO DE INDICADOR]],[1]!CMI[[#All],[EjecuciónAcumulada_14]]),IF(AND(YEAR($M45)=2020,MONTH($M45)&lt;=6),LOOKUP($J45,[1]!CMI[[#All],[CÓDIGO DE INDICADOR]],[1]!CMI[[#All],[EjecuciónAcumulada_15]]),IF(AND(YEAR($M45)=2020,MONTH($M45)&lt;=9),LOOKUP($J45,[1]!CMI[[#All],[CÓDIGO DE INDICADOR]],[1]!CMI[[#All],[EjecuciónAcumulada_16]]),IF(AND(YEAR($M45)=2020,MONTH($M45)&lt;=12),LOOKUP($J45,[1]!CMI[[#All],[CÓDIGO DE INDICADOR]],[1]!CMI[[#All],[EjecuciónAcumulada_17]]),"N.A")))))))))))))))))</f>
        <v>0</v>
      </c>
      <c r="BN45" s="17" t="str">
        <f t="shared" si="7"/>
        <v>N.A.</v>
      </c>
      <c r="BO45" s="51">
        <f t="shared" si="15"/>
        <v>1</v>
      </c>
      <c r="BP45" s="68">
        <f t="shared" si="8"/>
        <v>0</v>
      </c>
    </row>
    <row r="46" spans="2:68" ht="147.75" customHeight="1">
      <c r="B46" s="132"/>
      <c r="C46" s="10" t="s">
        <v>197</v>
      </c>
      <c r="D46" s="11" t="str">
        <f>LOOKUP($J46,[1]!CMI[[#All],[CÓDIGO DE INDICADOR]],[1]!CMI[[#All],[NOMBRE DEL INDICADOR]])</f>
        <v>Número de jornadas de sensibilización realizadas</v>
      </c>
      <c r="E46" s="11" t="str">
        <f>LOOKUP($J46,[1]!CMI[[#All],[CÓDIGO DE INDICADOR]],[1]!CMI[[#All],[FÓRMULA DE CÁLCULO]])</f>
        <v xml:space="preserve">No. de actividades realizadas </v>
      </c>
      <c r="F46" s="12">
        <f>LOOKUP($J46,[1]!CMI[[#All],[CÓDIGO DE INDICADOR]],[1]!CMI[[#All],[VALOR PROGRAMADO TOTAL]])</f>
        <v>1</v>
      </c>
      <c r="G46" s="10" t="s">
        <v>201</v>
      </c>
      <c r="H46" s="10" t="s">
        <v>202</v>
      </c>
      <c r="I46" s="11" t="str">
        <f>LOOKUP($J46,[1]!CMI[[#All],[CÓDIGO DE INDICADOR]],[1]!CMI[[#All],[DEPENDENCIA]])</f>
        <v>Dependencia Líder: Dirección de Talento Humano 
Dependencia Operativa:Subdirección de Desarrollo del Talento Humano</v>
      </c>
      <c r="J46" s="13" t="s">
        <v>206</v>
      </c>
      <c r="K46" s="11" t="str">
        <f>LOOKUP($J46,[1]!CMI[[#All],[CÓDIGO DE INDICADOR]],[1]!CMI[[#All],[CÁLCULO VALOR PROGRAMADO ACUMULADO]])</f>
        <v>Sumatoria</v>
      </c>
      <c r="L46" s="11" t="str">
        <f>LOOKUP($J46,[1]!CMI[[#All],[CÓDIGO DE INDICADOR]],[1]!CMI[[#All],[TENDENCIA DECRECIENTE]])</f>
        <v>No</v>
      </c>
      <c r="M46" s="14">
        <f>LOOKUP($J46,[1]!CMI[[#All],[CÓDIGO DE INDICADOR]],[1]!CMI[[#All],[FECHA DE CORTE]])</f>
        <v>43281</v>
      </c>
      <c r="N46" s="12">
        <v>0</v>
      </c>
      <c r="O46" s="12">
        <v>0</v>
      </c>
      <c r="P46" s="12">
        <v>0</v>
      </c>
      <c r="Q46" s="15">
        <v>0</v>
      </c>
      <c r="R46" s="15">
        <v>0</v>
      </c>
      <c r="S46" s="15">
        <v>0</v>
      </c>
      <c r="T46" s="15">
        <f>LOOKUP($J46,[1]!CMI[[#All],[CÓDIGO DE INDICADOR]],[1]!CMI[[#All],[Programado_1]])</f>
        <v>0</v>
      </c>
      <c r="U46" s="15">
        <f>IF(LOOKUP($J46,[1]!CMI[[#All],[CÓDIGO DE INDICADOR]],[1]!CMI[[#All],[Ejecutado_1]])="-",0,LOOKUP($J46,[1]!CMI[[#All],[CÓDIGO DE INDICADOR]],[1]!CMI[[#All],[Ejecutado_1]]))</f>
        <v>0</v>
      </c>
      <c r="V46" s="16">
        <f t="shared" si="9"/>
        <v>0</v>
      </c>
      <c r="W46" s="16">
        <f t="shared" si="10"/>
        <v>0</v>
      </c>
      <c r="X46" s="12">
        <f>LOOKUP($J46,[1]!CMI[[#All],[CÓDIGO DE INDICADOR]],[1]!CMI[[#All],[Programado_2]])</f>
        <v>0</v>
      </c>
      <c r="Y46" s="12">
        <f>IF(LOOKUP($J46,[1]!CMI[[#All],[CÓDIGO DE INDICADOR]],[1]!CMI[[#All],[Ejecutado_2]])="-",0,LOOKUP($J46,[1]!CMI[[#All],[CÓDIGO DE INDICADOR]],[1]!CMI[[#All],[Ejecutado_2]]))</f>
        <v>0</v>
      </c>
      <c r="Z46" s="12">
        <f>LOOKUP($J46,[1]!CMI[[#All],[CÓDIGO DE INDICADOR]],[1]!CMI[[#All],[Programado_3]])</f>
        <v>0</v>
      </c>
      <c r="AA46" s="15">
        <f>IF(LOOKUP($J46,[1]!CMI[[#All],[CÓDIGO DE INDICADOR]],[1]!CMI[[#All],[Ejecutado_3]])="-",0,LOOKUP($J46,[1]!CMI[[#All],[CÓDIGO DE INDICADOR]],[1]!CMI[[#All],[Ejecutado_3]]))</f>
        <v>0</v>
      </c>
      <c r="AB46" s="15">
        <f>LOOKUP($J46,[1]!CMI[[#All],[CÓDIGO DE INDICADOR]],[1]!CMI[[#All],[Programado_4]])</f>
        <v>0</v>
      </c>
      <c r="AC46" s="15">
        <f>IF(LOOKUP($J46,[1]!CMI[[#All],[CÓDIGO DE INDICADOR]],[1]!CMI[[#All],[Ejecutado_4]])="-",0,LOOKUP($J46,[1]!CMI[[#All],[CÓDIGO DE INDICADOR]],[1]!CMI[[#All],[Ejecutado_4]]))</f>
        <v>0</v>
      </c>
      <c r="AD46" s="15">
        <f>LOOKUP($J46,[1]!CMI[[#All],[CÓDIGO DE INDICADOR]],[1]!CMI[[#All],[Programado_5]])</f>
        <v>0</v>
      </c>
      <c r="AE46" s="15">
        <f>IF(LOOKUP($J46,[1]!CMI[[#All],[CÓDIGO DE INDICADOR]],[1]!CMI[[#All],[Ejecutado_5]])="-",0,LOOKUP($J46,[1]!CMI[[#All],[CÓDIGO DE INDICADOR]],[1]!CMI[[#All],[Ejecutado_5]]))</f>
        <v>0</v>
      </c>
      <c r="AF46" s="16">
        <f t="shared" si="11"/>
        <v>0</v>
      </c>
      <c r="AG46" s="16">
        <f>IF(OR(LOOKUP($J46,[1]!CMI[[#All],[CÓDIGO DE INDICADOR]],[1]!CMI[[#All],[TIPO DE FÓRMULA]])="Valor absoluto",LOOKUP($J46,[1]!CMI[[#All],[CÓDIGO DE INDICADOR]],[1]!CMI[[#All],[TIPO DE FÓRMULA]])="Suma"),Y46+AA46+AC46+AE46,IF(OR(LOOKUP($J46,[1]!CMI[[#All],[CÓDIGO DE INDICADOR]],[1]!CMI[[#All],[TIPO DE FÓRMULA]])="Porcentaje",LOOKUP($J46,[1]!CMI[[#All],[CÓDIGO DE INDICADOR]],[1]!CMI[[#All],[TIPO DE FÓRMULA]])="División"),IF(LOOKUP($J46,[1]!CMI[[#All],[CÓDIGO DE INDICADOR]],[1]!CMI[[#All],[Variable2_2]])+LOOKUP($J46,[1]!CMI[[#All],[CÓDIGO DE INDICADOR]],[1]!CMI[[#All],[Variable2_3]])+LOOKUP($J46,[1]!CMI[[#All],[CÓDIGO DE INDICADOR]],[1]!CMI[[#All],[Variable2_4]])+LOOKUP($J46,[1]!CMI[[#All],[CÓDIGO DE INDICADOR]],[1]!CMI[[#All],[Variable2_5]])=0,0,(LOOKUP($J46,[1]!CMI[[#All],[CÓDIGO DE INDICADOR]],[1]!CMI[[#All],[Variable1_2]])+LOOKUP($J46,[1]!CMI[[#All],[CÓDIGO DE INDICADOR]],[1]!CMI[[#All],[Variable1_3]])+LOOKUP($J46,[1]!CMI[[#All],[CÓDIGO DE INDICADOR]],[1]!CMI[[#All],[Variable1_4]])+LOOKUP($J46,[1]!CMI[[#All],[CÓDIGO DE INDICADOR]],[1]!CMI[[#All],[Variable1_5]]))/(LOOKUP($J46,[1]!CMI[[#All],[CÓDIGO DE INDICADOR]],[1]!CMI[[#All],[Variable2_2]])+LOOKUP($J46,[1]!CMI[[#All],[CÓDIGO DE INDICADOR]],[1]!CMI[[#All],[Variable2_3]])+LOOKUP($J46,[1]!CMI[[#All],[CÓDIGO DE INDICADOR]],[1]!CMI[[#All],[Variable2_4]])+LOOKUP($J46,[1]!CMI[[#All],[CÓDIGO DE INDICADOR]],[1]!CMI[[#All],[Variable2_5]]))),IF(LOOKUP($J46,[1]!CMI[[#All],[CÓDIGO DE INDICADOR]],[1]!CMI[[#All],[TIPO DE FÓRMULA]])="Tasa de variación",LOOKUP($J46,[1]!CMI[[#All],[CÓDIGO DE INDICADOR]],[1]!CMI[[#All],[EjecuciónAcumulada_5]]),0)))</f>
        <v>0</v>
      </c>
      <c r="AH46" s="12">
        <f>LOOKUP($J46,[1]!CMI[[#All],[CÓDIGO DE INDICADOR]],[1]!CMI[[#All],[Programado_6]])</f>
        <v>0</v>
      </c>
      <c r="AI46" s="12">
        <f>IF(LOOKUP($J46,[1]!CMI[[#All],[CÓDIGO DE INDICADOR]],[1]!CMI[[#All],[Ejecutado_6]])="-",0,LOOKUP($J46,[1]!CMI[[#All],[CÓDIGO DE INDICADOR]],[1]!CMI[[#All],[Ejecutado_6]]))</f>
        <v>0</v>
      </c>
      <c r="AJ46" s="12">
        <f>LOOKUP($J46,[1]!CMI[[#All],[CÓDIGO DE INDICADOR]],[1]!CMI[[#All],[Programado_7]])</f>
        <v>1</v>
      </c>
      <c r="AK46" s="15">
        <f>IF(LOOKUP($J46,[1]!CMI[[#All],[CÓDIGO DE INDICADOR]],[1]!CMI[[#All],[Ejecutado_7]])="-",0,LOOKUP($J46,[1]!CMI[[#All],[CÓDIGO DE INDICADOR]],[1]!CMI[[#All],[Ejecutado_7]]))</f>
        <v>1</v>
      </c>
      <c r="AL46" s="15">
        <f>LOOKUP($J46,[1]!CMI[[#All],[CÓDIGO DE INDICADOR]],[1]!CMI[[#All],[Programado_8]])</f>
        <v>1</v>
      </c>
      <c r="AM46" s="15">
        <f>IF(LOOKUP($J46,[1]!CMI[[#All],[CÓDIGO DE INDICADOR]],[1]!CMI[[#All],[Ejecutado_8]])="-",0,LOOKUP($J46,[1]!CMI[[#All],[CÓDIGO DE INDICADOR]],[1]!CMI[[#All],[Ejecutado_8]]))</f>
        <v>0</v>
      </c>
      <c r="AN46" s="15">
        <f>LOOKUP($J46,[1]!CMI[[#All],[CÓDIGO DE INDICADOR]],[1]!CMI[[#All],[Programado_9]])</f>
        <v>1</v>
      </c>
      <c r="AO46" s="15">
        <f>IF(LOOKUP($J46,[1]!CMI[[#All],[CÓDIGO DE INDICADOR]],[1]!CMI[[#All],[Ejecutado_9]])="-",0,LOOKUP($J46,[1]!CMI[[#All],[CÓDIGO DE INDICADOR]],[1]!CMI[[#All],[Ejecutado_9]]))</f>
        <v>0</v>
      </c>
      <c r="AP46" s="16">
        <f t="shared" si="12"/>
        <v>3</v>
      </c>
      <c r="AQ46" s="16">
        <f>IF(OR(LOOKUP($J46,[1]!CMI[[#All],[CÓDIGO DE INDICADOR]],[1]!CMI[[#All],[TIPO DE FÓRMULA]])="Valor absoluto",LOOKUP($J46,[1]!CMI[[#All],[CÓDIGO DE INDICADOR]],[1]!CMI[[#All],[TIPO DE FÓRMULA]])="Suma"),AI46+AK46+AM46+AO46,IF(OR(LOOKUP($J46,[1]!CMI[[#All],[CÓDIGO DE INDICADOR]],[1]!CMI[[#All],[TIPO DE FÓRMULA]])="Porcentaje",LOOKUP($J46,[1]!CMI[[#All],[CÓDIGO DE INDICADOR]],[1]!CMI[[#All],[TIPO DE FÓRMULA]])="División"),IF(LOOKUP($J46,[1]!CMI[[#All],[CÓDIGO DE INDICADOR]],[1]!CMI[[#All],[Variable2_6]])+LOOKUP($J46,[1]!CMI[[#All],[CÓDIGO DE INDICADOR]],[1]!CMI[[#All],[Variable2_7]])+LOOKUP($J46,[1]!CMI[[#All],[CÓDIGO DE INDICADOR]],[1]!CMI[[#All],[Variable2_8]])+LOOKUP($J46,[1]!CMI[[#All],[CÓDIGO DE INDICADOR]],[1]!CMI[[#All],[Variable2_9]])=0,0,(LOOKUP($J46,[1]!CMI[[#All],[CÓDIGO DE INDICADOR]],[1]!CMI[[#All],[Variable1_6]])+LOOKUP($J46,[1]!CMI[[#All],[CÓDIGO DE INDICADOR]],[1]!CMI[[#All],[Variable1_7]])+LOOKUP($J46,[1]!CMI[[#All],[CÓDIGO DE INDICADOR]],[1]!CMI[[#All],[Variable1_8]])+LOOKUP($J46,[1]!CMI[[#All],[CÓDIGO DE INDICADOR]],[1]!CMI[[#All],[Variable1_9]]))/(LOOKUP($J46,[1]!CMI[[#All],[CÓDIGO DE INDICADOR]],[1]!CMI[[#All],[Variable2_6]])+LOOKUP($J46,[1]!CMI[[#All],[CÓDIGO DE INDICADOR]],[1]!CMI[[#All],[Variable2_7]])+LOOKUP($J46,[1]!CMI[[#All],[CÓDIGO DE INDICADOR]],[1]!CMI[[#All],[Variable2_8]])+LOOKUP($J46,[1]!CMI[[#All],[CÓDIGO DE INDICADOR]],[1]!CMI[[#All],[Variable2_9]]))),IF(LOOKUP($J46,[1]!CMI[[#All],[CÓDIGO DE INDICADOR]],[1]!CMI[[#All],[TIPO DE FÓRMULA]])="Tasa de variación",LOOKUP($J46,[1]!CMI[[#All],[CÓDIGO DE INDICADOR]],[1]!CMI[[#All],[EjecuciónAcumulada_9]]),0)))</f>
        <v>1</v>
      </c>
      <c r="AR46" s="12">
        <f>LOOKUP($J46,[1]!CMI[[#All],[CÓDIGO DE INDICADOR]],[1]!CMI[[#All],[Programado_10]])</f>
        <v>0</v>
      </c>
      <c r="AS46" s="12">
        <f>IF(LOOKUP($J46,[1]!CMI[[#All],[CÓDIGO DE INDICADOR]],[1]!CMI[[#All],[Ejecutado_10]])="-",0,LOOKUP($J46,[1]!CMI[[#All],[CÓDIGO DE INDICADOR]],[1]!CMI[[#All],[Ejecutado_10]]))</f>
        <v>0</v>
      </c>
      <c r="AT46" s="12">
        <f>LOOKUP($J46,[1]!CMI[[#All],[CÓDIGO DE INDICADOR]],[1]!CMI[[#All],[Programado_11]])</f>
        <v>1</v>
      </c>
      <c r="AU46" s="15">
        <f>IF(LOOKUP($J46,[1]!CMI[[#All],[CÓDIGO DE INDICADOR]],[1]!CMI[[#All],[Ejecutado_11]])="-",0,LOOKUP($J46,[1]!CMI[[#All],[CÓDIGO DE INDICADOR]],[1]!CMI[[#All],[Ejecutado_11]]))</f>
        <v>0</v>
      </c>
      <c r="AV46" s="15">
        <f>LOOKUP($J46,[1]!CMI[[#All],[CÓDIGO DE INDICADOR]],[1]!CMI[[#All],[Programado_12]])</f>
        <v>1</v>
      </c>
      <c r="AW46" s="15">
        <f>IF(LOOKUP($J46,[1]!CMI[[#All],[CÓDIGO DE INDICADOR]],[1]!CMI[[#All],[Ejecutado_12]])="-",0,LOOKUP($J46,[1]!CMI[[#All],[CÓDIGO DE INDICADOR]],[1]!CMI[[#All],[Ejecutado_12]]))</f>
        <v>0</v>
      </c>
      <c r="AX46" s="15">
        <f>LOOKUP($J46,[1]!CMI[[#All],[CÓDIGO DE INDICADOR]],[1]!CMI[[#All],[Programado_13]])</f>
        <v>1</v>
      </c>
      <c r="AY46" s="15">
        <f>IF(LOOKUP($J46,[1]!CMI[[#All],[CÓDIGO DE INDICADOR]],[1]!CMI[[#All],[Ejecutado_13]])="-",0,LOOKUP($J46,[1]!CMI[[#All],[CÓDIGO DE INDICADOR]],[1]!CMI[[#All],[Ejecutado_13]]))</f>
        <v>0</v>
      </c>
      <c r="AZ46" s="16">
        <f t="shared" si="13"/>
        <v>3</v>
      </c>
      <c r="BA46" s="16">
        <f>IF(OR(LOOKUP($J46,[1]!CMI[[#All],[CÓDIGO DE INDICADOR]],[1]!CMI[[#All],[TIPO DE FÓRMULA]])="Valor absoluto",LOOKUP($J46,[1]!CMI[[#All],[CÓDIGO DE INDICADOR]],[1]!CMI[[#All],[TIPO DE FÓRMULA]])="Suma"),AS46+AU46+AW46+AY46,IF(OR(LOOKUP($J46,[1]!CMI[[#All],[CÓDIGO DE INDICADOR]],[1]!CMI[[#All],[TIPO DE FÓRMULA]])="Porcentaje",LOOKUP($J46,[1]!CMI[[#All],[CÓDIGO DE INDICADOR]],[1]!CMI[[#All],[TIPO DE FÓRMULA]])="División"),IF(LOOKUP($J46,[1]!CMI[[#All],[CÓDIGO DE INDICADOR]],[1]!CMI[[#All],[Variable2_10]])+LOOKUP($J46,[1]!CMI[[#All],[CÓDIGO DE INDICADOR]],[1]!CMI[[#All],[Variable2_11]])+LOOKUP($J46,[1]!CMI[[#All],[CÓDIGO DE INDICADOR]],[1]!CMI[[#All],[Variable2_12]])+LOOKUP($J46,[1]!CMI[[#All],[CÓDIGO DE INDICADOR]],[1]!CMI[[#All],[Variable2_13]])=0,0,(LOOKUP($J46,[1]!CMI[[#All],[CÓDIGO DE INDICADOR]],[1]!CMI[[#All],[Variable1_10]])+LOOKUP($J46,[1]!CMI[[#All],[CÓDIGO DE INDICADOR]],[1]!CMI[[#All],[Variable1_11]])+LOOKUP($J46,[1]!CMI[[#All],[CÓDIGO DE INDICADOR]],[1]!CMI[[#All],[Variable1_12]])+LOOKUP($J46,[1]!CMI[[#All],[CÓDIGO DE INDICADOR]],[1]!CMI[[#All],[Variable1_13]]))/(LOOKUP($J46,[1]!CMI[[#All],[CÓDIGO DE INDICADOR]],[1]!CMI[[#All],[Variable2_10]])+LOOKUP($J46,[1]!CMI[[#All],[CÓDIGO DE INDICADOR]],[1]!CMI[[#All],[Variable2_11]])+LOOKUP($J46,[1]!CMI[[#All],[CÓDIGO DE INDICADOR]],[1]!CMI[[#All],[Variable2_12]])+LOOKUP($J46,[1]!CMI[[#All],[CÓDIGO DE INDICADOR]],[1]!CMI[[#All],[Variable2_13]]))),IF(LOOKUP($J46,[1]!CMI[[#All],[CÓDIGO DE INDICADOR]],[1]!CMI[[#All],[TIPO DE FÓRMULA]])="Tasa de variación",LOOKUP($J46,[1]!CMI[[#All],[CÓDIGO DE INDICADOR]],[1]!CMI[[#All],[EjecuciónAcumulada_13]]),0)))</f>
        <v>0</v>
      </c>
      <c r="BB46" s="12">
        <f>LOOKUP($J46,[1]!CMI[[#All],[CÓDIGO DE INDICADOR]],[1]!CMI[[#All],[Programado_14]])</f>
        <v>0</v>
      </c>
      <c r="BC46" s="12">
        <f>IF(LOOKUP($J46,[1]!CMI[[#All],[CÓDIGO DE INDICADOR]],[1]!CMI[[#All],[Ejecutado_14]])="-",0,LOOKUP($J46,[1]!CMI[[#All],[CÓDIGO DE INDICADOR]],[1]!CMI[[#All],[Ejecutado_14]]))</f>
        <v>0</v>
      </c>
      <c r="BD46" s="12">
        <f>LOOKUP($J46,[1]!CMI[[#All],[CÓDIGO DE INDICADOR]],[1]!CMI[[#All],[Programado_15]])</f>
        <v>0</v>
      </c>
      <c r="BE46" s="15">
        <f>IF(LOOKUP($J46,[1]!CMI[[#All],[CÓDIGO DE INDICADOR]],[1]!CMI[[#All],[Ejecutado_15]])="-",0,LOOKUP($J46,[1]!CMI[[#All],[CÓDIGO DE INDICADOR]],[1]!CMI[[#All],[Ejecutado_15]]))</f>
        <v>0</v>
      </c>
      <c r="BF46" s="15">
        <f>LOOKUP($J46,[1]!CMI[[#All],[CÓDIGO DE INDICADOR]],[1]!CMI[[#All],[Programado_16]])</f>
        <v>0</v>
      </c>
      <c r="BG46" s="15">
        <f>IF(LOOKUP($J46,[1]!CMI[[#All],[CÓDIGO DE INDICADOR]],[1]!CMI[[#All],[Ejecutado_16]])="-",0,LOOKUP($J46,[1]!CMI[[#All],[CÓDIGO DE INDICADOR]],[1]!CMI[[#All],[Ejecutado_16]]))</f>
        <v>0</v>
      </c>
      <c r="BH46" s="15">
        <f>LOOKUP($J46,[1]!CMI[[#All],[CÓDIGO DE INDICADOR]],[1]!CMI[[#All],[Programado_17]])</f>
        <v>0</v>
      </c>
      <c r="BI46" s="15">
        <f>IF(LOOKUP($J46,[1]!CMI[[#All],[CÓDIGO DE INDICADOR]],[1]!CMI[[#All],[Ejecutado_17]])="-",0,LOOKUP($J46,[1]!CMI[[#All],[CÓDIGO DE INDICADOR]],[1]!CMI[[#All],[Ejecutado_17]]))</f>
        <v>0</v>
      </c>
      <c r="BJ46" s="16">
        <f t="shared" si="14"/>
        <v>0</v>
      </c>
      <c r="BK46" s="16">
        <f>IF(OR(LOOKUP($J46,[1]!CMI[[#All],[CÓDIGO DE INDICADOR]],[1]!CMI[[#All],[TIPO DE FÓRMULA]])="Valor absoluto",LOOKUP($J46,[1]!CMI[[#All],[CÓDIGO DE INDICADOR]],[1]!CMI[[#All],[TIPO DE FÓRMULA]])="Suma"),BC46+BE46+BG46+BI46,IF(OR(LOOKUP($J46,[1]!CMI[[#All],[CÓDIGO DE INDICADOR]],[1]!CMI[[#All],[TIPO DE FÓRMULA]])="Porcentaje",LOOKUP($J46,[1]!CMI[[#All],[CÓDIGO DE INDICADOR]],[1]!CMI[[#All],[TIPO DE FÓRMULA]])="División"),IF(LOOKUP($J46,[1]!CMI[[#All],[CÓDIGO DE INDICADOR]],[1]!CMI[[#All],[Variable2_14]])+LOOKUP($J46,[1]!CMI[[#All],[CÓDIGO DE INDICADOR]],[1]!CMI[[#All],[Variable2_15]])+LOOKUP($J46,[1]!CMI[[#All],[CÓDIGO DE INDICADOR]],[1]!CMI[[#All],[Variable2_16]])+LOOKUP($J46,[1]!CMI[[#All],[CÓDIGO DE INDICADOR]],[1]!CMI[[#All],[Variable2_17]])=0,0,(LOOKUP($J46,[1]!CMI[[#All],[CÓDIGO DE INDICADOR]],[1]!CMI[[#All],[Variable1_14]])+LOOKUP($J46,[1]!CMI[[#All],[CÓDIGO DE INDICADOR]],[1]!CMI[[#All],[Variable1_15]])+LOOKUP($J46,[1]!CMI[[#All],[CÓDIGO DE INDICADOR]],[1]!CMI[[#All],[Variable1_16]])+LOOKUP($J46,[1]!CMI[[#All],[CÓDIGO DE INDICADOR]],[1]!CMI[[#All],[Variable1_17]]))/(LOOKUP($J46,[1]!CMI[[#All],[CÓDIGO DE INDICADOR]],[1]!CMI[[#All],[Variable2_14]])+LOOKUP($J46,[1]!CMI[[#All],[CÓDIGO DE INDICADOR]],[1]!CMI[[#All],[Variable2_15]])+LOOKUP($J46,[1]!CMI[[#All],[CÓDIGO DE INDICADOR]],[1]!CMI[[#All],[Variable2_16]])+LOOKUP($J46,[1]!CMI[[#All],[CÓDIGO DE INDICADOR]],[1]!CMI[[#All],[Variable2_17]]))),IF(LOOKUP($J46,[1]!CMI[[#All],[CÓDIGO DE INDICADOR]],[1]!CMI[[#All],[TIPO DE FÓRMULA]])="Tasa de variación",LOOKUP($J46,[1]!CMI[[#All],[CÓDIGO DE INDICADOR]],[1]!CMI[[#All],[EjecuciónAcumulada_17]]),0)))</f>
        <v>0</v>
      </c>
      <c r="BL46" s="16">
        <f>IF(YEAR($M46)=2016,LOOKUP($J46,[1]!CMI[[#All],[CÓDIGO DE INDICADOR]],[1]!CMI[[#All],[ProgramadoAcumulado_1]]),IF(AND(YEAR($M46)=2017,MONTH($M46)&lt;=3),LOOKUP($J46,[1]!CMI[[#All],[CÓDIGO DE INDICADOR]],[1]!CMI[[#All],[ProgramadoAcumulado_2]]),IF(AND(YEAR($M46)=2017,MONTH($M46)&lt;=6),LOOKUP($J46,[1]!CMI[[#All],[CÓDIGO DE INDICADOR]],[1]!CMI[[#All],[ProgramadoAcumulado_3]]),IF(AND(YEAR($M46)=2017,MONTH($M46)&lt;=9),LOOKUP($J46,[1]!CMI[[#All],[CÓDIGO DE INDICADOR]],[1]!CMI[[#All],[ProgramadoAcumulado_4]]),IF(AND(YEAR($M46)=2017,MONTH($M46)&lt;=12),LOOKUP($J46,[1]!CMI[[#All],[CÓDIGO DE INDICADOR]],[1]!CMI[[#All],[ProgramadoAcumulado_5]]),IF(AND(YEAR($M46)=2018,MONTH($M46)&lt;=3),LOOKUP($J46,[1]!CMI[[#All],[CÓDIGO DE INDICADOR]],[1]!CMI[[#All],[ProgramadoAcumulado_6]]),IF(AND(YEAR($M46)=2018,MONTH($M46)&lt;=6),LOOKUP($J46,[1]!CMI[[#All],[CÓDIGO DE INDICADOR]],[1]!CMI[[#All],[ProgramadoAcumulado_7]]),IF(AND(YEAR($M46)=2018,MONTH($M46)&lt;=9),LOOKUP($J46,[1]!CMI[[#All],[CÓDIGO DE INDICADOR]],[1]!CMI[[#All],[ProgramadoAcumulado_8]]),IF(AND(YEAR($M46)=2018,MONTH($M46)&lt;=12),LOOKUP($J46,[1]!CMI[[#All],[CÓDIGO DE INDICADOR]],[1]!CMI[[#All],[ProgramadoAcumulado_9]]),IF(AND(YEAR($M46)=2019,MONTH($M46)&lt;=3),LOOKUP($J46,[1]!CMI[[#All],[CÓDIGO DE INDICADOR]],[1]!CMI[[#All],[ProgramadoAcumulado_10]]),IF(AND(YEAR($M46)=2019,MONTH($M46)&lt;=6),LOOKUP($J46,[1]!CMI[[#All],[CÓDIGO DE INDICADOR]],[1]!CMI[[#All],[ProgramadoAcumulado_11]]),IF(AND(YEAR($M46)=2019,MONTH($M46)&lt;=9),LOOKUP($J46,[1]!CMI[[#All],[CÓDIGO DE INDICADOR]],[1]!CMI[[#All],[ProgramadoAcumulado_12]]),IF(AND(YEAR($M46)=2019,MONTH($M46)&lt;=12),LOOKUP($J46,[1]!CMI[[#All],[CÓDIGO DE INDICADOR]],[1]!CMI[[#All],[ProgramadoAcumulado_13]]),IF(AND(YEAR($M46)=2020,MONTH($M46)&lt;=3),LOOKUP($J46,[1]!CMI[[#All],[CÓDIGO DE INDICADOR]],[1]!CMI[[#All],[ProgramadoAcumulado_14]]),IF(AND(YEAR($M46)=2020,MONTH($M46)&lt;=6),LOOKUP($J46,[1]!CMI[[#All],[CÓDIGO DE INDICADOR]],[1]!CMI[[#All],[ProgramadoAcumulado_15]]),IF(AND(YEAR($M46)=2020,MONTH($M46)&lt;=9),LOOKUP($J46,[1]!CMI[[#All],[CÓDIGO DE INDICADOR]],[1]!CMI[[#All],[ProgramadoAcumulado_16]]),IF(AND(YEAR($M46)=2020,MONTH($M46)&lt;=12),LOOKUP($J46,[1]!CMI[[#All],[CÓDIGO DE INDICADOR]],[1]!CMI[[#All],[ProgramadoAcumulado_17]]),"N.A")))))))))))))))))</f>
        <v>1</v>
      </c>
      <c r="BM46" s="16">
        <f>IF(YEAR($M46)=2016,LOOKUP($J46,[1]!CMI[[#All],[CÓDIGO DE INDICADOR]],[1]!CMI[[#All],[EjecuciónAcumulada_1]]),IF(AND(YEAR($M46)=2017,MONTH($M46)&lt;=3),LOOKUP($J46,[1]!CMI[[#All],[CÓDIGO DE INDICADOR]],[1]!CMI[[#All],[EjecuciónAcumulada_2]]),IF(AND(YEAR($M46)=2017,MONTH($M46)&lt;=6),LOOKUP($J46,[1]!CMI[[#All],[CÓDIGO DE INDICADOR]],[1]!CMI[[#All],[EjecuciónAcumulada_3]]),IF(AND(YEAR($M46)=2017,MONTH($M46)&lt;=9),LOOKUP($J46,[1]!CMI[[#All],[CÓDIGO DE INDICADOR]],[1]!CMI[[#All],[EjecuciónAcumulada_4]]),IF(AND(YEAR($M46)=2017,MONTH($M46)&lt;=12),LOOKUP($J46,[1]!CMI[[#All],[CÓDIGO DE INDICADOR]],[1]!CMI[[#All],[EjecuciónAcumulada_5]]),IF(AND(YEAR($M46)=2018,MONTH($M46)&lt;=3),LOOKUP($J46,[1]!CMI[[#All],[CÓDIGO DE INDICADOR]],[1]!CMI[[#All],[EjecuciónAcumulada_6]]),IF(AND(YEAR($M46)=2018,MONTH($M46)&lt;=6),LOOKUP($J46,[1]!CMI[[#All],[CÓDIGO DE INDICADOR]],[1]!CMI[[#All],[EjecuciónAcumulada_7]]),IF(AND(YEAR($M46)=2018,MONTH($M46)&lt;=9),LOOKUP($J46,[1]!CMI[[#All],[CÓDIGO DE INDICADOR]],[1]!CMI[[#All],[EjecuciónAcumulada_8]]),IF(AND(YEAR($M46)=2018,MONTH($M46)&lt;=12),LOOKUP($J46,[1]!CMI[[#All],[CÓDIGO DE INDICADOR]],[1]!CMI[[#All],[EjecuciónAcumulada_9]]),IF(AND(YEAR($M46)=2019,MONTH($M46)&lt;=3),LOOKUP($J46,[1]!CMI[[#All],[CÓDIGO DE INDICADOR]],[1]!CMI[[#All],[EjecuciónAcumulada_10]]),IF(AND(YEAR($M46)=2019,MONTH($M46)&lt;=6),LOOKUP($J46,[1]!CMI[[#All],[CÓDIGO DE INDICADOR]],[1]!CMI[[#All],[EjecuciónAcumulada_11]]),IF(AND(YEAR($M46)=2019,MONTH($M46)&lt;=9),LOOKUP($J46,[1]!CMI[[#All],[CÓDIGO DE INDICADOR]],[1]!CMI[[#All],[EjecuciónAcumulada_12]]),IF(AND(YEAR($M46)=2019,MONTH($M46)&lt;=12),LOOKUP($J46,[1]!CMI[[#All],[CÓDIGO DE INDICADOR]],[1]!CMI[[#All],[EjecuciónAcumulada_13]]),IF(AND(YEAR($M46)=2020,MONTH($M46)&lt;=3),LOOKUP($J46,[1]!CMI[[#All],[CÓDIGO DE INDICADOR]],[1]!CMI[[#All],[EjecuciónAcumulada_14]]),IF(AND(YEAR($M46)=2020,MONTH($M46)&lt;=6),LOOKUP($J46,[1]!CMI[[#All],[CÓDIGO DE INDICADOR]],[1]!CMI[[#All],[EjecuciónAcumulada_15]]),IF(AND(YEAR($M46)=2020,MONTH($M46)&lt;=9),LOOKUP($J46,[1]!CMI[[#All],[CÓDIGO DE INDICADOR]],[1]!CMI[[#All],[EjecuciónAcumulada_16]]),IF(AND(YEAR($M46)=2020,MONTH($M46)&lt;=12),LOOKUP($J46,[1]!CMI[[#All],[CÓDIGO DE INDICADOR]],[1]!CMI[[#All],[EjecuciónAcumulada_17]]),"N.A")))))))))))))))))</f>
        <v>1</v>
      </c>
      <c r="BN46" s="17">
        <f t="shared" si="7"/>
        <v>1</v>
      </c>
      <c r="BO46" s="16">
        <f t="shared" si="15"/>
        <v>6</v>
      </c>
      <c r="BP46" s="68">
        <f t="shared" si="8"/>
        <v>0.16666666666666666</v>
      </c>
    </row>
    <row r="47" spans="2:68" ht="16.5" thickBot="1">
      <c r="B47" s="69"/>
      <c r="C47" s="70"/>
      <c r="D47" s="70"/>
      <c r="E47" s="70"/>
      <c r="F47" s="70"/>
      <c r="G47" s="70"/>
      <c r="H47" s="70"/>
      <c r="I47" s="70"/>
      <c r="J47" s="70"/>
      <c r="K47" s="70"/>
      <c r="L47" s="70"/>
      <c r="M47" s="70"/>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c r="BM47" s="71" t="s">
        <v>22</v>
      </c>
      <c r="BN47" s="72">
        <f>AVERAGE(BN13:BN46)</f>
        <v>1.1077712514119518</v>
      </c>
      <c r="BO47" s="71"/>
      <c r="BP47" s="73">
        <f>AVERAGE(BP13:BP46)</f>
        <v>0.35364386985258472</v>
      </c>
    </row>
    <row r="48" spans="2:68" hidden="1">
      <c r="BL48" s="1">
        <f>IF($K13="Sumatoria",IF(YEAR($M13)=2016,V13,IF(AND(YEAR($M13)=2017,MONTH($M13)&lt;=3),V13+X13,IF(AND(YEAR($M13)=2017,MONTH($M13)&lt;=6),V13+X13+Z13,IF(AND(YEAR($M13)=2017,MONTH($M13)&lt;=9),V13+X13+Z13+AB13,IF(AND(YEAR($M13)=2017,MONTH($M13)&lt;=12),V13+AF13,IF(AND(YEAR($M13)=2018,MONTH($M13)&lt;=3),V13+AF13+AH13,IF(AND(YEAR($M13)=2018,MONTH($M13)&lt;=6),V13+AF13+AH13+AJ13,IF(AND(YEAR($M13)=2018,MONTH($M13)&lt;=9),V13+AF13+AH13+AJ13+AL13,IF(AND(YEAR($M13)=2018,MONTH($M13)&lt;=12),V13+AF13+AP13,IF(AND(YEAR($M13)=2019,MONTH($M13)&lt;=3),V13+AF13+AP13+AR13,IF(AND(YEAR($M13)=2019,MONTH($M13)&lt;=6),V13+AF13+AP13+AR13+AT13,IF(AND(YEAR($M13)=2019,MONTH($M13)&lt;=9),V13+AF13+AP13+AR13+AT13+AV13,IF(AND(YEAR($M13)=2019,MONTH($M13)&lt;=12),V13+AF13+AP13+AZ13,IF(AND(YEAR($M13)=2020,MONTH($M13)&lt;=3),V13+AF13+AP13+AZ13+BB13,IF(AND(YEAR($M13)=2020,MONTH($M13)&lt;=6),V13+AF13+AP13+AZ13+BB13+BD13,IF(AND(YEAR($M13)=2020,MONTH($M13)&lt;=9),V13+AF13+AP13+AZ13+BB13+BD13+BF13,IF(AND(YEAR($M13)=2020,MONTH($M13)&lt;=12),V13+AF13+AP13+AZ13+BJ13,"N.A."))))))))))))))))),IF($K13="Constante",$F13,IF(YEAR($M13)=2016,V13,IF(AND(YEAR($M13)=2017,MONTH($M13)&lt;=3),X13,IF(AND(YEAR($M13)=2017,MONTH($M13)&lt;=6),Z13,IF(AND(YEAR($M13)=2017,MONTH($M13)&lt;=9),AB13,IF(AND(YEAR($M13)=2017,MONTH($M13)&lt;=12),AD13,IF(AND(YEAR($M13)=2018,MONTH($M13)&lt;=3),AH13,IF(AND(YEAR($M13)=2018,MONTH($M13)&lt;=6),AJ13,IF(AND(YEAR($M13)=2018,MONTH($M13)&lt;=9),AL13,IF(AND(YEAR($M13)=2018,MONTH($M13)&lt;=12),AN13,IF(AND(YEAR($M13)=2019,MONTH($M13)&lt;=3),AR13,IF(AND(YEAR($M13)=2019,MONTH($M13)&lt;=6),AT13,IF(AND(YEAR($M13)=2019,MONTH($M13)&lt;=9),AV13,IF(AND(YEAR($M13)=2019,MONTH($M13)&lt;=12),AX13,IF(AND(YEAR($M13)=2020,MONTH($M13)&lt;=3),BB13,IF(AND(YEAR($M13)=2020,MONTH($M13)&lt;=6),BD13,IF(AND(YEAR($M13)=2020,MONTH($M13)&lt;=9),BF13,IF(AND(YEAR($M13)=2020,MONTH($M13)&lt;=12),BH13,"N.A.")))))))))))))))))))</f>
        <v>92000</v>
      </c>
      <c r="BN48" s="52"/>
    </row>
    <row r="49" spans="62:64" hidden="1"/>
    <row r="50" spans="62:64" hidden="1"/>
    <row r="51" spans="62:64" hidden="1">
      <c r="BJ51" s="1">
        <v>2016</v>
      </c>
      <c r="BK51" s="1">
        <v>1</v>
      </c>
      <c r="BL51" s="1">
        <f>+BJ51+BK51</f>
        <v>2017</v>
      </c>
    </row>
    <row r="52" spans="62:64" hidden="1">
      <c r="BJ52" s="1">
        <v>2016</v>
      </c>
      <c r="BK52" s="1">
        <v>2</v>
      </c>
      <c r="BL52" s="1">
        <f t="shared" ref="BL52:BL70" si="21">+BJ52+BK52</f>
        <v>2018</v>
      </c>
    </row>
    <row r="53" spans="62:64" hidden="1">
      <c r="BJ53" s="1">
        <v>2016</v>
      </c>
      <c r="BK53" s="1">
        <v>3</v>
      </c>
      <c r="BL53" s="1">
        <f t="shared" si="21"/>
        <v>2019</v>
      </c>
    </row>
    <row r="54" spans="62:64" hidden="1">
      <c r="BJ54" s="1">
        <v>2016</v>
      </c>
      <c r="BK54" s="1">
        <v>4</v>
      </c>
      <c r="BL54" s="1">
        <f t="shared" si="21"/>
        <v>2020</v>
      </c>
    </row>
    <row r="55" spans="62:64" hidden="1">
      <c r="BJ55" s="1">
        <v>2017</v>
      </c>
      <c r="BK55" s="1">
        <v>1</v>
      </c>
      <c r="BL55" s="1">
        <f t="shared" si="21"/>
        <v>2018</v>
      </c>
    </row>
    <row r="56" spans="62:64" hidden="1">
      <c r="BJ56" s="1">
        <v>2017</v>
      </c>
      <c r="BK56" s="1">
        <v>2</v>
      </c>
      <c r="BL56" s="1">
        <f t="shared" si="21"/>
        <v>2019</v>
      </c>
    </row>
    <row r="57" spans="62:64" hidden="1">
      <c r="BJ57" s="1">
        <v>2017</v>
      </c>
      <c r="BK57" s="1">
        <v>3</v>
      </c>
      <c r="BL57" s="1">
        <f t="shared" si="21"/>
        <v>2020</v>
      </c>
    </row>
    <row r="58" spans="62:64" hidden="1">
      <c r="BJ58" s="1">
        <v>2017</v>
      </c>
      <c r="BK58" s="1">
        <v>4</v>
      </c>
      <c r="BL58" s="1">
        <f t="shared" si="21"/>
        <v>2021</v>
      </c>
    </row>
    <row r="59" spans="62:64" hidden="1">
      <c r="BJ59" s="1">
        <v>2018</v>
      </c>
      <c r="BK59" s="1">
        <v>1</v>
      </c>
      <c r="BL59" s="1">
        <f t="shared" si="21"/>
        <v>2019</v>
      </c>
    </row>
    <row r="60" spans="62:64" hidden="1">
      <c r="BJ60" s="1">
        <v>2018</v>
      </c>
      <c r="BK60" s="1">
        <v>2</v>
      </c>
      <c r="BL60" s="1">
        <f t="shared" si="21"/>
        <v>2020</v>
      </c>
    </row>
    <row r="61" spans="62:64" hidden="1">
      <c r="BJ61" s="1">
        <v>2018</v>
      </c>
      <c r="BK61" s="1">
        <v>3</v>
      </c>
      <c r="BL61" s="1">
        <f t="shared" si="21"/>
        <v>2021</v>
      </c>
    </row>
    <row r="62" spans="62:64" hidden="1">
      <c r="BJ62" s="1">
        <v>2018</v>
      </c>
      <c r="BK62" s="1">
        <v>4</v>
      </c>
      <c r="BL62" s="1">
        <f t="shared" si="21"/>
        <v>2022</v>
      </c>
    </row>
    <row r="63" spans="62:64" hidden="1">
      <c r="BJ63" s="1">
        <v>2019</v>
      </c>
      <c r="BK63" s="1">
        <v>1</v>
      </c>
      <c r="BL63" s="1">
        <f t="shared" si="21"/>
        <v>2020</v>
      </c>
    </row>
    <row r="64" spans="62:64" hidden="1">
      <c r="BJ64" s="1">
        <v>2019</v>
      </c>
      <c r="BK64" s="1">
        <v>2</v>
      </c>
      <c r="BL64" s="1">
        <f t="shared" si="21"/>
        <v>2021</v>
      </c>
    </row>
    <row r="65" spans="62:64" hidden="1">
      <c r="BJ65" s="1">
        <v>2019</v>
      </c>
      <c r="BK65" s="1">
        <v>3</v>
      </c>
      <c r="BL65" s="1">
        <f t="shared" si="21"/>
        <v>2022</v>
      </c>
    </row>
    <row r="66" spans="62:64" hidden="1">
      <c r="BJ66" s="1">
        <v>2019</v>
      </c>
      <c r="BK66" s="1">
        <v>4</v>
      </c>
      <c r="BL66" s="1">
        <f t="shared" si="21"/>
        <v>2023</v>
      </c>
    </row>
    <row r="67" spans="62:64" hidden="1">
      <c r="BJ67" s="1">
        <v>2020</v>
      </c>
      <c r="BK67" s="1">
        <v>1</v>
      </c>
      <c r="BL67" s="1">
        <f t="shared" si="21"/>
        <v>2021</v>
      </c>
    </row>
    <row r="68" spans="62:64" hidden="1">
      <c r="BJ68" s="1">
        <v>2020</v>
      </c>
      <c r="BK68" s="1">
        <v>2</v>
      </c>
      <c r="BL68" s="1">
        <f t="shared" si="21"/>
        <v>2022</v>
      </c>
    </row>
    <row r="69" spans="62:64" hidden="1">
      <c r="BJ69" s="1">
        <v>2020</v>
      </c>
      <c r="BK69" s="1">
        <v>3</v>
      </c>
      <c r="BL69" s="1">
        <f t="shared" si="21"/>
        <v>2023</v>
      </c>
    </row>
    <row r="70" spans="62:64" hidden="1">
      <c r="BJ70" s="1">
        <v>2020</v>
      </c>
      <c r="BK70" s="1">
        <v>4</v>
      </c>
      <c r="BL70" s="1">
        <f t="shared" si="21"/>
        <v>2024</v>
      </c>
    </row>
  </sheetData>
  <sheetProtection formatCells="0" formatColumns="0" formatRows="0" insertRows="0" deleteRows="0"/>
  <mergeCells count="63">
    <mergeCell ref="B2:C6"/>
    <mergeCell ref="D2:BN6"/>
    <mergeCell ref="BO6:BP6"/>
    <mergeCell ref="B9:B12"/>
    <mergeCell ref="C9:C12"/>
    <mergeCell ref="D9:D12"/>
    <mergeCell ref="E9:E12"/>
    <mergeCell ref="F9:F12"/>
    <mergeCell ref="G9:G12"/>
    <mergeCell ref="H9:H12"/>
    <mergeCell ref="I9:I12"/>
    <mergeCell ref="J9:J12"/>
    <mergeCell ref="K9:K12"/>
    <mergeCell ref="L9:L12"/>
    <mergeCell ref="M9:M12"/>
    <mergeCell ref="BO9:BP10"/>
    <mergeCell ref="BP11:BP12"/>
    <mergeCell ref="BL11:BL12"/>
    <mergeCell ref="N9:W10"/>
    <mergeCell ref="N11:O11"/>
    <mergeCell ref="P11:Q11"/>
    <mergeCell ref="T11:U11"/>
    <mergeCell ref="V11:W11"/>
    <mergeCell ref="R11:S11"/>
    <mergeCell ref="BL9:BN10"/>
    <mergeCell ref="BM11:BM12"/>
    <mergeCell ref="BN11:BN12"/>
    <mergeCell ref="BO11:BO12"/>
    <mergeCell ref="X9:AG10"/>
    <mergeCell ref="X11:Y11"/>
    <mergeCell ref="Z11:AA11"/>
    <mergeCell ref="AB11:AC11"/>
    <mergeCell ref="AD11:AE11"/>
    <mergeCell ref="AF11:AG11"/>
    <mergeCell ref="AH9:AQ10"/>
    <mergeCell ref="AH11:AI11"/>
    <mergeCell ref="AJ11:AK11"/>
    <mergeCell ref="AL11:AM11"/>
    <mergeCell ref="AN11:AO11"/>
    <mergeCell ref="AP11:AQ11"/>
    <mergeCell ref="AR9:BA10"/>
    <mergeCell ref="AR11:AS11"/>
    <mergeCell ref="AT11:AU11"/>
    <mergeCell ref="AV11:AW11"/>
    <mergeCell ref="AX11:AY11"/>
    <mergeCell ref="AZ11:BA11"/>
    <mergeCell ref="BB9:BK10"/>
    <mergeCell ref="BB11:BC11"/>
    <mergeCell ref="BD11:BE11"/>
    <mergeCell ref="BF11:BG11"/>
    <mergeCell ref="BH11:BI11"/>
    <mergeCell ref="BJ11:BK11"/>
    <mergeCell ref="B13:B14"/>
    <mergeCell ref="C13:C14"/>
    <mergeCell ref="C15:C17"/>
    <mergeCell ref="C18:C19"/>
    <mergeCell ref="B15:B19"/>
    <mergeCell ref="B43:B46"/>
    <mergeCell ref="B22:B27"/>
    <mergeCell ref="B29:B33"/>
    <mergeCell ref="B34:B36"/>
    <mergeCell ref="B37:B38"/>
    <mergeCell ref="B39:B42"/>
  </mergeCells>
  <conditionalFormatting sqref="BN13:BN46 BP13:BP46">
    <cfRule type="cellIs" dxfId="3" priority="25" stopIfTrue="1" operator="equal">
      <formula>"N.A."</formula>
    </cfRule>
    <cfRule type="cellIs" dxfId="2" priority="26" stopIfTrue="1" operator="greaterThanOrEqual">
      <formula>0.9</formula>
    </cfRule>
    <cfRule type="cellIs" dxfId="1" priority="27" stopIfTrue="1" operator="between">
      <formula>0.7</formula>
      <formula>0.9</formula>
    </cfRule>
    <cfRule type="cellIs" dxfId="0" priority="28" stopIfTrue="1" operator="lessThanOrEqual">
      <formula>0.7</formula>
    </cfRule>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rgb="FF00B050"/>
    <pageSetUpPr fitToPage="1"/>
  </sheetPr>
  <dimension ref="A1:Q48"/>
  <sheetViews>
    <sheetView zoomScale="90" zoomScaleNormal="90" zoomScaleSheetLayoutView="85" zoomScalePageLayoutView="30" workbookViewId="0">
      <selection activeCell="C28" sqref="C28:O28"/>
    </sheetView>
  </sheetViews>
  <sheetFormatPr baseColWidth="10" defaultColWidth="11.42578125" defaultRowHeight="12.75"/>
  <cols>
    <col min="1" max="1" width="4.28515625" style="40" customWidth="1"/>
    <col min="2" max="2" width="28.5703125" style="40" customWidth="1"/>
    <col min="3" max="13" width="7.140625" style="40" customWidth="1"/>
    <col min="14" max="14" width="14.28515625" style="40" customWidth="1"/>
    <col min="15" max="15" width="14.42578125" style="40" customWidth="1"/>
    <col min="16" max="16" width="6.7109375" style="40" customWidth="1"/>
    <col min="17" max="17" width="9.5703125" style="40" customWidth="1"/>
    <col min="18" max="18" width="17.140625" style="40" customWidth="1"/>
    <col min="19" max="16384" width="11.42578125" style="40"/>
  </cols>
  <sheetData>
    <row r="1" spans="1:17" s="25" customFormat="1" ht="7.5" customHeight="1" thickBot="1">
      <c r="A1" s="23"/>
      <c r="B1" s="24"/>
      <c r="C1" s="24"/>
      <c r="D1" s="24"/>
      <c r="E1" s="24"/>
      <c r="F1" s="24"/>
      <c r="G1" s="24"/>
      <c r="H1" s="24"/>
      <c r="I1" s="24"/>
      <c r="J1" s="24"/>
      <c r="K1" s="24"/>
      <c r="L1" s="24"/>
      <c r="M1" s="24"/>
      <c r="N1" s="24"/>
      <c r="O1" s="24"/>
      <c r="P1" s="24"/>
      <c r="Q1" s="23"/>
    </row>
    <row r="2" spans="1:17" s="25" customFormat="1" ht="15.75">
      <c r="A2" s="23"/>
      <c r="B2" s="183"/>
      <c r="C2" s="186" t="s">
        <v>46</v>
      </c>
      <c r="D2" s="187"/>
      <c r="E2" s="187"/>
      <c r="F2" s="187"/>
      <c r="G2" s="187"/>
      <c r="H2" s="187"/>
      <c r="I2" s="187"/>
      <c r="J2" s="187"/>
      <c r="K2" s="187"/>
      <c r="L2" s="187"/>
      <c r="M2" s="187"/>
      <c r="N2" s="192" t="s">
        <v>222</v>
      </c>
      <c r="O2" s="193"/>
      <c r="P2" s="24"/>
      <c r="Q2" s="23"/>
    </row>
    <row r="3" spans="1:17" s="25" customFormat="1" ht="15.75">
      <c r="A3" s="23"/>
      <c r="B3" s="184"/>
      <c r="C3" s="188"/>
      <c r="D3" s="189"/>
      <c r="E3" s="189"/>
      <c r="F3" s="189"/>
      <c r="G3" s="189"/>
      <c r="H3" s="189"/>
      <c r="I3" s="189"/>
      <c r="J3" s="189"/>
      <c r="K3" s="189"/>
      <c r="L3" s="189"/>
      <c r="M3" s="189"/>
      <c r="N3" s="26" t="s">
        <v>1</v>
      </c>
      <c r="O3" s="27" t="s">
        <v>2</v>
      </c>
      <c r="P3" s="24"/>
      <c r="Q3" s="23"/>
    </row>
    <row r="4" spans="1:17" s="25" customFormat="1" ht="15.75" customHeight="1">
      <c r="A4" s="23"/>
      <c r="B4" s="184"/>
      <c r="C4" s="188"/>
      <c r="D4" s="189"/>
      <c r="E4" s="189"/>
      <c r="F4" s="189"/>
      <c r="G4" s="189"/>
      <c r="H4" s="189"/>
      <c r="I4" s="189"/>
      <c r="J4" s="189"/>
      <c r="K4" s="189"/>
      <c r="L4" s="189"/>
      <c r="M4" s="189"/>
      <c r="N4" s="28">
        <v>5</v>
      </c>
      <c r="O4" s="29" t="s">
        <v>47</v>
      </c>
      <c r="P4" s="24"/>
      <c r="Q4" s="23"/>
    </row>
    <row r="5" spans="1:17" s="25" customFormat="1" ht="15.75">
      <c r="A5" s="23"/>
      <c r="B5" s="184"/>
      <c r="C5" s="188"/>
      <c r="D5" s="189"/>
      <c r="E5" s="189"/>
      <c r="F5" s="189"/>
      <c r="G5" s="189"/>
      <c r="H5" s="189"/>
      <c r="I5" s="189"/>
      <c r="J5" s="189"/>
      <c r="K5" s="189"/>
      <c r="L5" s="189"/>
      <c r="M5" s="189"/>
      <c r="N5" s="194" t="s">
        <v>4</v>
      </c>
      <c r="O5" s="195"/>
      <c r="P5" s="24"/>
      <c r="Q5" s="23"/>
    </row>
    <row r="6" spans="1:17" s="25" customFormat="1" ht="16.5" customHeight="1" thickBot="1">
      <c r="A6" s="23"/>
      <c r="B6" s="185"/>
      <c r="C6" s="190"/>
      <c r="D6" s="191"/>
      <c r="E6" s="191"/>
      <c r="F6" s="191"/>
      <c r="G6" s="191"/>
      <c r="H6" s="191"/>
      <c r="I6" s="191"/>
      <c r="J6" s="191"/>
      <c r="K6" s="191"/>
      <c r="L6" s="191"/>
      <c r="M6" s="191"/>
      <c r="N6" s="196" t="s">
        <v>48</v>
      </c>
      <c r="O6" s="197"/>
      <c r="P6" s="24"/>
      <c r="Q6" s="23"/>
    </row>
    <row r="7" spans="1:17" s="25" customFormat="1" ht="7.5" customHeight="1" thickBot="1">
      <c r="A7" s="23"/>
      <c r="B7" s="24"/>
      <c r="C7" s="24"/>
      <c r="D7" s="24"/>
      <c r="E7" s="24"/>
      <c r="F7" s="30">
        <f>D12</f>
        <v>0</v>
      </c>
      <c r="G7" s="24"/>
      <c r="H7" s="24"/>
      <c r="I7" s="24"/>
      <c r="J7" s="24"/>
      <c r="K7" s="24"/>
      <c r="L7" s="24"/>
      <c r="M7" s="24"/>
      <c r="N7" s="24"/>
      <c r="O7" s="24"/>
      <c r="P7" s="24"/>
      <c r="Q7" s="23"/>
    </row>
    <row r="8" spans="1:17" s="25" customFormat="1" ht="22.5" customHeight="1">
      <c r="A8" s="23"/>
      <c r="B8" s="180" t="s">
        <v>49</v>
      </c>
      <c r="C8" s="181"/>
      <c r="D8" s="181"/>
      <c r="E8" s="181"/>
      <c r="F8" s="181"/>
      <c r="G8" s="181"/>
      <c r="H8" s="181"/>
      <c r="I8" s="181"/>
      <c r="J8" s="181"/>
      <c r="K8" s="181"/>
      <c r="L8" s="181"/>
      <c r="M8" s="181"/>
      <c r="N8" s="181"/>
      <c r="O8" s="182"/>
      <c r="P8" s="24"/>
      <c r="Q8" s="23"/>
    </row>
    <row r="9" spans="1:17" s="25" customFormat="1" ht="128.25" customHeight="1" thickBot="1">
      <c r="A9" s="23"/>
      <c r="B9" s="170" t="s">
        <v>207</v>
      </c>
      <c r="C9" s="171"/>
      <c r="D9" s="171"/>
      <c r="E9" s="171"/>
      <c r="F9" s="171"/>
      <c r="G9" s="171"/>
      <c r="H9" s="171"/>
      <c r="I9" s="171"/>
      <c r="J9" s="171"/>
      <c r="K9" s="171"/>
      <c r="L9" s="171"/>
      <c r="M9" s="171"/>
      <c r="N9" s="171"/>
      <c r="O9" s="172"/>
      <c r="P9" s="24"/>
      <c r="Q9" s="23"/>
    </row>
    <row r="10" spans="1:17" s="25" customFormat="1" ht="7.5" customHeight="1" thickBot="1">
      <c r="A10" s="23"/>
      <c r="B10" s="24"/>
      <c r="C10" s="24"/>
      <c r="D10" s="24"/>
      <c r="E10" s="24"/>
      <c r="F10" s="30"/>
      <c r="G10" s="24"/>
      <c r="H10" s="24"/>
      <c r="I10" s="24"/>
      <c r="J10" s="24"/>
      <c r="K10" s="24"/>
      <c r="L10" s="24"/>
      <c r="M10" s="24"/>
      <c r="N10" s="24"/>
      <c r="O10" s="24"/>
      <c r="P10" s="24"/>
      <c r="Q10" s="23"/>
    </row>
    <row r="11" spans="1:17" s="25" customFormat="1" ht="22.5" customHeight="1" thickBot="1">
      <c r="A11" s="23"/>
      <c r="B11" s="31" t="s">
        <v>50</v>
      </c>
      <c r="C11" s="173" t="s">
        <v>51</v>
      </c>
      <c r="D11" s="173"/>
      <c r="E11" s="173"/>
      <c r="F11" s="173"/>
      <c r="G11" s="173"/>
      <c r="H11" s="173"/>
      <c r="I11" s="173"/>
      <c r="J11" s="173"/>
      <c r="K11" s="173"/>
      <c r="L11" s="173"/>
      <c r="M11" s="173"/>
      <c r="N11" s="173"/>
      <c r="O11" s="174"/>
      <c r="P11" s="24"/>
      <c r="Q11" s="23"/>
    </row>
    <row r="12" spans="1:17" s="25" customFormat="1" ht="45.75" customHeight="1">
      <c r="A12" s="23"/>
      <c r="B12" s="32" t="s">
        <v>82</v>
      </c>
      <c r="C12" s="175" t="s">
        <v>208</v>
      </c>
      <c r="D12" s="175"/>
      <c r="E12" s="175"/>
      <c r="F12" s="175"/>
      <c r="G12" s="175"/>
      <c r="H12" s="175"/>
      <c r="I12" s="175"/>
      <c r="J12" s="175"/>
      <c r="K12" s="175"/>
      <c r="L12" s="175"/>
      <c r="M12" s="175"/>
      <c r="N12" s="175"/>
      <c r="O12" s="176"/>
      <c r="P12" s="23"/>
      <c r="Q12" s="23"/>
    </row>
    <row r="13" spans="1:17" s="25" customFormat="1" ht="45.75" customHeight="1">
      <c r="A13" s="23"/>
      <c r="B13" s="33" t="s">
        <v>83</v>
      </c>
      <c r="C13" s="166" t="s">
        <v>209</v>
      </c>
      <c r="D13" s="166"/>
      <c r="E13" s="166"/>
      <c r="F13" s="166"/>
      <c r="G13" s="166"/>
      <c r="H13" s="166"/>
      <c r="I13" s="166"/>
      <c r="J13" s="166"/>
      <c r="K13" s="166"/>
      <c r="L13" s="166"/>
      <c r="M13" s="166"/>
      <c r="N13" s="166"/>
      <c r="O13" s="167"/>
      <c r="P13" s="23"/>
      <c r="Q13" s="23"/>
    </row>
    <row r="14" spans="1:17" s="25" customFormat="1" ht="81" customHeight="1">
      <c r="A14" s="23"/>
      <c r="B14" s="34" t="s">
        <v>5</v>
      </c>
      <c r="C14" s="166" t="s">
        <v>210</v>
      </c>
      <c r="D14" s="166"/>
      <c r="E14" s="166"/>
      <c r="F14" s="166"/>
      <c r="G14" s="166"/>
      <c r="H14" s="166"/>
      <c r="I14" s="166"/>
      <c r="J14" s="166"/>
      <c r="K14" s="166"/>
      <c r="L14" s="166"/>
      <c r="M14" s="166"/>
      <c r="N14" s="166"/>
      <c r="O14" s="167"/>
      <c r="P14" s="23"/>
      <c r="Q14" s="23"/>
    </row>
    <row r="15" spans="1:17" s="25" customFormat="1" ht="95.25" customHeight="1">
      <c r="A15" s="23"/>
      <c r="B15" s="35" t="s">
        <v>52</v>
      </c>
      <c r="C15" s="166" t="s">
        <v>53</v>
      </c>
      <c r="D15" s="166"/>
      <c r="E15" s="166"/>
      <c r="F15" s="166"/>
      <c r="G15" s="166"/>
      <c r="H15" s="166"/>
      <c r="I15" s="166"/>
      <c r="J15" s="166"/>
      <c r="K15" s="166"/>
      <c r="L15" s="166"/>
      <c r="M15" s="166"/>
      <c r="N15" s="166"/>
      <c r="O15" s="167"/>
      <c r="P15" s="23"/>
      <c r="Q15" s="23"/>
    </row>
    <row r="16" spans="1:17" s="25" customFormat="1" ht="81" customHeight="1">
      <c r="A16" s="23"/>
      <c r="B16" s="36" t="s">
        <v>7</v>
      </c>
      <c r="C16" s="166" t="s">
        <v>54</v>
      </c>
      <c r="D16" s="166"/>
      <c r="E16" s="166"/>
      <c r="F16" s="166"/>
      <c r="G16" s="166"/>
      <c r="H16" s="166"/>
      <c r="I16" s="166"/>
      <c r="J16" s="166"/>
      <c r="K16" s="166"/>
      <c r="L16" s="166"/>
      <c r="M16" s="166"/>
      <c r="N16" s="166"/>
      <c r="O16" s="167"/>
      <c r="P16" s="23"/>
      <c r="Q16" s="23"/>
    </row>
    <row r="17" spans="1:17" s="25" customFormat="1" ht="45.75" customHeight="1">
      <c r="A17" s="23"/>
      <c r="B17" s="37" t="s">
        <v>55</v>
      </c>
      <c r="C17" s="166" t="s">
        <v>211</v>
      </c>
      <c r="D17" s="166"/>
      <c r="E17" s="166"/>
      <c r="F17" s="166"/>
      <c r="G17" s="166"/>
      <c r="H17" s="166"/>
      <c r="I17" s="166"/>
      <c r="J17" s="166"/>
      <c r="K17" s="166"/>
      <c r="L17" s="166"/>
      <c r="M17" s="166"/>
      <c r="N17" s="166"/>
      <c r="O17" s="167"/>
      <c r="P17" s="23"/>
      <c r="Q17" s="23"/>
    </row>
    <row r="18" spans="1:17" s="25" customFormat="1" ht="45.75" customHeight="1">
      <c r="A18" s="23"/>
      <c r="B18" s="38" t="s">
        <v>56</v>
      </c>
      <c r="C18" s="166" t="s">
        <v>212</v>
      </c>
      <c r="D18" s="166"/>
      <c r="E18" s="166"/>
      <c r="F18" s="166"/>
      <c r="G18" s="166"/>
      <c r="H18" s="166"/>
      <c r="I18" s="166"/>
      <c r="J18" s="166"/>
      <c r="K18" s="166"/>
      <c r="L18" s="166"/>
      <c r="M18" s="166"/>
      <c r="N18" s="166"/>
      <c r="O18" s="167"/>
      <c r="P18" s="23"/>
      <c r="Q18" s="23"/>
    </row>
    <row r="19" spans="1:17" s="25" customFormat="1" ht="45.75" customHeight="1">
      <c r="A19" s="23"/>
      <c r="B19" s="37" t="s">
        <v>9</v>
      </c>
      <c r="C19" s="166" t="s">
        <v>57</v>
      </c>
      <c r="D19" s="166"/>
      <c r="E19" s="166"/>
      <c r="F19" s="166"/>
      <c r="G19" s="166"/>
      <c r="H19" s="166"/>
      <c r="I19" s="166"/>
      <c r="J19" s="166"/>
      <c r="K19" s="166"/>
      <c r="L19" s="166"/>
      <c r="M19" s="166"/>
      <c r="N19" s="166"/>
      <c r="O19" s="167"/>
      <c r="P19" s="23"/>
      <c r="Q19" s="23"/>
    </row>
    <row r="20" spans="1:17" s="25" customFormat="1" ht="77.25" customHeight="1">
      <c r="A20" s="23"/>
      <c r="B20" s="37" t="s">
        <v>58</v>
      </c>
      <c r="C20" s="177" t="s">
        <v>59</v>
      </c>
      <c r="D20" s="178"/>
      <c r="E20" s="178"/>
      <c r="F20" s="178"/>
      <c r="G20" s="178"/>
      <c r="H20" s="178"/>
      <c r="I20" s="178"/>
      <c r="J20" s="178"/>
      <c r="K20" s="178"/>
      <c r="L20" s="178"/>
      <c r="M20" s="178"/>
      <c r="N20" s="178"/>
      <c r="O20" s="179"/>
      <c r="P20" s="23"/>
      <c r="Q20" s="23"/>
    </row>
    <row r="21" spans="1:17" s="25" customFormat="1" ht="126.75" customHeight="1">
      <c r="A21" s="23"/>
      <c r="B21" s="37" t="s">
        <v>11</v>
      </c>
      <c r="C21" s="166" t="s">
        <v>213</v>
      </c>
      <c r="D21" s="166"/>
      <c r="E21" s="166"/>
      <c r="F21" s="166"/>
      <c r="G21" s="166"/>
      <c r="H21" s="166"/>
      <c r="I21" s="166"/>
      <c r="J21" s="166"/>
      <c r="K21" s="166"/>
      <c r="L21" s="166"/>
      <c r="M21" s="166"/>
      <c r="N21" s="166"/>
      <c r="O21" s="167"/>
      <c r="P21" s="23"/>
      <c r="Q21" s="23"/>
    </row>
    <row r="22" spans="1:17" s="25" customFormat="1" ht="55.5" customHeight="1">
      <c r="A22" s="23"/>
      <c r="B22" s="37" t="s">
        <v>12</v>
      </c>
      <c r="C22" s="166" t="s">
        <v>60</v>
      </c>
      <c r="D22" s="166"/>
      <c r="E22" s="166"/>
      <c r="F22" s="166"/>
      <c r="G22" s="166"/>
      <c r="H22" s="166"/>
      <c r="I22" s="166"/>
      <c r="J22" s="166"/>
      <c r="K22" s="166"/>
      <c r="L22" s="166"/>
      <c r="M22" s="166"/>
      <c r="N22" s="166"/>
      <c r="O22" s="167"/>
      <c r="P22" s="23"/>
      <c r="Q22" s="23"/>
    </row>
    <row r="23" spans="1:17" s="25" customFormat="1" ht="93" customHeight="1">
      <c r="A23" s="23"/>
      <c r="B23" s="37" t="s">
        <v>13</v>
      </c>
      <c r="C23" s="166" t="s">
        <v>214</v>
      </c>
      <c r="D23" s="166"/>
      <c r="E23" s="166"/>
      <c r="F23" s="166"/>
      <c r="G23" s="166"/>
      <c r="H23" s="166"/>
      <c r="I23" s="166"/>
      <c r="J23" s="166"/>
      <c r="K23" s="166"/>
      <c r="L23" s="166"/>
      <c r="M23" s="166"/>
      <c r="N23" s="166"/>
      <c r="O23" s="167"/>
      <c r="P23" s="23"/>
      <c r="Q23" s="23"/>
    </row>
    <row r="24" spans="1:17" s="25" customFormat="1" ht="76.5" customHeight="1">
      <c r="A24" s="23"/>
      <c r="B24" s="37" t="s">
        <v>215</v>
      </c>
      <c r="C24" s="166" t="s">
        <v>219</v>
      </c>
      <c r="D24" s="166"/>
      <c r="E24" s="166"/>
      <c r="F24" s="166"/>
      <c r="G24" s="166"/>
      <c r="H24" s="166"/>
      <c r="I24" s="166"/>
      <c r="J24" s="166"/>
      <c r="K24" s="166"/>
      <c r="L24" s="166"/>
      <c r="M24" s="166"/>
      <c r="N24" s="166"/>
      <c r="O24" s="167"/>
      <c r="P24" s="23"/>
      <c r="Q24" s="23"/>
    </row>
    <row r="25" spans="1:17" s="25" customFormat="1" ht="81.75" customHeight="1">
      <c r="A25" s="23"/>
      <c r="B25" s="37" t="s">
        <v>61</v>
      </c>
      <c r="C25" s="166" t="s">
        <v>216</v>
      </c>
      <c r="D25" s="166"/>
      <c r="E25" s="166"/>
      <c r="F25" s="166"/>
      <c r="G25" s="166"/>
      <c r="H25" s="166"/>
      <c r="I25" s="166"/>
      <c r="J25" s="166"/>
      <c r="K25" s="166"/>
      <c r="L25" s="166"/>
      <c r="M25" s="166"/>
      <c r="N25" s="166"/>
      <c r="O25" s="167"/>
      <c r="P25" s="23"/>
      <c r="Q25" s="23"/>
    </row>
    <row r="26" spans="1:17" s="25" customFormat="1" ht="62.25" customHeight="1">
      <c r="A26" s="23"/>
      <c r="B26" s="37" t="s">
        <v>217</v>
      </c>
      <c r="C26" s="166" t="s">
        <v>218</v>
      </c>
      <c r="D26" s="166"/>
      <c r="E26" s="166"/>
      <c r="F26" s="166"/>
      <c r="G26" s="166"/>
      <c r="H26" s="166"/>
      <c r="I26" s="166"/>
      <c r="J26" s="166"/>
      <c r="K26" s="166"/>
      <c r="L26" s="166"/>
      <c r="M26" s="166"/>
      <c r="N26" s="166"/>
      <c r="O26" s="167"/>
      <c r="P26" s="23"/>
      <c r="Q26" s="23"/>
    </row>
    <row r="27" spans="1:17" s="25" customFormat="1" ht="117" customHeight="1">
      <c r="A27" s="23"/>
      <c r="B27" s="38" t="s">
        <v>62</v>
      </c>
      <c r="C27" s="166" t="s">
        <v>220</v>
      </c>
      <c r="D27" s="168"/>
      <c r="E27" s="168"/>
      <c r="F27" s="168"/>
      <c r="G27" s="168"/>
      <c r="H27" s="168"/>
      <c r="I27" s="168"/>
      <c r="J27" s="168"/>
      <c r="K27" s="168"/>
      <c r="L27" s="168"/>
      <c r="M27" s="168"/>
      <c r="N27" s="168"/>
      <c r="O27" s="169"/>
      <c r="P27" s="23"/>
      <c r="Q27" s="23"/>
    </row>
    <row r="28" spans="1:17" s="25" customFormat="1" ht="81" customHeight="1" thickBot="1">
      <c r="A28" s="23"/>
      <c r="B28" s="39" t="s">
        <v>63</v>
      </c>
      <c r="C28" s="164" t="s">
        <v>221</v>
      </c>
      <c r="D28" s="164"/>
      <c r="E28" s="164"/>
      <c r="F28" s="164"/>
      <c r="G28" s="164"/>
      <c r="H28" s="164"/>
      <c r="I28" s="164"/>
      <c r="J28" s="164"/>
      <c r="K28" s="164"/>
      <c r="L28" s="164"/>
      <c r="M28" s="164"/>
      <c r="N28" s="164"/>
      <c r="O28" s="165"/>
      <c r="P28" s="23"/>
      <c r="Q28" s="23"/>
    </row>
    <row r="30" spans="1:17" ht="12.75" customHeight="1"/>
    <row r="31" spans="1:17" ht="12.75" customHeight="1"/>
    <row r="32" spans="1: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sheetData>
  <mergeCells count="25">
    <mergeCell ref="B8:O8"/>
    <mergeCell ref="B2:B6"/>
    <mergeCell ref="C2:M6"/>
    <mergeCell ref="N2:O2"/>
    <mergeCell ref="N5:O5"/>
    <mergeCell ref="N6:O6"/>
    <mergeCell ref="C21:O21"/>
    <mergeCell ref="B9:O9"/>
    <mergeCell ref="C11:O11"/>
    <mergeCell ref="C12:O12"/>
    <mergeCell ref="C13:O13"/>
    <mergeCell ref="C14:O14"/>
    <mergeCell ref="C15:O15"/>
    <mergeCell ref="C16:O16"/>
    <mergeCell ref="C17:O17"/>
    <mergeCell ref="C18:O18"/>
    <mergeCell ref="C19:O19"/>
    <mergeCell ref="C20:O20"/>
    <mergeCell ref="C28:O28"/>
    <mergeCell ref="C22:O22"/>
    <mergeCell ref="C23:O23"/>
    <mergeCell ref="C24:O24"/>
    <mergeCell ref="C25:O25"/>
    <mergeCell ref="C26:O26"/>
    <mergeCell ref="C27:O27"/>
  </mergeCells>
  <printOptions horizontalCentered="1" verticalCentered="1"/>
  <pageMargins left="0.19685039370078741" right="0.19685039370078741" top="0.27559055118110237" bottom="0.39370078740157483" header="0" footer="0"/>
  <pageSetup paperSize="14" scale="54" fitToWidth="0" orientation="portrait" r:id="rId1"/>
  <headerFooter alignWithMargins="0">
    <oddFooter>&amp;L&amp;11M3DE01F02-03&amp;C&amp;11Si este documento se encuentra impreso no se garantiza su vigencia, por lo tanto es copia No Controlada.  La versión vigente reposará en el link Modelo Integrado- MIPER en la intranet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rgb="FFFFC000"/>
  </sheetPr>
  <dimension ref="B1:O27"/>
  <sheetViews>
    <sheetView zoomScale="90" zoomScaleNormal="90" workbookViewId="0">
      <selection activeCell="K1" sqref="K1"/>
    </sheetView>
  </sheetViews>
  <sheetFormatPr baseColWidth="10" defaultRowHeight="15"/>
  <cols>
    <col min="1" max="1" width="4.28515625" style="18" customWidth="1"/>
    <col min="2" max="4" width="14.28515625" style="18" customWidth="1"/>
    <col min="5" max="15" width="7.140625" style="18" customWidth="1"/>
    <col min="16" max="16384" width="11.42578125" style="18"/>
  </cols>
  <sheetData>
    <row r="1" spans="2:15" ht="5.0999999999999996" customHeight="1" thickBot="1"/>
    <row r="2" spans="2:15" ht="15.75" customHeight="1">
      <c r="B2" s="215"/>
      <c r="C2" s="216"/>
      <c r="D2" s="221" t="s">
        <v>223</v>
      </c>
      <c r="E2" s="221"/>
      <c r="F2" s="221"/>
      <c r="G2" s="221"/>
      <c r="H2" s="221"/>
      <c r="I2" s="221"/>
      <c r="J2" s="221"/>
      <c r="K2" s="221"/>
      <c r="L2" s="224" t="s">
        <v>222</v>
      </c>
      <c r="M2" s="225"/>
      <c r="N2" s="225"/>
      <c r="O2" s="226"/>
    </row>
    <row r="3" spans="2:15" ht="15.75" customHeight="1">
      <c r="B3" s="217"/>
      <c r="C3" s="218"/>
      <c r="D3" s="222"/>
      <c r="E3" s="222"/>
      <c r="F3" s="222"/>
      <c r="G3" s="222"/>
      <c r="H3" s="222"/>
      <c r="I3" s="222"/>
      <c r="J3" s="222"/>
      <c r="K3" s="222"/>
      <c r="L3" s="227" t="s">
        <v>1</v>
      </c>
      <c r="M3" s="228"/>
      <c r="N3" s="227" t="s">
        <v>2</v>
      </c>
      <c r="O3" s="229"/>
    </row>
    <row r="4" spans="2:15" ht="15.75" customHeight="1">
      <c r="B4" s="217"/>
      <c r="C4" s="218"/>
      <c r="D4" s="222"/>
      <c r="E4" s="222"/>
      <c r="F4" s="222"/>
      <c r="G4" s="222"/>
      <c r="H4" s="222"/>
      <c r="I4" s="222"/>
      <c r="J4" s="222"/>
      <c r="K4" s="222"/>
      <c r="L4" s="230">
        <v>5</v>
      </c>
      <c r="M4" s="231"/>
      <c r="N4" s="232" t="s">
        <v>64</v>
      </c>
      <c r="O4" s="233"/>
    </row>
    <row r="5" spans="2:15" ht="15.75" customHeight="1">
      <c r="B5" s="217"/>
      <c r="C5" s="218"/>
      <c r="D5" s="222"/>
      <c r="E5" s="222"/>
      <c r="F5" s="222"/>
      <c r="G5" s="222"/>
      <c r="H5" s="222"/>
      <c r="I5" s="222"/>
      <c r="J5" s="222"/>
      <c r="K5" s="222"/>
      <c r="L5" s="227" t="s">
        <v>4</v>
      </c>
      <c r="M5" s="234"/>
      <c r="N5" s="234"/>
      <c r="O5" s="235"/>
    </row>
    <row r="6" spans="2:15" ht="15.75" customHeight="1" thickBot="1">
      <c r="B6" s="219"/>
      <c r="C6" s="220"/>
      <c r="D6" s="223"/>
      <c r="E6" s="223"/>
      <c r="F6" s="223"/>
      <c r="G6" s="223"/>
      <c r="H6" s="223"/>
      <c r="I6" s="223"/>
      <c r="J6" s="223"/>
      <c r="K6" s="223"/>
      <c r="L6" s="236" t="s">
        <v>48</v>
      </c>
      <c r="M6" s="237"/>
      <c r="N6" s="237"/>
      <c r="O6" s="238"/>
    </row>
    <row r="7" spans="2:15" ht="5.0999999999999996" customHeight="1"/>
    <row r="8" spans="2:15" ht="22.5" customHeight="1">
      <c r="B8" s="99" t="s">
        <v>23</v>
      </c>
      <c r="C8" s="99"/>
      <c r="D8" s="99"/>
      <c r="E8" s="99"/>
      <c r="F8" s="99"/>
      <c r="G8" s="99"/>
      <c r="H8" s="99"/>
      <c r="I8" s="99"/>
      <c r="J8" s="99"/>
      <c r="K8" s="99"/>
      <c r="L8" s="99"/>
      <c r="M8" s="99"/>
      <c r="N8" s="99"/>
      <c r="O8" s="99"/>
    </row>
    <row r="9" spans="2:15" ht="37.5" customHeight="1">
      <c r="B9" s="78" t="s">
        <v>24</v>
      </c>
      <c r="C9" s="78"/>
      <c r="D9" s="78"/>
      <c r="E9" s="41">
        <v>0</v>
      </c>
      <c r="F9" s="41">
        <v>1</v>
      </c>
      <c r="G9" s="41" t="s">
        <v>65</v>
      </c>
      <c r="H9" s="41" t="s">
        <v>66</v>
      </c>
      <c r="I9" s="41">
        <v>0</v>
      </c>
      <c r="J9" s="41">
        <v>4</v>
      </c>
      <c r="K9" s="211" t="s">
        <v>224</v>
      </c>
      <c r="L9" s="211"/>
      <c r="M9" s="211"/>
      <c r="N9" s="211"/>
      <c r="O9" s="211"/>
    </row>
    <row r="10" spans="2:15" ht="15" customHeight="1">
      <c r="B10" s="78" t="s">
        <v>27</v>
      </c>
      <c r="C10" s="78"/>
      <c r="D10" s="78"/>
      <c r="E10" s="212" t="s">
        <v>28</v>
      </c>
      <c r="F10" s="212"/>
      <c r="G10" s="212"/>
      <c r="H10" s="212"/>
      <c r="I10" s="212"/>
      <c r="J10" s="212"/>
      <c r="K10" s="211"/>
      <c r="L10" s="211"/>
      <c r="M10" s="211"/>
      <c r="N10" s="211"/>
      <c r="O10" s="211"/>
    </row>
    <row r="11" spans="2:15" ht="30" customHeight="1">
      <c r="B11" s="78"/>
      <c r="C11" s="78"/>
      <c r="D11" s="78"/>
      <c r="E11" s="213">
        <v>41639</v>
      </c>
      <c r="F11" s="214"/>
      <c r="G11" s="214"/>
      <c r="H11" s="214"/>
      <c r="I11" s="214"/>
      <c r="J11" s="214"/>
      <c r="K11" s="211"/>
      <c r="L11" s="211"/>
      <c r="M11" s="211"/>
      <c r="N11" s="211"/>
      <c r="O11" s="211"/>
    </row>
    <row r="12" spans="2:15" ht="22.5" customHeight="1">
      <c r="B12" s="99" t="s">
        <v>67</v>
      </c>
      <c r="C12" s="99"/>
      <c r="D12" s="99"/>
      <c r="E12" s="99"/>
      <c r="F12" s="99"/>
      <c r="G12" s="99"/>
      <c r="H12" s="99"/>
      <c r="I12" s="99"/>
      <c r="J12" s="99"/>
      <c r="K12" s="99"/>
      <c r="L12" s="99"/>
      <c r="M12" s="99"/>
      <c r="N12" s="99"/>
      <c r="O12" s="99"/>
    </row>
    <row r="13" spans="2:15" ht="30" customHeight="1">
      <c r="B13" s="20" t="s">
        <v>68</v>
      </c>
      <c r="C13" s="78" t="s">
        <v>31</v>
      </c>
      <c r="D13" s="78"/>
      <c r="E13" s="78"/>
      <c r="F13" s="78"/>
      <c r="G13" s="78"/>
      <c r="H13" s="78"/>
      <c r="I13" s="78"/>
      <c r="J13" s="78"/>
      <c r="K13" s="78"/>
      <c r="L13" s="78"/>
      <c r="M13" s="78"/>
      <c r="N13" s="78"/>
      <c r="O13" s="78"/>
    </row>
    <row r="14" spans="2:15" ht="37.5" customHeight="1">
      <c r="B14" s="46">
        <v>2</v>
      </c>
      <c r="C14" s="210" t="s">
        <v>225</v>
      </c>
      <c r="D14" s="210"/>
      <c r="E14" s="210"/>
      <c r="F14" s="210"/>
      <c r="G14" s="210"/>
      <c r="H14" s="210"/>
      <c r="I14" s="210"/>
      <c r="J14" s="210"/>
      <c r="K14" s="210"/>
      <c r="L14" s="210"/>
      <c r="M14" s="210"/>
      <c r="N14" s="210"/>
      <c r="O14" s="210"/>
    </row>
    <row r="15" spans="2:15" ht="37.5" customHeight="1">
      <c r="B15" s="46">
        <v>3</v>
      </c>
      <c r="C15" s="210" t="s">
        <v>226</v>
      </c>
      <c r="D15" s="210"/>
      <c r="E15" s="210"/>
      <c r="F15" s="210"/>
      <c r="G15" s="210"/>
      <c r="H15" s="210"/>
      <c r="I15" s="210"/>
      <c r="J15" s="210"/>
      <c r="K15" s="210"/>
      <c r="L15" s="210"/>
      <c r="M15" s="210"/>
      <c r="N15" s="210"/>
      <c r="O15" s="210"/>
    </row>
    <row r="16" spans="2:15" ht="37.5" customHeight="1">
      <c r="B16" s="46">
        <v>4</v>
      </c>
      <c r="C16" s="210" t="s">
        <v>227</v>
      </c>
      <c r="D16" s="210"/>
      <c r="E16" s="210"/>
      <c r="F16" s="210"/>
      <c r="G16" s="210"/>
      <c r="H16" s="210"/>
      <c r="I16" s="210"/>
      <c r="J16" s="210"/>
      <c r="K16" s="210"/>
      <c r="L16" s="210"/>
      <c r="M16" s="210"/>
      <c r="N16" s="210"/>
      <c r="O16" s="210"/>
    </row>
    <row r="17" spans="2:15" ht="52.5" customHeight="1">
      <c r="B17" s="42">
        <v>5</v>
      </c>
      <c r="C17" s="210" t="s">
        <v>228</v>
      </c>
      <c r="D17" s="210"/>
      <c r="E17" s="210"/>
      <c r="F17" s="210"/>
      <c r="G17" s="210"/>
      <c r="H17" s="210"/>
      <c r="I17" s="210"/>
      <c r="J17" s="210"/>
      <c r="K17" s="210"/>
      <c r="L17" s="210"/>
      <c r="M17" s="210"/>
      <c r="N17" s="210"/>
      <c r="O17" s="210"/>
    </row>
    <row r="18" spans="2:15" ht="22.5" customHeight="1">
      <c r="B18" s="99" t="s">
        <v>32</v>
      </c>
      <c r="C18" s="99"/>
      <c r="D18" s="99"/>
      <c r="E18" s="99"/>
      <c r="F18" s="99"/>
      <c r="G18" s="99"/>
      <c r="H18" s="99"/>
      <c r="I18" s="99"/>
      <c r="J18" s="99"/>
      <c r="K18" s="99"/>
      <c r="L18" s="99"/>
      <c r="M18" s="99"/>
      <c r="N18" s="99"/>
      <c r="O18" s="99"/>
    </row>
    <row r="19" spans="2:15" ht="15" customHeight="1">
      <c r="B19" s="78" t="s">
        <v>68</v>
      </c>
      <c r="C19" s="79" t="s">
        <v>33</v>
      </c>
      <c r="D19" s="80"/>
      <c r="E19" s="80"/>
      <c r="F19" s="80"/>
      <c r="G19" s="81"/>
      <c r="H19" s="100" t="s">
        <v>34</v>
      </c>
      <c r="I19" s="100"/>
      <c r="J19" s="100"/>
      <c r="K19" s="78" t="s">
        <v>35</v>
      </c>
      <c r="L19" s="78"/>
      <c r="M19" s="79" t="s">
        <v>36</v>
      </c>
      <c r="N19" s="80"/>
      <c r="O19" s="81"/>
    </row>
    <row r="20" spans="2:15" ht="15" customHeight="1">
      <c r="B20" s="78"/>
      <c r="C20" s="82"/>
      <c r="D20" s="83"/>
      <c r="E20" s="83"/>
      <c r="F20" s="83"/>
      <c r="G20" s="84"/>
      <c r="H20" s="20" t="s">
        <v>37</v>
      </c>
      <c r="I20" s="20" t="s">
        <v>38</v>
      </c>
      <c r="J20" s="20" t="s">
        <v>39</v>
      </c>
      <c r="K20" s="78"/>
      <c r="L20" s="78"/>
      <c r="M20" s="82"/>
      <c r="N20" s="83"/>
      <c r="O20" s="84"/>
    </row>
    <row r="21" spans="2:15" ht="37.5" customHeight="1">
      <c r="B21" s="47">
        <v>2</v>
      </c>
      <c r="C21" s="198" t="s">
        <v>229</v>
      </c>
      <c r="D21" s="199"/>
      <c r="E21" s="199"/>
      <c r="F21" s="199"/>
      <c r="G21" s="200"/>
      <c r="H21" s="48">
        <v>30</v>
      </c>
      <c r="I21" s="47">
        <v>1</v>
      </c>
      <c r="J21" s="47">
        <v>2014</v>
      </c>
      <c r="K21" s="201">
        <v>1</v>
      </c>
      <c r="L21" s="201"/>
      <c r="M21" s="202" t="s">
        <v>70</v>
      </c>
      <c r="N21" s="203"/>
      <c r="O21" s="204"/>
    </row>
    <row r="22" spans="2:15" ht="37.5" customHeight="1">
      <c r="B22" s="47">
        <v>3</v>
      </c>
      <c r="C22" s="198" t="s">
        <v>230</v>
      </c>
      <c r="D22" s="199"/>
      <c r="E22" s="199"/>
      <c r="F22" s="199"/>
      <c r="G22" s="200"/>
      <c r="H22" s="48" t="s">
        <v>69</v>
      </c>
      <c r="I22" s="48">
        <v>12</v>
      </c>
      <c r="J22" s="47">
        <v>2016</v>
      </c>
      <c r="K22" s="201">
        <v>1</v>
      </c>
      <c r="L22" s="201"/>
      <c r="M22" s="202" t="s">
        <v>70</v>
      </c>
      <c r="N22" s="203"/>
      <c r="O22" s="204"/>
    </row>
    <row r="23" spans="2:15" ht="37.5" customHeight="1">
      <c r="B23" s="47">
        <v>4</v>
      </c>
      <c r="C23" s="198" t="s">
        <v>71</v>
      </c>
      <c r="D23" s="199"/>
      <c r="E23" s="199"/>
      <c r="F23" s="199"/>
      <c r="G23" s="200"/>
      <c r="H23" s="48" t="s">
        <v>72</v>
      </c>
      <c r="I23" s="48" t="s">
        <v>73</v>
      </c>
      <c r="J23" s="47">
        <v>2017</v>
      </c>
      <c r="K23" s="201">
        <v>1</v>
      </c>
      <c r="L23" s="201"/>
      <c r="M23" s="202" t="s">
        <v>70</v>
      </c>
      <c r="N23" s="203"/>
      <c r="O23" s="204"/>
    </row>
    <row r="24" spans="2:15" ht="27" customHeight="1">
      <c r="B24" s="42">
        <v>5</v>
      </c>
      <c r="C24" s="198" t="s">
        <v>74</v>
      </c>
      <c r="D24" s="199"/>
      <c r="E24" s="199"/>
      <c r="F24" s="199"/>
      <c r="G24" s="200"/>
      <c r="H24" s="43">
        <v>30</v>
      </c>
      <c r="I24" s="43">
        <v>6</v>
      </c>
      <c r="J24" s="42">
        <v>2018</v>
      </c>
      <c r="K24" s="209">
        <v>2</v>
      </c>
      <c r="L24" s="209"/>
      <c r="M24" s="202" t="s">
        <v>70</v>
      </c>
      <c r="N24" s="203"/>
      <c r="O24" s="204"/>
    </row>
    <row r="25" spans="2:15" ht="5.0999999999999996" customHeight="1" thickBot="1"/>
    <row r="26" spans="2:15" ht="22.5" customHeight="1">
      <c r="B26" s="92" t="s">
        <v>40</v>
      </c>
      <c r="C26" s="93"/>
      <c r="D26" s="93"/>
      <c r="E26" s="93" t="s">
        <v>41</v>
      </c>
      <c r="F26" s="93"/>
      <c r="G26" s="93"/>
      <c r="H26" s="93"/>
      <c r="I26" s="93"/>
      <c r="J26" s="93"/>
      <c r="K26" s="93" t="s">
        <v>42</v>
      </c>
      <c r="L26" s="93"/>
      <c r="M26" s="93"/>
      <c r="N26" s="93"/>
      <c r="O26" s="94"/>
    </row>
    <row r="27" spans="2:15" ht="60" customHeight="1" thickBot="1">
      <c r="B27" s="205" t="s">
        <v>75</v>
      </c>
      <c r="C27" s="206"/>
      <c r="D27" s="206"/>
      <c r="E27" s="206" t="s">
        <v>76</v>
      </c>
      <c r="F27" s="206"/>
      <c r="G27" s="206"/>
      <c r="H27" s="206"/>
      <c r="I27" s="206"/>
      <c r="J27" s="206"/>
      <c r="K27" s="206" t="s">
        <v>77</v>
      </c>
      <c r="L27" s="207"/>
      <c r="M27" s="207"/>
      <c r="N27" s="207"/>
      <c r="O27" s="208"/>
    </row>
  </sheetData>
  <mergeCells count="45">
    <mergeCell ref="B2:C6"/>
    <mergeCell ref="D2:K6"/>
    <mergeCell ref="L2:O2"/>
    <mergeCell ref="L3:M3"/>
    <mergeCell ref="N3:O3"/>
    <mergeCell ref="L4:M4"/>
    <mergeCell ref="N4:O4"/>
    <mergeCell ref="L5:O5"/>
    <mergeCell ref="L6:O6"/>
    <mergeCell ref="B8:O8"/>
    <mergeCell ref="B9:D9"/>
    <mergeCell ref="K9:O11"/>
    <mergeCell ref="B10:D11"/>
    <mergeCell ref="E10:J10"/>
    <mergeCell ref="E11:J11"/>
    <mergeCell ref="B12:O12"/>
    <mergeCell ref="C13:O13"/>
    <mergeCell ref="C17:O17"/>
    <mergeCell ref="B18:O18"/>
    <mergeCell ref="B19:B20"/>
    <mergeCell ref="C19:G20"/>
    <mergeCell ref="H19:J19"/>
    <mergeCell ref="K19:L20"/>
    <mergeCell ref="M19:O20"/>
    <mergeCell ref="C14:O14"/>
    <mergeCell ref="C15:O15"/>
    <mergeCell ref="C16:O16"/>
    <mergeCell ref="B27:D27"/>
    <mergeCell ref="E27:J27"/>
    <mergeCell ref="K27:O27"/>
    <mergeCell ref="C24:G24"/>
    <mergeCell ref="K24:L24"/>
    <mergeCell ref="M24:O24"/>
    <mergeCell ref="C23:G23"/>
    <mergeCell ref="K23:L23"/>
    <mergeCell ref="M23:O23"/>
    <mergeCell ref="B26:D26"/>
    <mergeCell ref="E26:J26"/>
    <mergeCell ref="K26:O26"/>
    <mergeCell ref="C21:G21"/>
    <mergeCell ref="K21:L21"/>
    <mergeCell ref="M21:O21"/>
    <mergeCell ref="K22:L22"/>
    <mergeCell ref="M22:O22"/>
    <mergeCell ref="C22:G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F01887C486FDE4B961A8EA8170D0040" ma:contentTypeVersion="20" ma:contentTypeDescription="Crear nuevo documento." ma:contentTypeScope="" ma:versionID="db2774b38b04a37f391325e9d4ef0b5a">
  <xsd:schema xmlns:xsd="http://www.w3.org/2001/XMLSchema" xmlns:xs="http://www.w3.org/2001/XMLSchema" xmlns:p="http://schemas.microsoft.com/office/2006/metadata/properties" xmlns:ns2="f46f497b-4a98-4f04-92c9-05a2182ca14d" xmlns:ns3="a2eb282d-0718-46ee-9a29-1b7fa9be53b3" targetNamespace="http://schemas.microsoft.com/office/2006/metadata/properties" ma:root="true" ma:fieldsID="0e7b8e7717b0b52f354fb71f07e6cad7" ns2:_="" ns3:_="">
    <xsd:import namespace="f46f497b-4a98-4f04-92c9-05a2182ca14d"/>
    <xsd:import namespace="a2eb282d-0718-46ee-9a29-1b7fa9be53b3"/>
    <xsd:element name="properties">
      <xsd:complexType>
        <xsd:sequence>
          <xsd:element name="documentManagement">
            <xsd:complexType>
              <xsd:all>
                <xsd:element ref="ns2:MediaServiceMetadata" minOccurs="0"/>
                <xsd:element ref="ns2:MediaServiceFastMetadata" minOccurs="0"/>
                <xsd:element ref="ns3:TaxCatchAll" minOccurs="0"/>
                <xsd:element ref="ns3:SharedWithUsers" minOccurs="0"/>
                <xsd:element ref="ns3:SharedWithDetails" minOccurs="0"/>
                <xsd:element ref="ns2: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6f497b-4a98-4f04-92c9-05a2182ca14d" elementFormDefault="qualified">
    <xsd:import namespace="http://schemas.microsoft.com/office/2006/documentManagement/types"/>
    <xsd:import namespace="http://schemas.microsoft.com/office/infopath/2007/PartnerControls"/>
    <xsd:element name="MediaServiceMetadata" ma:index="4" nillable="true" ma:displayName="MediaServiceMetadata" ma:hidden="true" ma:internalName="MediaServiceMetadata" ma:readOnly="true">
      <xsd:simpleType>
        <xsd:restriction base="dms:Note"/>
      </xsd:simpleType>
    </xsd:element>
    <xsd:element name="MediaServiceFastMetadata" ma:index="5" nillable="true" ma:displayName="MediaServiceFastMetadata" ma:hidden="true" ma:internalName="MediaServiceFastMetadata" ma:readOnly="true">
      <xsd:simpleType>
        <xsd:restriction base="dms:Note"/>
      </xsd:simpleType>
    </xsd:element>
    <xsd:element name="Audiencias_x0020_de_x0020_destino" ma:index="14" nillable="true" ma:displayName="Audiencias de destino" ma:internalName="Audiencias_x0020_de_x0020_destino">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2eb282d-0718-46ee-9a29-1b7fa9be53b3"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6fad862b-f387-43a0-93b0-df1434d65ed9}" ma:internalName="TaxCatchAll" ma:showField="CatchAllData" ma:web="a2eb282d-0718-46ee-9a29-1b7fa9be53b3">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2eb282d-0718-46ee-9a29-1b7fa9be53b3"/>
    <Audiencias_x0020_de_x0020_destino xmlns="f46f497b-4a98-4f04-92c9-05a2182ca14d" xsi:nil="true"/>
  </documentManagement>
</p:properties>
</file>

<file path=customXml/itemProps1.xml><?xml version="1.0" encoding="utf-8"?>
<ds:datastoreItem xmlns:ds="http://schemas.openxmlformats.org/officeDocument/2006/customXml" ds:itemID="{DBB1C6BC-D595-4059-B665-165ECFC1AF21}">
  <ds:schemaRefs>
    <ds:schemaRef ds:uri="http://schemas.microsoft.com/sharepoint/v3/contenttype/forms"/>
  </ds:schemaRefs>
</ds:datastoreItem>
</file>

<file path=customXml/itemProps2.xml><?xml version="1.0" encoding="utf-8"?>
<ds:datastoreItem xmlns:ds="http://schemas.openxmlformats.org/officeDocument/2006/customXml" ds:itemID="{F8B69259-2A21-437B-8828-B5DCC4CB8B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6f497b-4a98-4f04-92c9-05a2182ca14d"/>
    <ds:schemaRef ds:uri="a2eb282d-0718-46ee-9a29-1b7fa9be53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AA201E-ABEF-4CC0-B95F-E154E5965F88}">
  <ds:schemaRefs>
    <ds:schemaRef ds:uri="http://purl.org/dc/terms/"/>
    <ds:schemaRef ds:uri="f46f497b-4a98-4f04-92c9-05a2182ca14d"/>
    <ds:schemaRef ds:uri="a2eb282d-0718-46ee-9a29-1b7fa9be53b3"/>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CONTROL CAMBIOS PL (Pág 1 de 3)</vt:lpstr>
      <vt:lpstr>PL (Pág 2 de 3)</vt:lpstr>
      <vt:lpstr>INSTRUCTIVO PL (Pág 3 de 3)</vt:lpstr>
      <vt:lpstr>CONTROL CAMBIOS FR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Cano</dc:creator>
  <cp:lastModifiedBy>Diana Carolina Moreno Orduna</cp:lastModifiedBy>
  <dcterms:created xsi:type="dcterms:W3CDTF">2018-06-12T00:40:13Z</dcterms:created>
  <dcterms:modified xsi:type="dcterms:W3CDTF">2018-08-03T19:10:46Z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0x0101002F01887C486FDE4B961A8EA8170D0040</vt:lpwstr>
  </property>
</Properties>
</file>