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24226"/>
  <mc:AlternateContent xmlns:mc="http://schemas.openxmlformats.org/markup-compatibility/2006">
    <mc:Choice Requires="x15">
      <x15ac:absPath xmlns:x15ac="http://schemas.microsoft.com/office/spreadsheetml/2010/11/ac" url="C:\0-Mayis\POA\POA2022\0-PublicacionWEBenero2022\"/>
    </mc:Choice>
  </mc:AlternateContent>
  <xr:revisionPtr revIDLastSave="0" documentId="13_ncr:1_{582C2E7B-6D68-4EBB-8850-0923D5C236E3}" xr6:coauthVersionLast="47" xr6:coauthVersionMax="47" xr10:uidLastSave="{00000000-0000-0000-0000-000000000000}"/>
  <bookViews>
    <workbookView xWindow="-108" yWindow="-108" windowWidth="23256" windowHeight="12576" tabRatio="731" xr2:uid="{00000000-000D-0000-FFFF-FFFF00000000}"/>
  </bookViews>
  <sheets>
    <sheet name="01-PL-09 POA (Pág 1 de 2)" sheetId="49" r:id="rId1"/>
    <sheet name="01-PL-09 POA (Pág 2 de 2)" sheetId="57" r:id="rId2"/>
    <sheet name="01-FR-03 POA INSTITUCIONAL" sheetId="38" r:id="rId3"/>
    <sheet name="01-DIRECCIONAMIENTO ESTRATÉGICO" sheetId="37" r:id="rId4"/>
    <sheet name="02-G. CONOCIMIENTO INNOVACIÓN" sheetId="45" r:id="rId5"/>
    <sheet name="03-DIRECCIONAMIENTO TIC" sheetId="44" r:id="rId6"/>
    <sheet name="04-COMUNICACIÓN ESTRATÉGICA" sheetId="56" r:id="rId7"/>
    <sheet name="05-POA PROM DEFENSA DERECHOS" sheetId="41" r:id="rId8"/>
    <sheet name="06-PREV CTRL FUN PÚBLICA" sheetId="42" r:id="rId9"/>
    <sheet name="07-POTESTAD DISCIPLINARIA" sheetId="43" r:id="rId10"/>
    <sheet name="08-G. DEL TALENTO HUMANO" sheetId="47" r:id="rId11"/>
    <sheet name="09-G.  ADMINISTRATIVA" sheetId="48" r:id="rId12"/>
    <sheet name="10-GESTIÓN FINANCIERA" sheetId="51" r:id="rId13"/>
    <sheet name="11-GESTIÓN CONTRACTUAL" sheetId="50" r:id="rId14"/>
    <sheet name="12-GESTIÓN DOCUMENTAL" sheetId="52" r:id="rId15"/>
    <sheet name="13-GESTIÓN JURÍDICA" sheetId="53" r:id="rId16"/>
    <sheet name="14-SERVICIO AL USUARIO" sheetId="46" r:id="rId17"/>
    <sheet name="15-CTRL DISCIPLINARIO INTERNO" sheetId="54" r:id="rId18"/>
    <sheet name="16-EVALUACIÓN Y SEGUIMIENTO" sheetId="55" r:id="rId19"/>
    <sheet name="Instrucciones Dil (Pág 3 de 3)" sheetId="59" r:id="rId20"/>
    <sheet name="LISTAS" sheetId="40" state="hidden"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xlnm.Print_Area" localSheetId="0">'01-PL-09 POA (Pág 1 de 2)'!$A$1:$F$29</definedName>
    <definedName name="_xlnm.Print_Area" localSheetId="7">'05-POA PROM DEFENSA DERECHOS'!$A$1:$BH$49</definedName>
    <definedName name="MATAS1">[1]Hoja1!$B$3:$B$16</definedName>
    <definedName name="METAS">[2]Hoja1!$B$3:$B$16</definedName>
    <definedName name="OBJE">#REF!</definedName>
    <definedName name="OBJETIVO">[2]Hoja1!$A$3:$A$8</definedName>
    <definedName name="Objetiv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23" i="47" l="1"/>
  <c r="AU23" i="47"/>
  <c r="AT23" i="47"/>
  <c r="AM23" i="47"/>
  <c r="AL23" i="47"/>
  <c r="AE23" i="47"/>
  <c r="AD23" i="47"/>
  <c r="W23" i="47"/>
  <c r="V23" i="47"/>
  <c r="AR22" i="47"/>
  <c r="AR21" i="47"/>
  <c r="AR20" i="47"/>
  <c r="AR19" i="47"/>
  <c r="R22" i="47"/>
  <c r="P22" i="47"/>
  <c r="R20" i="47"/>
  <c r="P20" i="47"/>
  <c r="R19" i="47"/>
  <c r="G19" i="44" l="1"/>
  <c r="AP35" i="41" l="1"/>
  <c r="AR34" i="41"/>
  <c r="AP34" i="41"/>
  <c r="AN34" i="41"/>
  <c r="AR33" i="41"/>
  <c r="AP33" i="41"/>
  <c r="AR32" i="41"/>
  <c r="AP32" i="41"/>
  <c r="AN32" i="41"/>
  <c r="AR31" i="41"/>
  <c r="AP31" i="41"/>
  <c r="AN31" i="41"/>
  <c r="AR29" i="41"/>
  <c r="AP29" i="41"/>
  <c r="AN29" i="41"/>
  <c r="AP28" i="41"/>
  <c r="AN28" i="41"/>
  <c r="AR27" i="41"/>
  <c r="AP27" i="41"/>
  <c r="AN27" i="41"/>
  <c r="AR20" i="41"/>
  <c r="AP20" i="41"/>
  <c r="AN20" i="41"/>
  <c r="AR18" i="41"/>
  <c r="AP18" i="41"/>
  <c r="AN18" i="41"/>
  <c r="AR17" i="41"/>
  <c r="AP17" i="41"/>
  <c r="AN17" i="41"/>
  <c r="AR16" i="41"/>
  <c r="AP16" i="41"/>
  <c r="AN16" i="41"/>
  <c r="AJ34" i="41"/>
  <c r="AH34" i="41"/>
  <c r="AF34" i="41"/>
  <c r="AJ33" i="41"/>
  <c r="AH33" i="41"/>
  <c r="AJ32" i="41"/>
  <c r="AH32" i="41"/>
  <c r="AF32" i="41"/>
  <c r="AJ31" i="41"/>
  <c r="AH31" i="41"/>
  <c r="AF31" i="41"/>
  <c r="AJ29" i="41"/>
  <c r="AH29" i="41"/>
  <c r="AF29" i="41"/>
  <c r="AJ28" i="41"/>
  <c r="AH28" i="41"/>
  <c r="AF28" i="41"/>
  <c r="AJ27" i="41"/>
  <c r="AH27" i="41"/>
  <c r="AF27" i="41"/>
  <c r="AJ20" i="41"/>
  <c r="AH20" i="41"/>
  <c r="AF20" i="41"/>
  <c r="AJ18" i="41"/>
  <c r="AH18" i="41"/>
  <c r="AF18" i="41"/>
  <c r="AJ17" i="41"/>
  <c r="AH17" i="41"/>
  <c r="AF17" i="41"/>
  <c r="AJ16" i="41"/>
  <c r="AH16" i="41"/>
  <c r="AF16" i="41"/>
  <c r="AB34" i="41"/>
  <c r="Z34" i="41"/>
  <c r="X34" i="41"/>
  <c r="AB32" i="41"/>
  <c r="Z32" i="41"/>
  <c r="X32" i="41"/>
  <c r="AB31" i="41"/>
  <c r="Z31" i="41"/>
  <c r="X31" i="41"/>
  <c r="AB29" i="41"/>
  <c r="Z29" i="41"/>
  <c r="X29" i="41"/>
  <c r="AB28" i="41"/>
  <c r="Z28" i="41"/>
  <c r="X28" i="41"/>
  <c r="AB27" i="41"/>
  <c r="Z27" i="41"/>
  <c r="X27" i="41"/>
  <c r="AB20" i="41"/>
  <c r="Z20" i="41"/>
  <c r="X20" i="41"/>
  <c r="AB18" i="41"/>
  <c r="Z18" i="41"/>
  <c r="X18" i="41"/>
  <c r="AB17" i="41"/>
  <c r="Z17" i="41"/>
  <c r="X17" i="41"/>
  <c r="AB16" i="41"/>
  <c r="Z16" i="41"/>
  <c r="X16" i="41"/>
  <c r="T34" i="41"/>
  <c r="R34" i="41"/>
  <c r="P34" i="41"/>
  <c r="T33" i="41"/>
  <c r="R33" i="41"/>
  <c r="P33" i="41"/>
  <c r="T32" i="41"/>
  <c r="R32" i="41"/>
  <c r="P32" i="41"/>
  <c r="T31" i="41"/>
  <c r="R31" i="41"/>
  <c r="P31" i="41"/>
  <c r="T29" i="41"/>
  <c r="R29" i="41"/>
  <c r="P29" i="41"/>
  <c r="T28" i="41"/>
  <c r="R28" i="41"/>
  <c r="P28" i="41"/>
  <c r="T27" i="41"/>
  <c r="R27" i="41"/>
  <c r="P27" i="41"/>
  <c r="T20" i="41"/>
  <c r="R20" i="41"/>
  <c r="P20" i="41"/>
  <c r="T18" i="41"/>
  <c r="R18" i="41"/>
  <c r="P18" i="41"/>
  <c r="T17" i="41"/>
  <c r="R17" i="41"/>
  <c r="P17" i="41"/>
  <c r="T16" i="41"/>
  <c r="R16" i="41"/>
  <c r="P16" i="41"/>
  <c r="O33" i="41"/>
  <c r="O34" i="41"/>
  <c r="O35" i="41"/>
  <c r="O31" i="41"/>
  <c r="O32" i="41"/>
  <c r="O28" i="41"/>
  <c r="O29" i="41"/>
  <c r="O30" i="41"/>
  <c r="O26" i="41"/>
  <c r="O27" i="41"/>
  <c r="O24" i="41"/>
  <c r="O25" i="41"/>
  <c r="O22" i="41"/>
  <c r="O23" i="41"/>
  <c r="O20" i="41"/>
  <c r="O21" i="41"/>
  <c r="O17" i="41"/>
  <c r="O18" i="41"/>
  <c r="O19" i="41"/>
  <c r="O16" i="41"/>
  <c r="AL17" i="55" l="1"/>
  <c r="H17" i="55" l="1"/>
  <c r="H18" i="55"/>
  <c r="G17" i="55"/>
  <c r="G18" i="55"/>
  <c r="G16" i="55"/>
  <c r="F17" i="55"/>
  <c r="F18" i="55"/>
  <c r="F16" i="55"/>
  <c r="F17" i="46" l="1"/>
  <c r="F18" i="46"/>
  <c r="G18" i="46"/>
  <c r="G17" i="46"/>
  <c r="G16" i="46"/>
  <c r="F16" i="46"/>
  <c r="F19" i="53" l="1"/>
  <c r="F20" i="53"/>
  <c r="G19" i="53"/>
  <c r="G20" i="53"/>
  <c r="F17" i="53"/>
  <c r="G17" i="53"/>
  <c r="F18" i="53"/>
  <c r="G18" i="53"/>
  <c r="F16" i="53"/>
  <c r="G16" i="53"/>
  <c r="F17" i="52"/>
  <c r="G17" i="52"/>
  <c r="F18" i="52"/>
  <c r="G18" i="52"/>
  <c r="F19" i="52"/>
  <c r="G19" i="52"/>
  <c r="F16" i="52"/>
  <c r="G16" i="52"/>
  <c r="AV19" i="50"/>
  <c r="AU19" i="50"/>
  <c r="AT19" i="50"/>
  <c r="AM19" i="50"/>
  <c r="AL19" i="50"/>
  <c r="AE19" i="50"/>
  <c r="AD19" i="50"/>
  <c r="W19" i="50"/>
  <c r="V19" i="50"/>
  <c r="AV18" i="50"/>
  <c r="AU18" i="50"/>
  <c r="AT18" i="50"/>
  <c r="AM18" i="50"/>
  <c r="AL18" i="50"/>
  <c r="AE18" i="50"/>
  <c r="AD18" i="50"/>
  <c r="W18" i="50"/>
  <c r="V18" i="50"/>
  <c r="AV17" i="50"/>
  <c r="AU17" i="50"/>
  <c r="AT17" i="50"/>
  <c r="AM17" i="50"/>
  <c r="AL17" i="50"/>
  <c r="AE17" i="50"/>
  <c r="AD17" i="50"/>
  <c r="W17" i="50"/>
  <c r="V17" i="50"/>
  <c r="AU16" i="50"/>
  <c r="AT16" i="50"/>
  <c r="AM16" i="50"/>
  <c r="AL16" i="50"/>
  <c r="AE16" i="50"/>
  <c r="AD16" i="50"/>
  <c r="W16" i="50"/>
  <c r="V16" i="50"/>
  <c r="AV16" i="50" s="1"/>
  <c r="F17" i="54"/>
  <c r="F18" i="54"/>
  <c r="F16" i="54"/>
  <c r="G16" i="54"/>
  <c r="F18" i="50"/>
  <c r="F19" i="50"/>
  <c r="F17" i="50"/>
  <c r="G18" i="50"/>
  <c r="G19" i="50"/>
  <c r="G17" i="50"/>
  <c r="G16" i="50"/>
  <c r="F16" i="50"/>
  <c r="F17" i="51" l="1"/>
  <c r="F18" i="51"/>
  <c r="F16" i="51"/>
  <c r="G17" i="51"/>
  <c r="G18" i="51"/>
  <c r="G16" i="51"/>
  <c r="G17" i="48"/>
  <c r="G16" i="48"/>
  <c r="F17" i="48"/>
  <c r="F16" i="48"/>
  <c r="G23" i="47" l="1"/>
  <c r="F23" i="47"/>
  <c r="F22" i="47"/>
  <c r="G22" i="47"/>
  <c r="F19" i="47"/>
  <c r="G19" i="47"/>
  <c r="F20" i="47"/>
  <c r="G20" i="47"/>
  <c r="F21" i="47"/>
  <c r="G21" i="47"/>
  <c r="F18" i="47"/>
  <c r="G18" i="47"/>
  <c r="G17" i="47"/>
  <c r="F17" i="47"/>
  <c r="G16" i="47"/>
  <c r="F16" i="47"/>
  <c r="G19" i="43"/>
  <c r="G23" i="43"/>
  <c r="G22" i="43"/>
  <c r="G21" i="43"/>
  <c r="G20" i="43"/>
  <c r="G18" i="43"/>
  <c r="AV19" i="43"/>
  <c r="AV17" i="43"/>
  <c r="AL19" i="43"/>
  <c r="AL17" i="43"/>
  <c r="AT19" i="43"/>
  <c r="AT17" i="43"/>
  <c r="AD19" i="43"/>
  <c r="AD17" i="43"/>
  <c r="V19" i="43"/>
  <c r="V17" i="43"/>
  <c r="F17" i="43"/>
  <c r="F18" i="43"/>
  <c r="F19" i="43"/>
  <c r="F20" i="43"/>
  <c r="F21" i="43"/>
  <c r="F22" i="43"/>
  <c r="F23" i="43"/>
  <c r="F16" i="43"/>
  <c r="F22" i="42"/>
  <c r="F20" i="42"/>
  <c r="F21" i="42"/>
  <c r="F17" i="42"/>
  <c r="F18" i="42"/>
  <c r="F19" i="42"/>
  <c r="F22" i="41"/>
  <c r="F16" i="42"/>
  <c r="F35" i="41"/>
  <c r="F34" i="41"/>
  <c r="F33" i="41"/>
  <c r="F32" i="41"/>
  <c r="F31" i="41"/>
  <c r="F30" i="41"/>
  <c r="F29" i="41"/>
  <c r="F28" i="41"/>
  <c r="F27" i="41"/>
  <c r="F26" i="41"/>
  <c r="F25" i="41"/>
  <c r="F24" i="41"/>
  <c r="F23" i="41"/>
  <c r="F17" i="41"/>
  <c r="F18" i="41"/>
  <c r="F19" i="41"/>
  <c r="F20" i="41"/>
  <c r="F21" i="41"/>
  <c r="F16" i="41"/>
  <c r="G19" i="37"/>
  <c r="G18" i="37"/>
  <c r="G17" i="37"/>
  <c r="G16" i="37"/>
  <c r="F17" i="56"/>
  <c r="F16" i="56"/>
  <c r="F17" i="44"/>
  <c r="F18" i="44"/>
  <c r="F19" i="44"/>
  <c r="F20" i="44"/>
  <c r="F21" i="44"/>
  <c r="F22" i="44"/>
  <c r="F16" i="44"/>
  <c r="F17" i="45"/>
  <c r="F18" i="45"/>
  <c r="F19" i="45"/>
  <c r="F16" i="45"/>
  <c r="F17" i="37"/>
  <c r="F18" i="37"/>
  <c r="F19" i="37"/>
  <c r="F16" i="37"/>
  <c r="G16" i="43" l="1"/>
  <c r="G17" i="56" l="1"/>
  <c r="G16" i="56"/>
  <c r="G21" i="44"/>
  <c r="G22" i="44"/>
  <c r="G17" i="44"/>
  <c r="G18" i="44"/>
  <c r="G20" i="44"/>
  <c r="G16" i="44"/>
  <c r="AV22" i="41"/>
  <c r="AT22" i="41"/>
  <c r="AL22" i="41"/>
  <c r="AD22" i="41"/>
  <c r="V22" i="41"/>
  <c r="G34" i="41"/>
  <c r="G35" i="41"/>
  <c r="G30" i="41"/>
  <c r="G31" i="41"/>
  <c r="G32" i="41"/>
  <c r="G33" i="41"/>
  <c r="G27" i="41"/>
  <c r="G28" i="41"/>
  <c r="G29" i="41"/>
  <c r="G25" i="41"/>
  <c r="G26" i="41"/>
  <c r="G24" i="41"/>
  <c r="G22" i="41"/>
  <c r="G23" i="41"/>
  <c r="G21" i="41"/>
  <c r="G17" i="41"/>
  <c r="G18" i="41"/>
  <c r="G19" i="41"/>
  <c r="G20" i="41"/>
  <c r="G16" i="41"/>
  <c r="AP21" i="42"/>
  <c r="AN21" i="42"/>
  <c r="AR19" i="42"/>
  <c r="AP19" i="42"/>
  <c r="AN19" i="42"/>
  <c r="AP18" i="42"/>
  <c r="AN18" i="42"/>
  <c r="AJ21" i="42"/>
  <c r="AH21" i="42"/>
  <c r="AF21" i="42"/>
  <c r="AJ19" i="42"/>
  <c r="AH19" i="42"/>
  <c r="AF19" i="42"/>
  <c r="AJ18" i="42"/>
  <c r="AH18" i="42"/>
  <c r="AF18" i="42"/>
  <c r="AB21" i="42"/>
  <c r="Z21" i="42"/>
  <c r="X21" i="42"/>
  <c r="AB19" i="42"/>
  <c r="Z19" i="42"/>
  <c r="X19" i="42"/>
  <c r="AB18" i="42"/>
  <c r="Z18" i="42"/>
  <c r="X18" i="42"/>
  <c r="T21" i="42"/>
  <c r="R21" i="42"/>
  <c r="T19" i="42"/>
  <c r="R19" i="42"/>
  <c r="P19" i="42"/>
  <c r="T18" i="42"/>
  <c r="R18" i="42"/>
  <c r="O20" i="42"/>
  <c r="O21" i="42"/>
  <c r="O22" i="42"/>
  <c r="O17" i="42"/>
  <c r="O18" i="42"/>
  <c r="O19" i="42"/>
  <c r="O16" i="42"/>
  <c r="G21" i="42"/>
  <c r="G22" i="42"/>
  <c r="G17" i="42"/>
  <c r="G18" i="42"/>
  <c r="G19" i="42"/>
  <c r="G20" i="42"/>
  <c r="G16" i="42"/>
  <c r="G18" i="54" l="1"/>
  <c r="G17" i="54"/>
  <c r="AV17" i="45"/>
  <c r="AT17" i="45"/>
  <c r="AU17" i="45"/>
  <c r="AL17" i="45"/>
  <c r="AM17" i="45"/>
  <c r="AD17" i="45"/>
  <c r="AE17" i="45"/>
  <c r="V17" i="45"/>
  <c r="W17" i="45"/>
  <c r="AZ17" i="45" s="1"/>
  <c r="O17" i="45"/>
  <c r="O18" i="45"/>
  <c r="O19" i="45"/>
  <c r="O16" i="45"/>
  <c r="BD17" i="45" l="1"/>
  <c r="AY17" i="45"/>
  <c r="AX17" i="45"/>
  <c r="AW17" i="45"/>
  <c r="I17" i="45"/>
  <c r="H17" i="45"/>
  <c r="H18" i="45"/>
  <c r="G17" i="45"/>
  <c r="G18" i="45"/>
  <c r="G19" i="45"/>
  <c r="G16" i="45"/>
  <c r="E17" i="45"/>
  <c r="BH17" i="45" s="1"/>
  <c r="D17" i="45"/>
  <c r="O97" i="38"/>
  <c r="BB17" i="45" l="1"/>
  <c r="BF17" i="45"/>
  <c r="BC17" i="45"/>
  <c r="BG17" i="45"/>
  <c r="BE17" i="45"/>
  <c r="BA17" i="45"/>
  <c r="AT20" i="41"/>
  <c r="AT17" i="41"/>
  <c r="AT29" i="41"/>
  <c r="C16" i="41"/>
  <c r="C33" i="41"/>
  <c r="C27" i="41"/>
  <c r="AT23" i="43"/>
  <c r="F7" i="59"/>
  <c r="AX19" i="50"/>
  <c r="BB19" i="50" s="1"/>
  <c r="AW19" i="50"/>
  <c r="AX18" i="50"/>
  <c r="AW18" i="50"/>
  <c r="AX17" i="50"/>
  <c r="AW17" i="50"/>
  <c r="BF17" i="50"/>
  <c r="AZ19" i="50"/>
  <c r="AZ18" i="50"/>
  <c r="AY17" i="50"/>
  <c r="I17" i="50"/>
  <c r="I18" i="50"/>
  <c r="I19" i="50"/>
  <c r="H18" i="50"/>
  <c r="H19" i="50"/>
  <c r="H17" i="50"/>
  <c r="D17" i="50"/>
  <c r="D16" i="50"/>
  <c r="I16" i="52"/>
  <c r="O18" i="46"/>
  <c r="O17" i="46"/>
  <c r="O16" i="46"/>
  <c r="AU17" i="46"/>
  <c r="AT17" i="46"/>
  <c r="AM17" i="46"/>
  <c r="AL17" i="46"/>
  <c r="AE17" i="46"/>
  <c r="AD17" i="46"/>
  <c r="W17" i="46"/>
  <c r="V17" i="46"/>
  <c r="AU16" i="46"/>
  <c r="AT16" i="46"/>
  <c r="AM16" i="46"/>
  <c r="AL16" i="46"/>
  <c r="AE16" i="46"/>
  <c r="AD16" i="46"/>
  <c r="W16" i="46"/>
  <c r="AW16" i="46" s="1"/>
  <c r="V16" i="46"/>
  <c r="AV16" i="46" s="1"/>
  <c r="I17" i="46"/>
  <c r="I16" i="46"/>
  <c r="H17" i="46"/>
  <c r="H16" i="46"/>
  <c r="E17" i="46"/>
  <c r="E16" i="46"/>
  <c r="D17" i="46"/>
  <c r="D16" i="46"/>
  <c r="B16" i="46"/>
  <c r="C16" i="46"/>
  <c r="D22" i="47"/>
  <c r="D23" i="47"/>
  <c r="D20" i="47"/>
  <c r="D21" i="47"/>
  <c r="D19" i="47"/>
  <c r="D18" i="47"/>
  <c r="D17" i="47"/>
  <c r="I18" i="45"/>
  <c r="I19" i="45"/>
  <c r="I16" i="45"/>
  <c r="H19" i="45"/>
  <c r="H16" i="45"/>
  <c r="E18" i="45"/>
  <c r="E19" i="45"/>
  <c r="E16" i="45"/>
  <c r="D18" i="45"/>
  <c r="D19" i="45"/>
  <c r="D16" i="45"/>
  <c r="C18" i="45"/>
  <c r="C19" i="45"/>
  <c r="C16" i="45"/>
  <c r="B16" i="45"/>
  <c r="AU19" i="45"/>
  <c r="AT19" i="45"/>
  <c r="AM19" i="45"/>
  <c r="AL19" i="45"/>
  <c r="AE19" i="45"/>
  <c r="AD19" i="45"/>
  <c r="W19" i="45"/>
  <c r="AW19" i="45" s="1"/>
  <c r="V19" i="45"/>
  <c r="AU18" i="45"/>
  <c r="AT18" i="45"/>
  <c r="AM18" i="45"/>
  <c r="AL18" i="45"/>
  <c r="AE18" i="45"/>
  <c r="AD18" i="45"/>
  <c r="W18" i="45"/>
  <c r="V18" i="45"/>
  <c r="AU16" i="45"/>
  <c r="AT16" i="45"/>
  <c r="AM16" i="45"/>
  <c r="AL16" i="45"/>
  <c r="AE16" i="45"/>
  <c r="AD16" i="45"/>
  <c r="W16" i="45"/>
  <c r="V16" i="45"/>
  <c r="AW16" i="45"/>
  <c r="AV17" i="56"/>
  <c r="AU17" i="56"/>
  <c r="AT17" i="56"/>
  <c r="AM17" i="56"/>
  <c r="AL17" i="56"/>
  <c r="AE17" i="56"/>
  <c r="AD17" i="56"/>
  <c r="W17" i="56"/>
  <c r="AW17" i="56" s="1"/>
  <c r="V17" i="56"/>
  <c r="AV16" i="56"/>
  <c r="AU16" i="56"/>
  <c r="AT16" i="56"/>
  <c r="AM16" i="56"/>
  <c r="AL16" i="56"/>
  <c r="AE16" i="56"/>
  <c r="AD16" i="56"/>
  <c r="W16" i="56"/>
  <c r="AY16" i="56" s="1"/>
  <c r="V16" i="56"/>
  <c r="I17" i="56"/>
  <c r="I16" i="56"/>
  <c r="H17" i="56"/>
  <c r="H16" i="56"/>
  <c r="E17" i="56"/>
  <c r="E16" i="56"/>
  <c r="D17" i="56"/>
  <c r="D16" i="56"/>
  <c r="C16" i="56"/>
  <c r="B16" i="56"/>
  <c r="O17" i="56"/>
  <c r="O16" i="56"/>
  <c r="O94" i="38"/>
  <c r="O93" i="38"/>
  <c r="AX17" i="56"/>
  <c r="BB17" i="56" s="1"/>
  <c r="I17" i="55"/>
  <c r="I18" i="55"/>
  <c r="I16" i="55"/>
  <c r="E17" i="55"/>
  <c r="E18" i="55"/>
  <c r="E16" i="55"/>
  <c r="D17" i="55"/>
  <c r="D18" i="55"/>
  <c r="D16" i="55"/>
  <c r="C16" i="55"/>
  <c r="B16" i="55"/>
  <c r="AU18" i="55"/>
  <c r="AT18" i="55"/>
  <c r="AM18" i="55"/>
  <c r="AL18" i="55"/>
  <c r="AE18" i="55"/>
  <c r="AD18" i="55"/>
  <c r="W18" i="55"/>
  <c r="V18" i="55"/>
  <c r="O18" i="55"/>
  <c r="AU17" i="55"/>
  <c r="AT17" i="55"/>
  <c r="AM17" i="55"/>
  <c r="AY17" i="55" s="1"/>
  <c r="AE17" i="55"/>
  <c r="AD17" i="55"/>
  <c r="W17" i="55"/>
  <c r="AX17" i="55" s="1"/>
  <c r="V17" i="55"/>
  <c r="O17" i="55"/>
  <c r="AU16" i="55"/>
  <c r="AT16" i="55"/>
  <c r="AM16" i="55"/>
  <c r="AL16" i="55"/>
  <c r="AE16" i="55"/>
  <c r="AX16" i="55" s="1"/>
  <c r="AD16" i="55"/>
  <c r="W16" i="55"/>
  <c r="AW16" i="55" s="1"/>
  <c r="V16" i="55"/>
  <c r="O16" i="55"/>
  <c r="O90" i="38"/>
  <c r="O91" i="38"/>
  <c r="O92" i="38"/>
  <c r="AX18" i="55"/>
  <c r="O17" i="54"/>
  <c r="O18" i="54"/>
  <c r="O16" i="54"/>
  <c r="I17" i="54"/>
  <c r="I18" i="54"/>
  <c r="I16" i="54"/>
  <c r="H17" i="54"/>
  <c r="H18" i="54"/>
  <c r="H16" i="54"/>
  <c r="E17" i="54"/>
  <c r="E18" i="54"/>
  <c r="E16" i="54"/>
  <c r="D17" i="54"/>
  <c r="D18" i="54"/>
  <c r="D16" i="54"/>
  <c r="C16" i="54"/>
  <c r="B16" i="54"/>
  <c r="AU18" i="54"/>
  <c r="AT18" i="54"/>
  <c r="AM18" i="54"/>
  <c r="AL18" i="54"/>
  <c r="AE18" i="54"/>
  <c r="AD18" i="54"/>
  <c r="W18" i="54"/>
  <c r="AZ18" i="54" s="1"/>
  <c r="V18" i="54"/>
  <c r="AU17" i="54"/>
  <c r="AT17" i="54"/>
  <c r="AM17" i="54"/>
  <c r="AL17" i="54"/>
  <c r="AE17" i="54"/>
  <c r="AD17" i="54"/>
  <c r="W17" i="54"/>
  <c r="AX17" i="54" s="1"/>
  <c r="V17" i="54"/>
  <c r="AU16" i="54"/>
  <c r="AT16" i="54"/>
  <c r="AM16" i="54"/>
  <c r="AL16" i="54"/>
  <c r="AE16" i="54"/>
  <c r="AD16" i="54"/>
  <c r="W16" i="54"/>
  <c r="AW16" i="54" s="1"/>
  <c r="V16" i="54"/>
  <c r="O89" i="38"/>
  <c r="O88" i="38"/>
  <c r="O87" i="38"/>
  <c r="O83" i="38"/>
  <c r="O82" i="38"/>
  <c r="O81" i="38"/>
  <c r="O80" i="38"/>
  <c r="O79" i="38"/>
  <c r="AV20" i="53"/>
  <c r="AU20" i="53"/>
  <c r="AT20" i="53"/>
  <c r="AM20" i="53"/>
  <c r="AY20" i="53" s="1"/>
  <c r="BC20" i="53" s="1"/>
  <c r="AL20" i="53"/>
  <c r="AE20" i="53"/>
  <c r="AD20" i="53"/>
  <c r="W20" i="53"/>
  <c r="V20" i="53"/>
  <c r="O17" i="53"/>
  <c r="O18" i="53"/>
  <c r="O19" i="53"/>
  <c r="O20" i="53"/>
  <c r="O16" i="53"/>
  <c r="I17" i="53"/>
  <c r="I18" i="53"/>
  <c r="I19" i="53"/>
  <c r="I20" i="53"/>
  <c r="I16" i="53"/>
  <c r="H17" i="53"/>
  <c r="H18" i="53"/>
  <c r="H19" i="53"/>
  <c r="H20" i="53"/>
  <c r="H16" i="53"/>
  <c r="E17" i="53"/>
  <c r="E18" i="53"/>
  <c r="E19" i="53"/>
  <c r="E16" i="53"/>
  <c r="D18" i="53"/>
  <c r="D19" i="53"/>
  <c r="D17" i="53"/>
  <c r="D16" i="53"/>
  <c r="C16" i="53"/>
  <c r="B16" i="53"/>
  <c r="AV19" i="53"/>
  <c r="AU19" i="53"/>
  <c r="AT19" i="53"/>
  <c r="AM19" i="53"/>
  <c r="AL19" i="53"/>
  <c r="AE19" i="53"/>
  <c r="AD19" i="53"/>
  <c r="W19" i="53"/>
  <c r="AX19" i="53" s="1"/>
  <c r="BB19" i="53" s="1"/>
  <c r="V19" i="53"/>
  <c r="AV18" i="53"/>
  <c r="AU18" i="53"/>
  <c r="AT18" i="53"/>
  <c r="AM18" i="53"/>
  <c r="AL18" i="53"/>
  <c r="AE18" i="53"/>
  <c r="AD18" i="53"/>
  <c r="W18" i="53"/>
  <c r="AW18" i="53"/>
  <c r="V18" i="53"/>
  <c r="AV17" i="53"/>
  <c r="AU17" i="53"/>
  <c r="AT17" i="53"/>
  <c r="AM17" i="53"/>
  <c r="AL17" i="53"/>
  <c r="AE17" i="53"/>
  <c r="AD17" i="53"/>
  <c r="W17" i="53"/>
  <c r="V17" i="53"/>
  <c r="AV16" i="53"/>
  <c r="BA16" i="53" s="1"/>
  <c r="AU16" i="53"/>
  <c r="AT16" i="53"/>
  <c r="AM16" i="53"/>
  <c r="AL16" i="53"/>
  <c r="AE16" i="53"/>
  <c r="AX16" i="53" s="1"/>
  <c r="BB16" i="53" s="1"/>
  <c r="AD16" i="53"/>
  <c r="W16" i="53"/>
  <c r="V16" i="53"/>
  <c r="AW20" i="53"/>
  <c r="AZ18" i="53"/>
  <c r="AX20" i="53"/>
  <c r="AW16" i="53"/>
  <c r="BE20" i="53"/>
  <c r="AV17" i="52"/>
  <c r="AU17" i="52"/>
  <c r="AT17" i="52"/>
  <c r="AU16" i="52"/>
  <c r="AT16" i="52"/>
  <c r="AM17" i="52"/>
  <c r="AL17" i="52"/>
  <c r="AM16" i="52"/>
  <c r="AL16" i="52"/>
  <c r="AE17" i="52"/>
  <c r="AX17" i="52" s="1"/>
  <c r="BF17" i="52" s="1"/>
  <c r="AD17" i="52"/>
  <c r="AE16" i="52"/>
  <c r="AD16" i="52"/>
  <c r="W17" i="52"/>
  <c r="V17" i="52"/>
  <c r="W16" i="52"/>
  <c r="AW16" i="52" s="1"/>
  <c r="BA16" i="52" s="1"/>
  <c r="V16" i="52"/>
  <c r="O19" i="52"/>
  <c r="O17" i="52"/>
  <c r="O18" i="52"/>
  <c r="O16" i="52"/>
  <c r="I17" i="52"/>
  <c r="I18" i="52"/>
  <c r="I19" i="52"/>
  <c r="H17" i="52"/>
  <c r="H18" i="52"/>
  <c r="H19" i="52"/>
  <c r="H16" i="52"/>
  <c r="E17" i="52"/>
  <c r="E18" i="52"/>
  <c r="E19" i="52"/>
  <c r="E16" i="52"/>
  <c r="D18" i="52"/>
  <c r="D19" i="52"/>
  <c r="D17" i="52"/>
  <c r="D16" i="52"/>
  <c r="C16" i="52"/>
  <c r="B16" i="52"/>
  <c r="AU19" i="52"/>
  <c r="AT19" i="52"/>
  <c r="AM19" i="52"/>
  <c r="AL19" i="52"/>
  <c r="AE19" i="52"/>
  <c r="AD19" i="52"/>
  <c r="W19" i="52"/>
  <c r="AW19" i="52" s="1"/>
  <c r="V19" i="52"/>
  <c r="C19" i="52"/>
  <c r="B19" i="52"/>
  <c r="AU18" i="52"/>
  <c r="AT18" i="52"/>
  <c r="AM18" i="52"/>
  <c r="AL18" i="52"/>
  <c r="AE18" i="52"/>
  <c r="AD18" i="52"/>
  <c r="W18" i="52"/>
  <c r="V18" i="52"/>
  <c r="AW17" i="52"/>
  <c r="AV16" i="52"/>
  <c r="O78" i="38"/>
  <c r="O77" i="38"/>
  <c r="O75" i="38"/>
  <c r="O76" i="38"/>
  <c r="AX19" i="52"/>
  <c r="AZ19" i="52"/>
  <c r="O17" i="51"/>
  <c r="O18" i="51"/>
  <c r="O16" i="51"/>
  <c r="I17" i="51"/>
  <c r="I18" i="51"/>
  <c r="I16" i="51"/>
  <c r="H18" i="51"/>
  <c r="H17" i="51"/>
  <c r="H16" i="51"/>
  <c r="E17" i="51"/>
  <c r="E18" i="51"/>
  <c r="E16" i="51"/>
  <c r="D17" i="51"/>
  <c r="D18" i="51"/>
  <c r="D16" i="51"/>
  <c r="C16" i="51"/>
  <c r="B16" i="51"/>
  <c r="AU18" i="51"/>
  <c r="AT18" i="51"/>
  <c r="AM18" i="51"/>
  <c r="AL18" i="51"/>
  <c r="AE18" i="51"/>
  <c r="AD18" i="51"/>
  <c r="W18" i="51"/>
  <c r="AW18" i="51" s="1"/>
  <c r="V18" i="51"/>
  <c r="AU17" i="51"/>
  <c r="AT17" i="51"/>
  <c r="AM17" i="51"/>
  <c r="AL17" i="51"/>
  <c r="AE17" i="51"/>
  <c r="AD17" i="51"/>
  <c r="W17" i="51"/>
  <c r="V17" i="51"/>
  <c r="AU16" i="51"/>
  <c r="AT16" i="51"/>
  <c r="AM16" i="51"/>
  <c r="AL16" i="51"/>
  <c r="AE16" i="51"/>
  <c r="AD16" i="51"/>
  <c r="W16" i="51"/>
  <c r="V16" i="51"/>
  <c r="O72" i="38"/>
  <c r="O73" i="38"/>
  <c r="O16" i="50"/>
  <c r="I16" i="50"/>
  <c r="H16" i="50"/>
  <c r="O74" i="38"/>
  <c r="AU17" i="37"/>
  <c r="AT17" i="37"/>
  <c r="AM17" i="37"/>
  <c r="AL17" i="37"/>
  <c r="AE17" i="37"/>
  <c r="AD17" i="37"/>
  <c r="W17" i="37"/>
  <c r="V17" i="37"/>
  <c r="C16" i="50"/>
  <c r="B16" i="50"/>
  <c r="AW16" i="50"/>
  <c r="O71" i="38"/>
  <c r="O17" i="48"/>
  <c r="O16" i="48"/>
  <c r="H17" i="48"/>
  <c r="H16" i="48"/>
  <c r="E17" i="48"/>
  <c r="E16" i="48"/>
  <c r="D17" i="48"/>
  <c r="D16" i="48"/>
  <c r="C16" i="48"/>
  <c r="B16" i="48"/>
  <c r="AV17" i="48"/>
  <c r="AU17" i="48"/>
  <c r="AT17" i="48"/>
  <c r="AM17" i="48"/>
  <c r="AL17" i="48"/>
  <c r="AE17" i="48"/>
  <c r="AD17" i="48"/>
  <c r="W17" i="48"/>
  <c r="AW17" i="48" s="1"/>
  <c r="V17" i="48"/>
  <c r="I17" i="48"/>
  <c r="AV16" i="48"/>
  <c r="AU16" i="48"/>
  <c r="AT16" i="48"/>
  <c r="AM16" i="48"/>
  <c r="AL16" i="48"/>
  <c r="AE16" i="48"/>
  <c r="AD16" i="48"/>
  <c r="W16" i="48"/>
  <c r="AW16" i="48" s="1"/>
  <c r="V16" i="48"/>
  <c r="I16" i="48"/>
  <c r="O70" i="38"/>
  <c r="O69" i="38"/>
  <c r="AX17" i="48"/>
  <c r="BB17" i="48" s="1"/>
  <c r="AU18" i="47"/>
  <c r="AT18" i="47"/>
  <c r="AM18" i="47"/>
  <c r="AL18" i="47"/>
  <c r="AE18" i="47"/>
  <c r="AZ18" i="47" s="1"/>
  <c r="AD18" i="47"/>
  <c r="AV18" i="47"/>
  <c r="AV17" i="47"/>
  <c r="AU17" i="47"/>
  <c r="AT17" i="47"/>
  <c r="AM17" i="47"/>
  <c r="AL17" i="47"/>
  <c r="AE17" i="47"/>
  <c r="AZ17" i="47" s="1"/>
  <c r="AD17" i="47"/>
  <c r="AU22" i="47"/>
  <c r="AT22" i="47"/>
  <c r="AU21" i="47"/>
  <c r="AT21" i="47"/>
  <c r="AU20" i="47"/>
  <c r="AT20" i="47"/>
  <c r="AU19" i="47"/>
  <c r="AT19" i="47"/>
  <c r="AM22" i="47"/>
  <c r="AL22" i="47"/>
  <c r="AM21" i="47"/>
  <c r="AL21" i="47"/>
  <c r="AM20" i="47"/>
  <c r="AL20" i="47"/>
  <c r="AM19" i="47"/>
  <c r="AL19" i="47"/>
  <c r="AE22" i="47"/>
  <c r="AD22" i="47"/>
  <c r="AE21" i="47"/>
  <c r="AD21" i="47"/>
  <c r="AE20" i="47"/>
  <c r="AD20" i="47"/>
  <c r="AE19" i="47"/>
  <c r="AD19" i="47"/>
  <c r="V20" i="47"/>
  <c r="W20" i="47"/>
  <c r="AW20" i="47" s="1"/>
  <c r="V21" i="47"/>
  <c r="W21" i="47"/>
  <c r="AX21" i="47" s="1"/>
  <c r="V22" i="47"/>
  <c r="W22" i="47"/>
  <c r="W19" i="47"/>
  <c r="AW19" i="47" s="1"/>
  <c r="V19" i="47"/>
  <c r="AV19" i="47" s="1"/>
  <c r="V18" i="47"/>
  <c r="W18" i="47"/>
  <c r="W17" i="47"/>
  <c r="AW17" i="47" s="1"/>
  <c r="V17" i="47"/>
  <c r="AV16" i="47"/>
  <c r="AU16" i="47"/>
  <c r="AT16" i="47"/>
  <c r="AM16" i="47"/>
  <c r="AL16" i="47"/>
  <c r="AE16" i="47"/>
  <c r="AD16" i="47"/>
  <c r="W16" i="47"/>
  <c r="V16" i="47"/>
  <c r="I17" i="47"/>
  <c r="I18" i="47"/>
  <c r="I19" i="47"/>
  <c r="I20" i="47"/>
  <c r="I21" i="47"/>
  <c r="I22" i="47"/>
  <c r="I23" i="47"/>
  <c r="I16" i="47"/>
  <c r="H23" i="47"/>
  <c r="H22" i="47"/>
  <c r="H17" i="47"/>
  <c r="H18" i="47"/>
  <c r="H19" i="47"/>
  <c r="H20" i="47"/>
  <c r="H21" i="47"/>
  <c r="H16" i="47"/>
  <c r="E17" i="47"/>
  <c r="E18" i="47"/>
  <c r="E19" i="47"/>
  <c r="E20" i="47"/>
  <c r="E21" i="47"/>
  <c r="E22" i="47"/>
  <c r="E23" i="47"/>
  <c r="BF23" i="47" s="1"/>
  <c r="E16" i="47"/>
  <c r="D16" i="47"/>
  <c r="C16" i="47"/>
  <c r="B16" i="47"/>
  <c r="BD23" i="47"/>
  <c r="BC23" i="47"/>
  <c r="BB23" i="47"/>
  <c r="BA23" i="47"/>
  <c r="O23" i="47"/>
  <c r="O18" i="47"/>
  <c r="O17" i="47"/>
  <c r="AW16" i="47"/>
  <c r="O16" i="47"/>
  <c r="O66" i="38"/>
  <c r="O67" i="38"/>
  <c r="O64" i="38"/>
  <c r="O65" i="38"/>
  <c r="O62" i="38"/>
  <c r="O63" i="38"/>
  <c r="O61" i="38"/>
  <c r="BH23" i="47"/>
  <c r="AZ16" i="47"/>
  <c r="AX17" i="47"/>
  <c r="O68" i="38"/>
  <c r="I18" i="46"/>
  <c r="H18" i="46"/>
  <c r="E18" i="46"/>
  <c r="D18" i="46"/>
  <c r="C18" i="46"/>
  <c r="B18" i="46"/>
  <c r="AU18" i="46"/>
  <c r="AT18" i="46"/>
  <c r="AM18" i="46"/>
  <c r="AL18" i="46"/>
  <c r="AE18" i="46"/>
  <c r="AD18" i="46"/>
  <c r="W18" i="46"/>
  <c r="AW18" i="46" s="1"/>
  <c r="V18" i="46"/>
  <c r="O95" i="38"/>
  <c r="O59" i="38"/>
  <c r="AU19" i="37"/>
  <c r="AT19" i="37"/>
  <c r="AM19" i="37"/>
  <c r="AL19" i="37"/>
  <c r="AE19" i="37"/>
  <c r="AD19" i="37"/>
  <c r="W19" i="37"/>
  <c r="V19" i="37"/>
  <c r="O19" i="37"/>
  <c r="W18" i="37"/>
  <c r="V18" i="37"/>
  <c r="AE18" i="37"/>
  <c r="AD18" i="37"/>
  <c r="AM18" i="37"/>
  <c r="AL18" i="37"/>
  <c r="AT18" i="37"/>
  <c r="AU18" i="37"/>
  <c r="O18" i="37"/>
  <c r="O17" i="37"/>
  <c r="C16" i="37"/>
  <c r="B16" i="37"/>
  <c r="I22" i="44"/>
  <c r="I17" i="44"/>
  <c r="I18" i="44"/>
  <c r="I19" i="44"/>
  <c r="I20" i="44"/>
  <c r="I21" i="44"/>
  <c r="I16" i="44"/>
  <c r="H17" i="44"/>
  <c r="H18" i="44"/>
  <c r="H19" i="44"/>
  <c r="H20" i="44"/>
  <c r="H21" i="44"/>
  <c r="H22" i="44"/>
  <c r="H16" i="44"/>
  <c r="E17" i="44"/>
  <c r="E18" i="44"/>
  <c r="E19" i="44"/>
  <c r="E20" i="44"/>
  <c r="E21" i="44"/>
  <c r="E22" i="44"/>
  <c r="E16" i="44"/>
  <c r="D22" i="44"/>
  <c r="D17" i="44"/>
  <c r="D18" i="44"/>
  <c r="D19" i="44"/>
  <c r="D20" i="44"/>
  <c r="D21" i="44"/>
  <c r="D16" i="44"/>
  <c r="C16" i="44"/>
  <c r="B16" i="44"/>
  <c r="AU22" i="44"/>
  <c r="AT22" i="44"/>
  <c r="AM22" i="44"/>
  <c r="AL22" i="44"/>
  <c r="AE22" i="44"/>
  <c r="AD22" i="44"/>
  <c r="W22" i="44"/>
  <c r="AW22" i="44" s="1"/>
  <c r="V22" i="44"/>
  <c r="AU21" i="44"/>
  <c r="AT21" i="44"/>
  <c r="AM21" i="44"/>
  <c r="AL21" i="44"/>
  <c r="AE21" i="44"/>
  <c r="AD21" i="44"/>
  <c r="W21" i="44"/>
  <c r="AW21" i="44" s="1"/>
  <c r="V21" i="44"/>
  <c r="AU20" i="44"/>
  <c r="AT20" i="44"/>
  <c r="AM20" i="44"/>
  <c r="AL20" i="44"/>
  <c r="AE20" i="44"/>
  <c r="AD20" i="44"/>
  <c r="W20" i="44"/>
  <c r="AW20" i="44" s="1"/>
  <c r="V20" i="44"/>
  <c r="AU19" i="44"/>
  <c r="AT19" i="44"/>
  <c r="AM19" i="44"/>
  <c r="AL19" i="44"/>
  <c r="AE19" i="44"/>
  <c r="AD19" i="44"/>
  <c r="W19" i="44"/>
  <c r="AW19" i="44" s="1"/>
  <c r="V19" i="44"/>
  <c r="AU18" i="44"/>
  <c r="AT18" i="44"/>
  <c r="AM18" i="44"/>
  <c r="AL18" i="44"/>
  <c r="AE18" i="44"/>
  <c r="AD18" i="44"/>
  <c r="W18" i="44"/>
  <c r="AW18" i="44" s="1"/>
  <c r="V18" i="44"/>
  <c r="AU17" i="44"/>
  <c r="AT17" i="44"/>
  <c r="AM17" i="44"/>
  <c r="AL17" i="44"/>
  <c r="AE17" i="44"/>
  <c r="AD17" i="44"/>
  <c r="W17" i="44"/>
  <c r="AW17" i="44" s="1"/>
  <c r="V17" i="44"/>
  <c r="O17" i="44"/>
  <c r="AU16" i="44"/>
  <c r="AT16" i="44"/>
  <c r="AM16" i="44"/>
  <c r="AL16" i="44"/>
  <c r="AE16" i="44"/>
  <c r="AD16" i="44"/>
  <c r="W16" i="44"/>
  <c r="V16" i="44"/>
  <c r="O16" i="44"/>
  <c r="AU19" i="43"/>
  <c r="AM19" i="43"/>
  <c r="AE19" i="43"/>
  <c r="W19" i="43"/>
  <c r="AW19" i="43" s="1"/>
  <c r="AU17" i="43"/>
  <c r="AM17" i="43"/>
  <c r="AE17" i="43"/>
  <c r="W17" i="43"/>
  <c r="O17" i="43"/>
  <c r="O18" i="43"/>
  <c r="O19" i="43"/>
  <c r="O20" i="43"/>
  <c r="O21" i="43"/>
  <c r="O22" i="43"/>
  <c r="O23" i="43"/>
  <c r="O16" i="43"/>
  <c r="I21" i="43"/>
  <c r="I22" i="43"/>
  <c r="I23" i="43"/>
  <c r="I20" i="43"/>
  <c r="I17" i="43"/>
  <c r="I18" i="43"/>
  <c r="I19" i="43"/>
  <c r="I16" i="43"/>
  <c r="H21" i="43"/>
  <c r="H22" i="43"/>
  <c r="H23" i="43"/>
  <c r="H17" i="43"/>
  <c r="H18" i="43"/>
  <c r="H19" i="43"/>
  <c r="H20" i="43"/>
  <c r="H16" i="43"/>
  <c r="G17" i="43"/>
  <c r="E17" i="43"/>
  <c r="E18" i="43"/>
  <c r="E19" i="43"/>
  <c r="E20" i="43"/>
  <c r="E21" i="43"/>
  <c r="E22" i="43"/>
  <c r="E23" i="43"/>
  <c r="E16" i="43"/>
  <c r="D21" i="43"/>
  <c r="D22" i="43"/>
  <c r="D23" i="43"/>
  <c r="D17" i="43"/>
  <c r="D18" i="43"/>
  <c r="D19" i="43"/>
  <c r="D20" i="43"/>
  <c r="D16" i="43"/>
  <c r="C21" i="43"/>
  <c r="C20" i="43"/>
  <c r="C18" i="43"/>
  <c r="C16" i="43"/>
  <c r="B16" i="43"/>
  <c r="AU23" i="43"/>
  <c r="AM23" i="43"/>
  <c r="AL23" i="43"/>
  <c r="AE23" i="43"/>
  <c r="AD23" i="43"/>
  <c r="W23" i="43"/>
  <c r="V23" i="43"/>
  <c r="AU22" i="43"/>
  <c r="AT22" i="43"/>
  <c r="AM22" i="43"/>
  <c r="AL22" i="43"/>
  <c r="AE22" i="43"/>
  <c r="AD22" i="43"/>
  <c r="W22" i="43"/>
  <c r="AW22" i="43" s="1"/>
  <c r="V22" i="43"/>
  <c r="AU21" i="43"/>
  <c r="AT21" i="43"/>
  <c r="AM21" i="43"/>
  <c r="AL21" i="43"/>
  <c r="AE21" i="43"/>
  <c r="AD21" i="43"/>
  <c r="W21" i="43"/>
  <c r="AW21" i="43" s="1"/>
  <c r="V21" i="43"/>
  <c r="AU20" i="43"/>
  <c r="AT20" i="43"/>
  <c r="AM20" i="43"/>
  <c r="AL20" i="43"/>
  <c r="AE20" i="43"/>
  <c r="AD20" i="43"/>
  <c r="W20" i="43"/>
  <c r="AW20" i="43" s="1"/>
  <c r="V20" i="43"/>
  <c r="AU18" i="43"/>
  <c r="AT18" i="43"/>
  <c r="AM18" i="43"/>
  <c r="AL18" i="43"/>
  <c r="AE18" i="43"/>
  <c r="AD18" i="43"/>
  <c r="W18" i="43"/>
  <c r="AW18" i="43" s="1"/>
  <c r="V18" i="43"/>
  <c r="AU16" i="43"/>
  <c r="AT16" i="43"/>
  <c r="AM16" i="43"/>
  <c r="AL16" i="43"/>
  <c r="AE16" i="43"/>
  <c r="AD16" i="43"/>
  <c r="W16" i="43"/>
  <c r="V16" i="43"/>
  <c r="O43" i="38"/>
  <c r="O41" i="38"/>
  <c r="O42" i="38"/>
  <c r="O44" i="38"/>
  <c r="O45" i="38"/>
  <c r="O46" i="38"/>
  <c r="O47" i="38"/>
  <c r="I21" i="42"/>
  <c r="I22" i="42"/>
  <c r="I20" i="42"/>
  <c r="I17" i="42"/>
  <c r="I18" i="42"/>
  <c r="I19" i="42"/>
  <c r="I16" i="42"/>
  <c r="H17" i="42"/>
  <c r="H18" i="42"/>
  <c r="H19" i="42"/>
  <c r="H20" i="42"/>
  <c r="H21" i="42"/>
  <c r="H22" i="42"/>
  <c r="H16" i="42"/>
  <c r="D22" i="42"/>
  <c r="D21" i="42"/>
  <c r="D20" i="42"/>
  <c r="D17" i="42"/>
  <c r="D18" i="42"/>
  <c r="D19" i="42"/>
  <c r="D16" i="42"/>
  <c r="C20" i="42"/>
  <c r="C18" i="42"/>
  <c r="C16" i="42"/>
  <c r="B16" i="42"/>
  <c r="AU22" i="42"/>
  <c r="AT22" i="42"/>
  <c r="AM22" i="42"/>
  <c r="AL22" i="42"/>
  <c r="AE22" i="42"/>
  <c r="AD22" i="42"/>
  <c r="W22" i="42"/>
  <c r="V22" i="42"/>
  <c r="AY21" i="42"/>
  <c r="AX21" i="42"/>
  <c r="AW21" i="42"/>
  <c r="AU21" i="42"/>
  <c r="AZ21" i="42" s="1"/>
  <c r="AT21" i="42"/>
  <c r="AL21" i="42"/>
  <c r="AD21" i="42"/>
  <c r="V21" i="42"/>
  <c r="AY20" i="42"/>
  <c r="AX20" i="42"/>
  <c r="AW20" i="42"/>
  <c r="AU20" i="42"/>
  <c r="AZ20" i="42" s="1"/>
  <c r="AT20" i="42"/>
  <c r="AL20" i="42"/>
  <c r="AD20" i="42"/>
  <c r="V20" i="42"/>
  <c r="AU19" i="42"/>
  <c r="AT19" i="42"/>
  <c r="AM19" i="42"/>
  <c r="AL19" i="42"/>
  <c r="AE19" i="42"/>
  <c r="W19" i="42"/>
  <c r="AW19" i="42" s="1"/>
  <c r="V19" i="42"/>
  <c r="AU18" i="42"/>
  <c r="AT18" i="42"/>
  <c r="AM18" i="42"/>
  <c r="AE18" i="42"/>
  <c r="W18" i="42"/>
  <c r="V18" i="42"/>
  <c r="AU17" i="42"/>
  <c r="AT17" i="42"/>
  <c r="AM17" i="42"/>
  <c r="AL17" i="42"/>
  <c r="AE17" i="42"/>
  <c r="AD17" i="42"/>
  <c r="W17" i="42"/>
  <c r="AW17" i="42" s="1"/>
  <c r="V17" i="42"/>
  <c r="AU16" i="42"/>
  <c r="AT16" i="42"/>
  <c r="AM16" i="42"/>
  <c r="AL16" i="42"/>
  <c r="AE16" i="42"/>
  <c r="AD16" i="42"/>
  <c r="W16" i="42"/>
  <c r="V16" i="42"/>
  <c r="E22" i="42"/>
  <c r="E21" i="42"/>
  <c r="E20" i="42"/>
  <c r="E19" i="42"/>
  <c r="E18" i="42"/>
  <c r="E34" i="38"/>
  <c r="E17" i="42" s="1"/>
  <c r="E33" i="38"/>
  <c r="E16" i="42" s="1"/>
  <c r="AL18" i="42"/>
  <c r="AD19" i="42"/>
  <c r="AW16" i="42"/>
  <c r="AU22" i="41"/>
  <c r="AM22" i="41"/>
  <c r="AY22" i="41" s="1"/>
  <c r="AE22" i="41"/>
  <c r="AX22" i="41" s="1"/>
  <c r="W22" i="41"/>
  <c r="AW22" i="41" s="1"/>
  <c r="I17" i="41"/>
  <c r="I18" i="41"/>
  <c r="I19" i="41"/>
  <c r="I20" i="41"/>
  <c r="I21" i="41"/>
  <c r="I22" i="41"/>
  <c r="I23" i="41"/>
  <c r="I24" i="41"/>
  <c r="I25" i="41"/>
  <c r="I26" i="41"/>
  <c r="I27" i="41"/>
  <c r="I28" i="41"/>
  <c r="I29" i="41"/>
  <c r="I30" i="41"/>
  <c r="I31" i="41"/>
  <c r="I32" i="41"/>
  <c r="I33" i="41"/>
  <c r="I34" i="41"/>
  <c r="I35" i="41"/>
  <c r="I16" i="41"/>
  <c r="H17" i="41"/>
  <c r="H18" i="41"/>
  <c r="H19" i="41"/>
  <c r="H20" i="41"/>
  <c r="H21" i="41"/>
  <c r="H22" i="41"/>
  <c r="H23" i="41"/>
  <c r="H24" i="41"/>
  <c r="H25" i="41"/>
  <c r="H26" i="41"/>
  <c r="H27" i="41"/>
  <c r="H28" i="41"/>
  <c r="H29" i="41"/>
  <c r="H30" i="41"/>
  <c r="H31" i="41"/>
  <c r="H32" i="41"/>
  <c r="H33" i="41"/>
  <c r="H34" i="41"/>
  <c r="H35" i="41"/>
  <c r="H16" i="41"/>
  <c r="E17" i="41"/>
  <c r="E18" i="41"/>
  <c r="E19" i="41"/>
  <c r="E20" i="41"/>
  <c r="E21" i="41"/>
  <c r="E22" i="41"/>
  <c r="E23" i="41"/>
  <c r="E24" i="41"/>
  <c r="E25" i="41"/>
  <c r="E26" i="41"/>
  <c r="E27" i="41"/>
  <c r="E28" i="41"/>
  <c r="E29" i="41"/>
  <c r="E30" i="41"/>
  <c r="E31" i="41"/>
  <c r="E32" i="41"/>
  <c r="E33" i="41"/>
  <c r="E34" i="41"/>
  <c r="E35" i="41"/>
  <c r="E16" i="41"/>
  <c r="D35" i="41"/>
  <c r="D34" i="41"/>
  <c r="D33" i="41"/>
  <c r="D32" i="41"/>
  <c r="D31" i="41"/>
  <c r="D30" i="41"/>
  <c r="D29" i="41"/>
  <c r="D28" i="41"/>
  <c r="D27" i="41"/>
  <c r="D26" i="41"/>
  <c r="D25" i="41"/>
  <c r="D24" i="41"/>
  <c r="D23" i="41"/>
  <c r="D22" i="41"/>
  <c r="D21" i="41"/>
  <c r="D20" i="41"/>
  <c r="D19" i="41"/>
  <c r="D18" i="41"/>
  <c r="D17" i="41"/>
  <c r="D16" i="41"/>
  <c r="AU35" i="41"/>
  <c r="AT35" i="41"/>
  <c r="AM35" i="41"/>
  <c r="AL35" i="41"/>
  <c r="AE35" i="41"/>
  <c r="AD35" i="41"/>
  <c r="W35" i="41"/>
  <c r="AW35" i="41" s="1"/>
  <c r="V35" i="41"/>
  <c r="AU34" i="41"/>
  <c r="AT34" i="41"/>
  <c r="AM34" i="41"/>
  <c r="AL34" i="41"/>
  <c r="AE34" i="41"/>
  <c r="AD34" i="41"/>
  <c r="W34" i="41"/>
  <c r="AW34" i="41" s="1"/>
  <c r="V34" i="41"/>
  <c r="AU33" i="41"/>
  <c r="AT33" i="41"/>
  <c r="AM33" i="41"/>
  <c r="AL33" i="41"/>
  <c r="AE33" i="41"/>
  <c r="AD33" i="41"/>
  <c r="W33" i="41"/>
  <c r="AW33" i="41" s="1"/>
  <c r="V33" i="41"/>
  <c r="AU32" i="41"/>
  <c r="AT32" i="41"/>
  <c r="AM32" i="41"/>
  <c r="AL32" i="41"/>
  <c r="AE32" i="41"/>
  <c r="AD32" i="41"/>
  <c r="W32" i="41"/>
  <c r="AW32" i="41" s="1"/>
  <c r="AU31" i="41"/>
  <c r="AT31" i="41"/>
  <c r="AM31" i="41"/>
  <c r="AL31" i="41"/>
  <c r="AE31" i="41"/>
  <c r="AX31" i="41" s="1"/>
  <c r="W31" i="41"/>
  <c r="V31" i="41"/>
  <c r="AU30" i="41"/>
  <c r="AT30" i="41"/>
  <c r="AM30" i="41"/>
  <c r="AL30" i="41"/>
  <c r="AE30" i="41"/>
  <c r="AD30" i="41"/>
  <c r="W30" i="41"/>
  <c r="AW30" i="41" s="1"/>
  <c r="V30" i="41"/>
  <c r="AU29" i="41"/>
  <c r="AM29" i="41"/>
  <c r="AL29" i="41"/>
  <c r="AE29" i="41"/>
  <c r="AD29" i="41"/>
  <c r="W29" i="41"/>
  <c r="AW29" i="41" s="1"/>
  <c r="V29" i="41"/>
  <c r="AU28" i="41"/>
  <c r="AM28" i="41"/>
  <c r="AL28" i="41"/>
  <c r="AE28" i="41"/>
  <c r="W28" i="41"/>
  <c r="V28" i="41"/>
  <c r="AU27" i="41"/>
  <c r="AT27" i="41"/>
  <c r="AM27" i="41"/>
  <c r="AL27" i="41"/>
  <c r="AE27" i="41"/>
  <c r="W27" i="41"/>
  <c r="AW27" i="41" s="1"/>
  <c r="V27" i="41"/>
  <c r="AU26" i="41"/>
  <c r="AT26" i="41"/>
  <c r="AM26" i="41"/>
  <c r="AL26" i="41"/>
  <c r="AE26" i="41"/>
  <c r="AD26" i="41"/>
  <c r="W26" i="41"/>
  <c r="AW26" i="41" s="1"/>
  <c r="V26" i="41"/>
  <c r="AU25" i="41"/>
  <c r="AT25" i="41"/>
  <c r="AM25" i="41"/>
  <c r="AL25" i="41"/>
  <c r="AE25" i="41"/>
  <c r="AD25" i="41"/>
  <c r="W25" i="41"/>
  <c r="AW25" i="41" s="1"/>
  <c r="V25" i="41"/>
  <c r="AU24" i="41"/>
  <c r="AT24" i="41"/>
  <c r="AM24" i="41"/>
  <c r="AL24" i="41"/>
  <c r="AE24" i="41"/>
  <c r="AD24" i="41"/>
  <c r="W24" i="41"/>
  <c r="AW24" i="41" s="1"/>
  <c r="V24" i="41"/>
  <c r="AU23" i="41"/>
  <c r="AT23" i="41"/>
  <c r="AM23" i="41"/>
  <c r="AL23" i="41"/>
  <c r="AE23" i="41"/>
  <c r="AD23" i="41"/>
  <c r="W23" i="41"/>
  <c r="AW23" i="41" s="1"/>
  <c r="V23" i="41"/>
  <c r="AZ22" i="41"/>
  <c r="AU21" i="41"/>
  <c r="AT21" i="41"/>
  <c r="AM21" i="41"/>
  <c r="AL21" i="41"/>
  <c r="AE21" i="41"/>
  <c r="AD21" i="41"/>
  <c r="W21" i="41"/>
  <c r="AW21" i="41" s="1"/>
  <c r="V21" i="41"/>
  <c r="AU20" i="41"/>
  <c r="AM20" i="41"/>
  <c r="AE20" i="41"/>
  <c r="W20" i="41"/>
  <c r="AW20" i="41" s="1"/>
  <c r="V20" i="41"/>
  <c r="AU19" i="41"/>
  <c r="AT19" i="41"/>
  <c r="AM19" i="41"/>
  <c r="AL19" i="41"/>
  <c r="AE19" i="41"/>
  <c r="AD19" i="41"/>
  <c r="W19" i="41"/>
  <c r="AW19" i="41" s="1"/>
  <c r="V19" i="41"/>
  <c r="AU18" i="41"/>
  <c r="AM18" i="41"/>
  <c r="AL18" i="41"/>
  <c r="AE18" i="41"/>
  <c r="AD18" i="41"/>
  <c r="W18" i="41"/>
  <c r="V18" i="41"/>
  <c r="AU17" i="41"/>
  <c r="AM17" i="41"/>
  <c r="AE17" i="41"/>
  <c r="W17" i="41"/>
  <c r="AW17" i="41" s="1"/>
  <c r="AU16" i="41"/>
  <c r="AT16" i="41"/>
  <c r="AM16" i="41"/>
  <c r="AL16" i="41"/>
  <c r="AE16" i="41"/>
  <c r="W16" i="41"/>
  <c r="AW16" i="41" s="1"/>
  <c r="V16" i="41"/>
  <c r="B16" i="41" a="1"/>
  <c r="B16" i="41" s="1"/>
  <c r="AD28" i="41"/>
  <c r="AD27" i="41"/>
  <c r="AD17" i="41"/>
  <c r="AL20" i="41"/>
  <c r="V32" i="41"/>
  <c r="AD16" i="41"/>
  <c r="V17" i="41"/>
  <c r="AD20" i="41"/>
  <c r="AT28" i="41"/>
  <c r="AD31" i="41"/>
  <c r="AT18" i="41"/>
  <c r="AL17" i="41"/>
  <c r="AW31" i="41"/>
  <c r="O39" i="38"/>
  <c r="O38" i="38"/>
  <c r="O35" i="38"/>
  <c r="O36" i="38"/>
  <c r="O37" i="38"/>
  <c r="O40" i="38"/>
  <c r="O34" i="38"/>
  <c r="O33" i="38"/>
  <c r="O32" i="38"/>
  <c r="O30" i="38"/>
  <c r="O31" i="38"/>
  <c r="O24" i="38"/>
  <c r="O25" i="38"/>
  <c r="O26" i="38"/>
  <c r="O27" i="38"/>
  <c r="O28" i="38"/>
  <c r="O29" i="38"/>
  <c r="O23" i="38"/>
  <c r="O21" i="38"/>
  <c r="O22" i="38"/>
  <c r="O20" i="38"/>
  <c r="O17" i="38"/>
  <c r="O18" i="38"/>
  <c r="O14" i="38"/>
  <c r="O15" i="38"/>
  <c r="O16" i="38"/>
  <c r="O13" i="38"/>
  <c r="O16" i="37"/>
  <c r="I19" i="37"/>
  <c r="I17" i="37"/>
  <c r="I18" i="37"/>
  <c r="I16" i="37"/>
  <c r="H17" i="37"/>
  <c r="H18" i="37"/>
  <c r="H19" i="37"/>
  <c r="H16" i="37"/>
  <c r="E17" i="37"/>
  <c r="E18" i="37"/>
  <c r="E19" i="37"/>
  <c r="E16" i="37"/>
  <c r="D19" i="37"/>
  <c r="D17" i="37"/>
  <c r="D18" i="37"/>
  <c r="D16" i="37"/>
  <c r="O58" i="38"/>
  <c r="O57" i="38"/>
  <c r="O56" i="38"/>
  <c r="O55" i="38"/>
  <c r="O96" i="38"/>
  <c r="O98" i="38"/>
  <c r="O99" i="38"/>
  <c r="AU16" i="37"/>
  <c r="AT16" i="37"/>
  <c r="AM16" i="37"/>
  <c r="AL16" i="37"/>
  <c r="AE16" i="37"/>
  <c r="AD16" i="37"/>
  <c r="W16" i="37"/>
  <c r="V16" i="37"/>
  <c r="AX22" i="47" l="1"/>
  <c r="AV22" i="47"/>
  <c r="AV21" i="47"/>
  <c r="BB21" i="47" s="1"/>
  <c r="AX19" i="47"/>
  <c r="AZ21" i="47"/>
  <c r="AX20" i="47"/>
  <c r="AX18" i="42"/>
  <c r="AZ30" i="41"/>
  <c r="AX34" i="41"/>
  <c r="AY32" i="41"/>
  <c r="AX33" i="41"/>
  <c r="BG16" i="56"/>
  <c r="BE17" i="56"/>
  <c r="BE16" i="47"/>
  <c r="AZ29" i="41"/>
  <c r="AV30" i="41"/>
  <c r="BE30" i="41" s="1"/>
  <c r="AZ31" i="41"/>
  <c r="AV34" i="41"/>
  <c r="BE34" i="41" s="1"/>
  <c r="AY29" i="41"/>
  <c r="AZ19" i="41"/>
  <c r="BF22" i="41"/>
  <c r="AV24" i="41"/>
  <c r="BE24" i="41" s="1"/>
  <c r="AV25" i="41"/>
  <c r="BA25" i="41" s="1"/>
  <c r="AV26" i="41"/>
  <c r="BA26" i="41" s="1"/>
  <c r="AV27" i="41"/>
  <c r="BE27" i="41" s="1"/>
  <c r="AX32" i="41"/>
  <c r="AV33" i="41"/>
  <c r="BA33" i="41" s="1"/>
  <c r="AV35" i="41"/>
  <c r="BA35" i="41" s="1"/>
  <c r="AZ32" i="41"/>
  <c r="AX30" i="41"/>
  <c r="AX19" i="41"/>
  <c r="AV16" i="55"/>
  <c r="BF16" i="55" s="1"/>
  <c r="AV17" i="46"/>
  <c r="AV18" i="46"/>
  <c r="BE18" i="46" s="1"/>
  <c r="BE19" i="46" s="1"/>
  <c r="AY18" i="50"/>
  <c r="BG18" i="50" s="1"/>
  <c r="AX16" i="50"/>
  <c r="BB16" i="50" s="1"/>
  <c r="BB20" i="50" s="1"/>
  <c r="AZ16" i="37"/>
  <c r="AV17" i="37"/>
  <c r="AV18" i="37"/>
  <c r="AY17" i="37"/>
  <c r="AY16" i="37"/>
  <c r="BF19" i="50"/>
  <c r="BB17" i="50"/>
  <c r="AY16" i="55"/>
  <c r="BG16" i="55" s="1"/>
  <c r="AZ17" i="55"/>
  <c r="AZ16" i="55"/>
  <c r="AY18" i="55"/>
  <c r="AW17" i="55"/>
  <c r="AY16" i="54"/>
  <c r="AX18" i="46"/>
  <c r="BE16" i="53"/>
  <c r="BF16" i="53"/>
  <c r="BE18" i="53"/>
  <c r="BA20" i="53"/>
  <c r="AW19" i="53"/>
  <c r="BA19" i="53" s="1"/>
  <c r="BF19" i="53"/>
  <c r="BB17" i="52"/>
  <c r="AZ17" i="52"/>
  <c r="AV18" i="52"/>
  <c r="AV19" i="52"/>
  <c r="BF19" i="52" s="1"/>
  <c r="BE16" i="52"/>
  <c r="AZ16" i="52"/>
  <c r="BH16" i="52" s="1"/>
  <c r="AY17" i="52"/>
  <c r="BG17" i="52" s="1"/>
  <c r="AY16" i="50"/>
  <c r="AZ17" i="50"/>
  <c r="AZ16" i="50"/>
  <c r="BD18" i="50"/>
  <c r="AX16" i="51"/>
  <c r="AX17" i="51"/>
  <c r="AV17" i="51"/>
  <c r="AV18" i="51"/>
  <c r="BA18" i="51" s="1"/>
  <c r="AX18" i="51"/>
  <c r="AZ16" i="51"/>
  <c r="AV16" i="51"/>
  <c r="BF16" i="51" s="1"/>
  <c r="AY18" i="51"/>
  <c r="BG18" i="51" s="1"/>
  <c r="AW17" i="51"/>
  <c r="AZ17" i="48"/>
  <c r="AY17" i="48"/>
  <c r="AX18" i="47"/>
  <c r="AV20" i="47"/>
  <c r="BE20" i="47" s="1"/>
  <c r="AY18" i="47"/>
  <c r="BC18" i="47" s="1"/>
  <c r="BD16" i="47"/>
  <c r="AY20" i="47"/>
  <c r="BA16" i="47"/>
  <c r="AZ20" i="47"/>
  <c r="AW21" i="47"/>
  <c r="BH16" i="47"/>
  <c r="AY22" i="47"/>
  <c r="BC22" i="47" s="1"/>
  <c r="AZ22" i="47"/>
  <c r="AW22" i="47"/>
  <c r="BE22" i="47" s="1"/>
  <c r="AY19" i="47"/>
  <c r="BG19" i="47" s="1"/>
  <c r="AX17" i="43"/>
  <c r="BF17" i="43" s="1"/>
  <c r="AX20" i="43"/>
  <c r="AX22" i="43"/>
  <c r="AY19" i="43"/>
  <c r="BC19" i="43"/>
  <c r="AV18" i="43"/>
  <c r="BE18" i="43" s="1"/>
  <c r="AZ18" i="43"/>
  <c r="BH18" i="43" s="1"/>
  <c r="AX18" i="43"/>
  <c r="BB17" i="43"/>
  <c r="AW17" i="43"/>
  <c r="AV22" i="43"/>
  <c r="AY18" i="43"/>
  <c r="AV21" i="43"/>
  <c r="BA21" i="43" s="1"/>
  <c r="BA19" i="43"/>
  <c r="AV16" i="43"/>
  <c r="AX21" i="43"/>
  <c r="AV23" i="43"/>
  <c r="AY16" i="43"/>
  <c r="AV20" i="43"/>
  <c r="BA20" i="43" s="1"/>
  <c r="AV17" i="41"/>
  <c r="BA17" i="41" s="1"/>
  <c r="AX16" i="41"/>
  <c r="AY33" i="41"/>
  <c r="AY21" i="41"/>
  <c r="AZ21" i="41"/>
  <c r="AZ16" i="41"/>
  <c r="AV21" i="41"/>
  <c r="BE21" i="41" s="1"/>
  <c r="AV16" i="41"/>
  <c r="BA16" i="41" s="1"/>
  <c r="AY17" i="41"/>
  <c r="BC17" i="41" s="1"/>
  <c r="BH22" i="41"/>
  <c r="AZ23" i="41"/>
  <c r="AZ17" i="56"/>
  <c r="BA17" i="56"/>
  <c r="AW16" i="56"/>
  <c r="AY17" i="56"/>
  <c r="AY16" i="44"/>
  <c r="AX19" i="45"/>
  <c r="AW17" i="37"/>
  <c r="BA17" i="37" s="1"/>
  <c r="BG17" i="37"/>
  <c r="AV18" i="44"/>
  <c r="BA18" i="44" s="1"/>
  <c r="AX21" i="44"/>
  <c r="AV22" i="44"/>
  <c r="BE22" i="44" s="1"/>
  <c r="AY21" i="44"/>
  <c r="AX16" i="44"/>
  <c r="AV20" i="44"/>
  <c r="BA20" i="44" s="1"/>
  <c r="AX17" i="44"/>
  <c r="AW16" i="44"/>
  <c r="AV19" i="44"/>
  <c r="BE19" i="44" s="1"/>
  <c r="AZ16" i="44"/>
  <c r="AV17" i="44"/>
  <c r="AY17" i="44"/>
  <c r="AV21" i="44"/>
  <c r="AY22" i="44"/>
  <c r="BC22" i="44" s="1"/>
  <c r="BD22" i="41"/>
  <c r="AZ34" i="41"/>
  <c r="AV28" i="41"/>
  <c r="BG22" i="41"/>
  <c r="BC22" i="41"/>
  <c r="AY16" i="41"/>
  <c r="AY18" i="41"/>
  <c r="AY19" i="41"/>
  <c r="AY23" i="41"/>
  <c r="AV18" i="41"/>
  <c r="AV19" i="41"/>
  <c r="BD19" i="41" s="1"/>
  <c r="AX18" i="41"/>
  <c r="AV31" i="41"/>
  <c r="BE31" i="41" s="1"/>
  <c r="AY28" i="41"/>
  <c r="BA22" i="41"/>
  <c r="BE22" i="41"/>
  <c r="AX29" i="41"/>
  <c r="AV20" i="41"/>
  <c r="BA20" i="41" s="1"/>
  <c r="AV23" i="41"/>
  <c r="BE23" i="41" s="1"/>
  <c r="AX24" i="41"/>
  <c r="AZ25" i="41"/>
  <c r="AX26" i="41"/>
  <c r="AV32" i="41"/>
  <c r="BG32" i="41" s="1"/>
  <c r="BE35" i="41"/>
  <c r="BB22" i="41"/>
  <c r="AX23" i="41"/>
  <c r="AX21" i="41"/>
  <c r="AY30" i="41"/>
  <c r="AZ18" i="41"/>
  <c r="AY31" i="41"/>
  <c r="AW18" i="41"/>
  <c r="AX35" i="41"/>
  <c r="AY16" i="42"/>
  <c r="AV20" i="42"/>
  <c r="BE20" i="42" s="1"/>
  <c r="AV21" i="42"/>
  <c r="BB21" i="42" s="1"/>
  <c r="AX22" i="42"/>
  <c r="AX16" i="42"/>
  <c r="AX17" i="42"/>
  <c r="AY18" i="42"/>
  <c r="AV19" i="42"/>
  <c r="BE19" i="42" s="1"/>
  <c r="AZ22" i="42"/>
  <c r="AW22" i="42"/>
  <c r="AY22" i="42"/>
  <c r="AY17" i="42"/>
  <c r="AV16" i="42"/>
  <c r="AV17" i="42"/>
  <c r="BE17" i="42" s="1"/>
  <c r="AW17" i="54"/>
  <c r="AX16" i="54"/>
  <c r="AX18" i="54"/>
  <c r="AZ16" i="54"/>
  <c r="AY17" i="54"/>
  <c r="AY18" i="54"/>
  <c r="AW18" i="54"/>
  <c r="AV18" i="54"/>
  <c r="AV16" i="45"/>
  <c r="BE16" i="45" s="1"/>
  <c r="AX18" i="45"/>
  <c r="AV16" i="37"/>
  <c r="BD16" i="37" s="1"/>
  <c r="AV19" i="37"/>
  <c r="BF17" i="48"/>
  <c r="BH17" i="47"/>
  <c r="BE22" i="43"/>
  <c r="BG23" i="47"/>
  <c r="AY18" i="45"/>
  <c r="AW18" i="45"/>
  <c r="AY16" i="45"/>
  <c r="AV29" i="41"/>
  <c r="BG33" i="41"/>
  <c r="AW16" i="37"/>
  <c r="BE17" i="37"/>
  <c r="AZ35" i="41"/>
  <c r="AY25" i="41"/>
  <c r="BA21" i="41"/>
  <c r="AZ33" i="41"/>
  <c r="AY26" i="41"/>
  <c r="AX18" i="44"/>
  <c r="AY18" i="44"/>
  <c r="AZ18" i="44"/>
  <c r="AY19" i="44"/>
  <c r="AX19" i="44"/>
  <c r="AZ19" i="44"/>
  <c r="AY20" i="44"/>
  <c r="AZ20" i="44"/>
  <c r="AX20" i="44"/>
  <c r="BB18" i="47"/>
  <c r="BF18" i="47"/>
  <c r="BD21" i="47"/>
  <c r="BA16" i="48"/>
  <c r="BE16" i="48"/>
  <c r="AX25" i="41"/>
  <c r="AZ24" i="41"/>
  <c r="BC17" i="44"/>
  <c r="AY18" i="37"/>
  <c r="AX18" i="37"/>
  <c r="AW18" i="37"/>
  <c r="AZ18" i="37"/>
  <c r="BF17" i="47"/>
  <c r="BB17" i="47"/>
  <c r="BH19" i="52"/>
  <c r="BD19" i="52"/>
  <c r="BA16" i="46"/>
  <c r="BE16" i="46"/>
  <c r="AX16" i="37"/>
  <c r="AY34" i="41"/>
  <c r="AY24" i="41"/>
  <c r="AX20" i="41"/>
  <c r="AZ27" i="41"/>
  <c r="AZ28" i="41"/>
  <c r="AY23" i="43"/>
  <c r="AX23" i="43"/>
  <c r="AZ23" i="43"/>
  <c r="AW23" i="43"/>
  <c r="AZ17" i="43"/>
  <c r="AY17" i="43"/>
  <c r="AZ19" i="43"/>
  <c r="AX19" i="43"/>
  <c r="BF17" i="44"/>
  <c r="AV16" i="44"/>
  <c r="BE16" i="44" s="1"/>
  <c r="BA19" i="52"/>
  <c r="AZ16" i="43"/>
  <c r="BG16" i="45"/>
  <c r="BC16" i="45"/>
  <c r="AW28" i="41"/>
  <c r="AY20" i="41"/>
  <c r="AY27" i="41"/>
  <c r="AZ26" i="41"/>
  <c r="BH17" i="48"/>
  <c r="BD17" i="48"/>
  <c r="AZ20" i="41"/>
  <c r="AX27" i="41"/>
  <c r="AX17" i="41"/>
  <c r="AZ18" i="42"/>
  <c r="BG21" i="42"/>
  <c r="BC21" i="42"/>
  <c r="AY22" i="43"/>
  <c r="AZ22" i="43"/>
  <c r="BF16" i="44"/>
  <c r="AZ18" i="46"/>
  <c r="AY18" i="46"/>
  <c r="BD18" i="47"/>
  <c r="BH18" i="47"/>
  <c r="BE17" i="52"/>
  <c r="BA17" i="52"/>
  <c r="AZ16" i="42"/>
  <c r="AZ17" i="42"/>
  <c r="AZ19" i="42"/>
  <c r="AY19" i="42"/>
  <c r="AX19" i="42"/>
  <c r="BD20" i="42"/>
  <c r="BF20" i="42"/>
  <c r="BG20" i="42"/>
  <c r="AV22" i="42"/>
  <c r="AX16" i="43"/>
  <c r="AY20" i="43"/>
  <c r="AZ20" i="43"/>
  <c r="BA17" i="44"/>
  <c r="BE17" i="44"/>
  <c r="BD17" i="52"/>
  <c r="BH17" i="52"/>
  <c r="AW19" i="37"/>
  <c r="AY19" i="37"/>
  <c r="AZ19" i="37"/>
  <c r="AX19" i="37"/>
  <c r="BF20" i="53"/>
  <c r="BB20" i="53"/>
  <c r="AX28" i="41"/>
  <c r="AZ17" i="41"/>
  <c r="AY35" i="41"/>
  <c r="BA20" i="42"/>
  <c r="AD18" i="42"/>
  <c r="AV18" i="42" s="1"/>
  <c r="BG19" i="43"/>
  <c r="BA18" i="43"/>
  <c r="AZ17" i="44"/>
  <c r="BE19" i="47"/>
  <c r="BA19" i="47"/>
  <c r="BC19" i="47"/>
  <c r="BB19" i="52"/>
  <c r="BE16" i="55"/>
  <c r="BA16" i="55"/>
  <c r="BG17" i="48"/>
  <c r="BC17" i="48"/>
  <c r="BF17" i="51"/>
  <c r="AX16" i="46"/>
  <c r="AY16" i="46"/>
  <c r="AZ17" i="46"/>
  <c r="AW17" i="46"/>
  <c r="BG17" i="50"/>
  <c r="BC17" i="50"/>
  <c r="BB18" i="50"/>
  <c r="BF18" i="50"/>
  <c r="BF18" i="46"/>
  <c r="BF19" i="46" s="1"/>
  <c r="BE17" i="47"/>
  <c r="BA17" i="47"/>
  <c r="BE17" i="48"/>
  <c r="BA17" i="48"/>
  <c r="AZ18" i="52"/>
  <c r="AY18" i="52"/>
  <c r="BH18" i="53"/>
  <c r="BD18" i="53"/>
  <c r="AW17" i="53"/>
  <c r="AZ17" i="53"/>
  <c r="AY17" i="53"/>
  <c r="AY19" i="53"/>
  <c r="AZ19" i="53"/>
  <c r="BG17" i="56"/>
  <c r="BG18" i="56" s="1"/>
  <c r="BC17" i="56"/>
  <c r="AY19" i="45"/>
  <c r="AZ19" i="45"/>
  <c r="BA19" i="50"/>
  <c r="BE19" i="50"/>
  <c r="BE19" i="43"/>
  <c r="BE20" i="44"/>
  <c r="BB22" i="47"/>
  <c r="AZ17" i="51"/>
  <c r="AY17" i="51"/>
  <c r="BF18" i="51"/>
  <c r="BB18" i="51"/>
  <c r="BE19" i="52"/>
  <c r="AV16" i="54"/>
  <c r="BB16" i="54" s="1"/>
  <c r="AV17" i="54"/>
  <c r="BF17" i="54" s="1"/>
  <c r="BB16" i="55"/>
  <c r="AZ18" i="55"/>
  <c r="AY17" i="46"/>
  <c r="BH19" i="50"/>
  <c r="BD19" i="50"/>
  <c r="BA22" i="43"/>
  <c r="AW16" i="43"/>
  <c r="BF22" i="47"/>
  <c r="BD17" i="47"/>
  <c r="BF19" i="47"/>
  <c r="BB19" i="47"/>
  <c r="AY17" i="47"/>
  <c r="AZ16" i="48"/>
  <c r="AX17" i="37"/>
  <c r="AZ17" i="37"/>
  <c r="AZ18" i="51"/>
  <c r="AX16" i="52"/>
  <c r="BA18" i="53"/>
  <c r="AY18" i="53"/>
  <c r="AX18" i="53"/>
  <c r="AZ16" i="45"/>
  <c r="AX16" i="45"/>
  <c r="AV18" i="45"/>
  <c r="AX17" i="46"/>
  <c r="BA18" i="50"/>
  <c r="AZ21" i="43"/>
  <c r="AY21" i="43"/>
  <c r="AZ21" i="44"/>
  <c r="AY16" i="47"/>
  <c r="AX16" i="47"/>
  <c r="AW18" i="47"/>
  <c r="AY21" i="47"/>
  <c r="BE17" i="51"/>
  <c r="BA17" i="51"/>
  <c r="BC17" i="52"/>
  <c r="AY16" i="52"/>
  <c r="BG20" i="53"/>
  <c r="AX17" i="53"/>
  <c r="BC16" i="56"/>
  <c r="BF17" i="56"/>
  <c r="BA16" i="45"/>
  <c r="AV19" i="45"/>
  <c r="BF19" i="45" s="1"/>
  <c r="BE18" i="50"/>
  <c r="BE17" i="50"/>
  <c r="BA17" i="50"/>
  <c r="BG18" i="47"/>
  <c r="AX16" i="48"/>
  <c r="AY16" i="48"/>
  <c r="AW18" i="52"/>
  <c r="AY19" i="52"/>
  <c r="AZ17" i="54"/>
  <c r="BC16" i="55"/>
  <c r="AV18" i="55"/>
  <c r="BC18" i="55" s="1"/>
  <c r="BH17" i="56"/>
  <c r="BD17" i="56"/>
  <c r="AW18" i="42"/>
  <c r="AZ22" i="44"/>
  <c r="AX22" i="44"/>
  <c r="AX18" i="52"/>
  <c r="AY16" i="53"/>
  <c r="AZ16" i="53"/>
  <c r="AZ20" i="53"/>
  <c r="BH16" i="55"/>
  <c r="BD16" i="55"/>
  <c r="AV17" i="55"/>
  <c r="BD17" i="55" s="1"/>
  <c r="AX16" i="56"/>
  <c r="AZ16" i="56"/>
  <c r="AZ16" i="46"/>
  <c r="BH18" i="50"/>
  <c r="AZ19" i="47"/>
  <c r="AY16" i="51"/>
  <c r="AW16" i="51"/>
  <c r="AW18" i="55"/>
  <c r="AZ18" i="45"/>
  <c r="AY19" i="50"/>
  <c r="BE23" i="47"/>
  <c r="BF33" i="41" l="1"/>
  <c r="BC33" i="41"/>
  <c r="BD22" i="47"/>
  <c r="BH21" i="47"/>
  <c r="BF21" i="47"/>
  <c r="BE21" i="47"/>
  <c r="BA21" i="47"/>
  <c r="BC20" i="47"/>
  <c r="BA22" i="47"/>
  <c r="BG20" i="47"/>
  <c r="BA20" i="47"/>
  <c r="BF20" i="47"/>
  <c r="BB18" i="46"/>
  <c r="BB19" i="46" s="1"/>
  <c r="BA18" i="46"/>
  <c r="BA19" i="46" s="1"/>
  <c r="BC18" i="50"/>
  <c r="BB18" i="43"/>
  <c r="BE21" i="42"/>
  <c r="BB22" i="42"/>
  <c r="BH21" i="42"/>
  <c r="BC20" i="42"/>
  <c r="BH20" i="42"/>
  <c r="BC16" i="42"/>
  <c r="BF18" i="41"/>
  <c r="BB30" i="41"/>
  <c r="BF26" i="41"/>
  <c r="BE26" i="41"/>
  <c r="BF30" i="41"/>
  <c r="BH30" i="41"/>
  <c r="BH18" i="41"/>
  <c r="BB21" i="41"/>
  <c r="BA30" i="41"/>
  <c r="BD30" i="41"/>
  <c r="BB34" i="41"/>
  <c r="BH34" i="41"/>
  <c r="BF34" i="41"/>
  <c r="BA34" i="41"/>
  <c r="BE16" i="41"/>
  <c r="BF16" i="41"/>
  <c r="BB29" i="41"/>
  <c r="BG17" i="41"/>
  <c r="BE33" i="41"/>
  <c r="BA24" i="41"/>
  <c r="BF24" i="41"/>
  <c r="BB33" i="41"/>
  <c r="BA32" i="41"/>
  <c r="BB24" i="41"/>
  <c r="BE17" i="41"/>
  <c r="BB35" i="41"/>
  <c r="BB31" i="41"/>
  <c r="BD25" i="41"/>
  <c r="BD34" i="41"/>
  <c r="BH25" i="41"/>
  <c r="BA18" i="41"/>
  <c r="BH16" i="41"/>
  <c r="BF31" i="41"/>
  <c r="BD32" i="41"/>
  <c r="BB16" i="41"/>
  <c r="BE25" i="41"/>
  <c r="BA27" i="41"/>
  <c r="BH21" i="41"/>
  <c r="BH32" i="41"/>
  <c r="BC18" i="41"/>
  <c r="BH19" i="41"/>
  <c r="BC31" i="41"/>
  <c r="BB32" i="41"/>
  <c r="BH31" i="41"/>
  <c r="BD31" i="41"/>
  <c r="BG28" i="41"/>
  <c r="BH23" i="41"/>
  <c r="BD16" i="41"/>
  <c r="BD21" i="41"/>
  <c r="BC16" i="41"/>
  <c r="BG21" i="41"/>
  <c r="BF21" i="41"/>
  <c r="BB18" i="41"/>
  <c r="BD16" i="50"/>
  <c r="BD20" i="50" s="1"/>
  <c r="BA16" i="50"/>
  <c r="BA20" i="50" s="1"/>
  <c r="BG16" i="50"/>
  <c r="BG20" i="50" s="1"/>
  <c r="BE16" i="50"/>
  <c r="BE20" i="50" s="1"/>
  <c r="BH16" i="50"/>
  <c r="BH20" i="50" s="1"/>
  <c r="BF16" i="50"/>
  <c r="BF20" i="50" s="1"/>
  <c r="BC17" i="37"/>
  <c r="BF17" i="55"/>
  <c r="BC17" i="55"/>
  <c r="BG17" i="55"/>
  <c r="BB18" i="54"/>
  <c r="BE19" i="53"/>
  <c r="BD16" i="52"/>
  <c r="BD17" i="50"/>
  <c r="BH17" i="50"/>
  <c r="BC16" i="50"/>
  <c r="BC20" i="50" s="1"/>
  <c r="BB16" i="51"/>
  <c r="BH16" i="51"/>
  <c r="BE18" i="51"/>
  <c r="BB17" i="51"/>
  <c r="BC18" i="51"/>
  <c r="BD16" i="51"/>
  <c r="BF19" i="51"/>
  <c r="BH22" i="47"/>
  <c r="BG22" i="47"/>
  <c r="BH20" i="47"/>
  <c r="BD20" i="47"/>
  <c r="BB20" i="47"/>
  <c r="BB24" i="47" s="1"/>
  <c r="BD18" i="43"/>
  <c r="BC18" i="43"/>
  <c r="BB22" i="43"/>
  <c r="BF21" i="43"/>
  <c r="BF18" i="43"/>
  <c r="BF22" i="43"/>
  <c r="BG16" i="43"/>
  <c r="BC16" i="43"/>
  <c r="BB21" i="43"/>
  <c r="BE21" i="43"/>
  <c r="BG18" i="43"/>
  <c r="BF20" i="43"/>
  <c r="BA17" i="43"/>
  <c r="BE17" i="43"/>
  <c r="BB20" i="43"/>
  <c r="BE20" i="43"/>
  <c r="BB20" i="42"/>
  <c r="BF21" i="42"/>
  <c r="BD21" i="42"/>
  <c r="BF19" i="41"/>
  <c r="BE32" i="41"/>
  <c r="BE19" i="41"/>
  <c r="BD18" i="41"/>
  <c r="BD23" i="41"/>
  <c r="BG16" i="41"/>
  <c r="BC21" i="41"/>
  <c r="BB19" i="41"/>
  <c r="BB26" i="41"/>
  <c r="BC19" i="41"/>
  <c r="BG19" i="41"/>
  <c r="BE16" i="56"/>
  <c r="BE18" i="56" s="1"/>
  <c r="BA16" i="56"/>
  <c r="BA18" i="56"/>
  <c r="BE18" i="44"/>
  <c r="BG21" i="44"/>
  <c r="BA22" i="44"/>
  <c r="BC18" i="45"/>
  <c r="BA21" i="44"/>
  <c r="BB21" i="44"/>
  <c r="BB17" i="44"/>
  <c r="BE21" i="44"/>
  <c r="BF21" i="44"/>
  <c r="BC21" i="44"/>
  <c r="BG22" i="44"/>
  <c r="BA19" i="44"/>
  <c r="BG17" i="44"/>
  <c r="BB16" i="44"/>
  <c r="BC16" i="44"/>
  <c r="BG16" i="44"/>
  <c r="BC23" i="41"/>
  <c r="BC28" i="41"/>
  <c r="BA23" i="41"/>
  <c r="BG23" i="41"/>
  <c r="BG31" i="41"/>
  <c r="BA19" i="41"/>
  <c r="BG18" i="41"/>
  <c r="BE20" i="41"/>
  <c r="BA31" i="41"/>
  <c r="BD29" i="41"/>
  <c r="BC32" i="41"/>
  <c r="BB23" i="41"/>
  <c r="BF32" i="41"/>
  <c r="BF35" i="41"/>
  <c r="BF23" i="41"/>
  <c r="BG30" i="41"/>
  <c r="BC30" i="41"/>
  <c r="BE18" i="41"/>
  <c r="BA21" i="42"/>
  <c r="BC17" i="42"/>
  <c r="BB17" i="42"/>
  <c r="BF16" i="42"/>
  <c r="BF17" i="42"/>
  <c r="BA19" i="42"/>
  <c r="BG16" i="42"/>
  <c r="BA17" i="42"/>
  <c r="BA16" i="42"/>
  <c r="BE16" i="42"/>
  <c r="BB16" i="42"/>
  <c r="BG17" i="42"/>
  <c r="BC22" i="42"/>
  <c r="BH22" i="42"/>
  <c r="BH18" i="54"/>
  <c r="BG18" i="54"/>
  <c r="BC18" i="54"/>
  <c r="BD18" i="54"/>
  <c r="BA18" i="54"/>
  <c r="BE18" i="54"/>
  <c r="BF18" i="54"/>
  <c r="BH16" i="54"/>
  <c r="BE17" i="54"/>
  <c r="BG18" i="45"/>
  <c r="BF18" i="45"/>
  <c r="BH16" i="37"/>
  <c r="BG16" i="37"/>
  <c r="BC16" i="37"/>
  <c r="BB18" i="45"/>
  <c r="BF18" i="42"/>
  <c r="BB18" i="42"/>
  <c r="BC18" i="42"/>
  <c r="BG18" i="42"/>
  <c r="BD28" i="41"/>
  <c r="BH28" i="41"/>
  <c r="BF16" i="48"/>
  <c r="BF18" i="48" s="1"/>
  <c r="BB16" i="48"/>
  <c r="BB18" i="48" s="1"/>
  <c r="BB17" i="53"/>
  <c r="BF17" i="53"/>
  <c r="BA18" i="47"/>
  <c r="BE18" i="47"/>
  <c r="BB17" i="46"/>
  <c r="BF17" i="46"/>
  <c r="BG17" i="47"/>
  <c r="BC17" i="47"/>
  <c r="BE16" i="43"/>
  <c r="BA16" i="43"/>
  <c r="BA18" i="45"/>
  <c r="BD20" i="52"/>
  <c r="BG20" i="43"/>
  <c r="BC20" i="43"/>
  <c r="BB17" i="55"/>
  <c r="BA23" i="43"/>
  <c r="BE23" i="43"/>
  <c r="BH27" i="41"/>
  <c r="BD27" i="41"/>
  <c r="BF16" i="37"/>
  <c r="BB16" i="37"/>
  <c r="BD18" i="44"/>
  <c r="BH18" i="44"/>
  <c r="BD33" i="41"/>
  <c r="BH33" i="41"/>
  <c r="BE16" i="37"/>
  <c r="BA16" i="37"/>
  <c r="BG29" i="41"/>
  <c r="BD16" i="48"/>
  <c r="BD18" i="48" s="1"/>
  <c r="BH16" i="48"/>
  <c r="BH18" i="48" s="1"/>
  <c r="BC18" i="37"/>
  <c r="BG18" i="37"/>
  <c r="BC19" i="44"/>
  <c r="BG19" i="44"/>
  <c r="BH17" i="55"/>
  <c r="BB16" i="47"/>
  <c r="BF16" i="47"/>
  <c r="BF16" i="52"/>
  <c r="BB16" i="52"/>
  <c r="BE17" i="46"/>
  <c r="BA17" i="46"/>
  <c r="BF16" i="43"/>
  <c r="BB16" i="43"/>
  <c r="BH18" i="42"/>
  <c r="BD18" i="42"/>
  <c r="BA17" i="55"/>
  <c r="BH23" i="43"/>
  <c r="BD23" i="43"/>
  <c r="BF20" i="41"/>
  <c r="BB20" i="41"/>
  <c r="BC18" i="44"/>
  <c r="BG18" i="44"/>
  <c r="BD16" i="44"/>
  <c r="BD16" i="46"/>
  <c r="BH16" i="46"/>
  <c r="BH17" i="54"/>
  <c r="BD17" i="54"/>
  <c r="BG16" i="52"/>
  <c r="BC16" i="52"/>
  <c r="BC20" i="52" s="1"/>
  <c r="BF16" i="45"/>
  <c r="BB16" i="45"/>
  <c r="BH17" i="46"/>
  <c r="BD17" i="46"/>
  <c r="BB19" i="42"/>
  <c r="BF19" i="42"/>
  <c r="BH22" i="43"/>
  <c r="BD22" i="43"/>
  <c r="BE17" i="55"/>
  <c r="BB23" i="43"/>
  <c r="BF23" i="43"/>
  <c r="BG24" i="41"/>
  <c r="BC24" i="41"/>
  <c r="BE18" i="48"/>
  <c r="BF20" i="44"/>
  <c r="BB20" i="44"/>
  <c r="BF18" i="44"/>
  <c r="BB18" i="44"/>
  <c r="BG25" i="41"/>
  <c r="BC25" i="41"/>
  <c r="BH16" i="44"/>
  <c r="BC16" i="48"/>
  <c r="BC18" i="48" s="1"/>
  <c r="BG16" i="48"/>
  <c r="BG18" i="48" s="1"/>
  <c r="BC21" i="47"/>
  <c r="BG21" i="47"/>
  <c r="BG19" i="45"/>
  <c r="BC19" i="45"/>
  <c r="BC20" i="45" s="1"/>
  <c r="BH18" i="45"/>
  <c r="BD18" i="45"/>
  <c r="BE16" i="54"/>
  <c r="BA16" i="54"/>
  <c r="BA18" i="55"/>
  <c r="BE18" i="55"/>
  <c r="BE18" i="45"/>
  <c r="BB22" i="44"/>
  <c r="BF22" i="44"/>
  <c r="BC16" i="47"/>
  <c r="BG16" i="47"/>
  <c r="BH18" i="51"/>
  <c r="BD18" i="51"/>
  <c r="BA17" i="54"/>
  <c r="BH16" i="56"/>
  <c r="BH18" i="56" s="1"/>
  <c r="BD16" i="56"/>
  <c r="BD18" i="56" s="1"/>
  <c r="BH20" i="53"/>
  <c r="BD20" i="53"/>
  <c r="BH22" i="44"/>
  <c r="BD22" i="44"/>
  <c r="BF16" i="54"/>
  <c r="BH21" i="44"/>
  <c r="BD21" i="44"/>
  <c r="BD16" i="45"/>
  <c r="BH16" i="45"/>
  <c r="BH19" i="53"/>
  <c r="BD19" i="53"/>
  <c r="BG18" i="52"/>
  <c r="BC18" i="52"/>
  <c r="BG16" i="46"/>
  <c r="BC16" i="46"/>
  <c r="BB19" i="37"/>
  <c r="BF19" i="37"/>
  <c r="BF22" i="42"/>
  <c r="BG22" i="42"/>
  <c r="BE22" i="42"/>
  <c r="BA22" i="42"/>
  <c r="BD22" i="42"/>
  <c r="BC19" i="42"/>
  <c r="BG19" i="42"/>
  <c r="BG22" i="43"/>
  <c r="BC22" i="43"/>
  <c r="BD26" i="41"/>
  <c r="BH26" i="41"/>
  <c r="BH16" i="43"/>
  <c r="BD16" i="43"/>
  <c r="BC23" i="43"/>
  <c r="BG23" i="43"/>
  <c r="BC34" i="41"/>
  <c r="BG34" i="41"/>
  <c r="BF24" i="47"/>
  <c r="BA18" i="48"/>
  <c r="BH20" i="44"/>
  <c r="BD20" i="44"/>
  <c r="BE17" i="53"/>
  <c r="BE21" i="53" s="1"/>
  <c r="BA17" i="53"/>
  <c r="BA21" i="53" s="1"/>
  <c r="BH20" i="43"/>
  <c r="BD20" i="43"/>
  <c r="BH17" i="43"/>
  <c r="BD17" i="43"/>
  <c r="BC19" i="55"/>
  <c r="BE16" i="51"/>
  <c r="BA16" i="51"/>
  <c r="BA19" i="51" s="1"/>
  <c r="BF16" i="56"/>
  <c r="BF18" i="56" s="1"/>
  <c r="BB16" i="56"/>
  <c r="BB18" i="56" s="1"/>
  <c r="BD16" i="53"/>
  <c r="BH16" i="53"/>
  <c r="BA18" i="42"/>
  <c r="BE18" i="42"/>
  <c r="BG19" i="52"/>
  <c r="BC19" i="52"/>
  <c r="BG21" i="43"/>
  <c r="BC21" i="43"/>
  <c r="BB17" i="54"/>
  <c r="BB19" i="54" s="1"/>
  <c r="BC17" i="46"/>
  <c r="BG17" i="46"/>
  <c r="BC19" i="53"/>
  <c r="BG19" i="53"/>
  <c r="BD18" i="52"/>
  <c r="BH18" i="52"/>
  <c r="BH20" i="52" s="1"/>
  <c r="BB16" i="46"/>
  <c r="BF16" i="46"/>
  <c r="BB19" i="51"/>
  <c r="BG17" i="54"/>
  <c r="BC35" i="41"/>
  <c r="BG35" i="41"/>
  <c r="BD19" i="37"/>
  <c r="BH19" i="37"/>
  <c r="BD19" i="42"/>
  <c r="BH19" i="42"/>
  <c r="BG18" i="46"/>
  <c r="BG19" i="46" s="1"/>
  <c r="BC18" i="46"/>
  <c r="BC19" i="46" s="1"/>
  <c r="BB17" i="41"/>
  <c r="BF17" i="41"/>
  <c r="BG27" i="41"/>
  <c r="BC27" i="41"/>
  <c r="BB19" i="43"/>
  <c r="BF19" i="43"/>
  <c r="BD18" i="37"/>
  <c r="BD20" i="37" s="1"/>
  <c r="BH18" i="37"/>
  <c r="BH24" i="41"/>
  <c r="BD24" i="41"/>
  <c r="BG20" i="44"/>
  <c r="BC20" i="44"/>
  <c r="BH35" i="41"/>
  <c r="BD35" i="41"/>
  <c r="BF29" i="41"/>
  <c r="BA19" i="45"/>
  <c r="BB19" i="45"/>
  <c r="BE19" i="45"/>
  <c r="BH17" i="51"/>
  <c r="BD17" i="51"/>
  <c r="BG19" i="50"/>
  <c r="BC19" i="50"/>
  <c r="BC16" i="51"/>
  <c r="BG16" i="51"/>
  <c r="BG18" i="55"/>
  <c r="BG19" i="55" s="1"/>
  <c r="BG16" i="53"/>
  <c r="BC16" i="53"/>
  <c r="BA18" i="52"/>
  <c r="BA20" i="52" s="1"/>
  <c r="BE18" i="52"/>
  <c r="BE20" i="52" s="1"/>
  <c r="BC18" i="56"/>
  <c r="BH21" i="43"/>
  <c r="BD21" i="43"/>
  <c r="BF18" i="53"/>
  <c r="BB18" i="53"/>
  <c r="BD17" i="37"/>
  <c r="BH17" i="37"/>
  <c r="BH18" i="55"/>
  <c r="BD18" i="55"/>
  <c r="BD19" i="55" s="1"/>
  <c r="BC17" i="53"/>
  <c r="BG17" i="53"/>
  <c r="BB18" i="55"/>
  <c r="BB19" i="55" s="1"/>
  <c r="BC17" i="54"/>
  <c r="BD17" i="41"/>
  <c r="BH17" i="41"/>
  <c r="BC19" i="37"/>
  <c r="BG19" i="37"/>
  <c r="BD17" i="42"/>
  <c r="BH17" i="42"/>
  <c r="BD18" i="46"/>
  <c r="BD19" i="46" s="1"/>
  <c r="BH18" i="46"/>
  <c r="BH19" i="46" s="1"/>
  <c r="BB27" i="41"/>
  <c r="BF27" i="41"/>
  <c r="BA16" i="44"/>
  <c r="BA23" i="44" s="1"/>
  <c r="BC20" i="41"/>
  <c r="BG20" i="41"/>
  <c r="BC16" i="54"/>
  <c r="BH19" i="43"/>
  <c r="BD19" i="43"/>
  <c r="BA18" i="37"/>
  <c r="BE18" i="37"/>
  <c r="BF25" i="41"/>
  <c r="BB25" i="41"/>
  <c r="BH19" i="44"/>
  <c r="BD19" i="44"/>
  <c r="BA28" i="41"/>
  <c r="BE28" i="41"/>
  <c r="BC26" i="41"/>
  <c r="BG26" i="41"/>
  <c r="BD19" i="47"/>
  <c r="BH19" i="47"/>
  <c r="BF18" i="52"/>
  <c r="BB18" i="52"/>
  <c r="BC18" i="53"/>
  <c r="BG18" i="53"/>
  <c r="BB17" i="37"/>
  <c r="BF17" i="37"/>
  <c r="BG17" i="51"/>
  <c r="BC17" i="51"/>
  <c r="BD19" i="45"/>
  <c r="BH19" i="45"/>
  <c r="BH17" i="53"/>
  <c r="BD17" i="53"/>
  <c r="BF18" i="55"/>
  <c r="BF19" i="55" s="1"/>
  <c r="BD16" i="54"/>
  <c r="BD19" i="54" s="1"/>
  <c r="BH17" i="44"/>
  <c r="BD17" i="44"/>
  <c r="BF28" i="41"/>
  <c r="BB28" i="41"/>
  <c r="BA19" i="37"/>
  <c r="BE19" i="37"/>
  <c r="BH16" i="42"/>
  <c r="BD16" i="42"/>
  <c r="BD20" i="41"/>
  <c r="BH20" i="41"/>
  <c r="BG16" i="54"/>
  <c r="BG17" i="43"/>
  <c r="BC17" i="43"/>
  <c r="BB18" i="37"/>
  <c r="BF18" i="37"/>
  <c r="BF19" i="44"/>
  <c r="BB19" i="44"/>
  <c r="BC29" i="41"/>
  <c r="BE29" i="41"/>
  <c r="BH29" i="41"/>
  <c r="BA29" i="41"/>
  <c r="BE24" i="47" l="1"/>
  <c r="BA24" i="47"/>
  <c r="BD24" i="47"/>
  <c r="BA36" i="41"/>
  <c r="BF36" i="41"/>
  <c r="BE19" i="51"/>
  <c r="BH24" i="47"/>
  <c r="BH19" i="54"/>
  <c r="BE23" i="44"/>
  <c r="BE36" i="41"/>
  <c r="BB36" i="41"/>
  <c r="BG36" i="41"/>
  <c r="BC36" i="41"/>
  <c r="BH36" i="41"/>
  <c r="BD36" i="41"/>
  <c r="BE19" i="55"/>
  <c r="BG20" i="37"/>
  <c r="BC20" i="37"/>
  <c r="BA19" i="55"/>
  <c r="BH19" i="55"/>
  <c r="BC19" i="54"/>
  <c r="BD19" i="51"/>
  <c r="BC24" i="43"/>
  <c r="BB23" i="42"/>
  <c r="BG20" i="45"/>
  <c r="BF20" i="45"/>
  <c r="BB23" i="44"/>
  <c r="BG23" i="44"/>
  <c r="BC23" i="44"/>
  <c r="BA23" i="42"/>
  <c r="BC23" i="42"/>
  <c r="BF23" i="42"/>
  <c r="BF19" i="54"/>
  <c r="BE19" i="54"/>
  <c r="BF24" i="43"/>
  <c r="BH19" i="51"/>
  <c r="BG24" i="43"/>
  <c r="BG23" i="42"/>
  <c r="BE24" i="43"/>
  <c r="BF23" i="44"/>
  <c r="BG20" i="52"/>
  <c r="BE23" i="42"/>
  <c r="BA20" i="45"/>
  <c r="BH23" i="44"/>
  <c r="BD23" i="44"/>
  <c r="BD20" i="45"/>
  <c r="BC21" i="53"/>
  <c r="BH21" i="53"/>
  <c r="BD24" i="43"/>
  <c r="BA24" i="43"/>
  <c r="BF21" i="53"/>
  <c r="BG21" i="53"/>
  <c r="BD21" i="53"/>
  <c r="BH24" i="43"/>
  <c r="BE20" i="45"/>
  <c r="BB20" i="37"/>
  <c r="BB21" i="53"/>
  <c r="BD23" i="42"/>
  <c r="BH23" i="42"/>
  <c r="BA20" i="37"/>
  <c r="BF20" i="37"/>
  <c r="BC24" i="47"/>
  <c r="BH20" i="37"/>
  <c r="BG19" i="51"/>
  <c r="BE20" i="37"/>
  <c r="BG24" i="47"/>
  <c r="BC19" i="51"/>
  <c r="BA19" i="54"/>
  <c r="BB20" i="45"/>
  <c r="BB20" i="52"/>
  <c r="BG19" i="54"/>
  <c r="BH20" i="45"/>
  <c r="BB24" i="43"/>
  <c r="BF20" i="5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<sst xmlns="http://schemas.openxmlformats.org/spreadsheetml/2006/main" count="2637" uniqueCount="797">
  <si>
    <t>OBJETIVO ESTRATÉGICO</t>
  </si>
  <si>
    <t>Secretaría General</t>
  </si>
  <si>
    <t>Oficina de Control Interno</t>
  </si>
  <si>
    <t>Oficina Asesora Jurídica</t>
  </si>
  <si>
    <t>PLAN OPERATIVO ANUAL</t>
  </si>
  <si>
    <t>ENERO</t>
  </si>
  <si>
    <t>FEBRERO</t>
  </si>
  <si>
    <t>MARZO</t>
  </si>
  <si>
    <t>TOTAL TRIMESTRE</t>
  </si>
  <si>
    <t>MAYO</t>
  </si>
  <si>
    <t>JUNIO</t>
  </si>
  <si>
    <t>JULIO</t>
  </si>
  <si>
    <t>AGOSTO</t>
  </si>
  <si>
    <t>SEPTIEMBRE</t>
  </si>
  <si>
    <t>OCTUBRE</t>
  </si>
  <si>
    <t>NOVIEMBRE</t>
  </si>
  <si>
    <t>DICIEMBRE</t>
  </si>
  <si>
    <t>Programado</t>
  </si>
  <si>
    <t>Ejecutado</t>
  </si>
  <si>
    <t>PROMEDIO</t>
  </si>
  <si>
    <t>PRODUCTO</t>
  </si>
  <si>
    <t>PRIMER TRIMESTRE</t>
  </si>
  <si>
    <t>SEGUNDO TRIMESTRE</t>
  </si>
  <si>
    <t>TERCER TRIMESTRE</t>
  </si>
  <si>
    <t>CUARTO TRIMESTRE</t>
  </si>
  <si>
    <t>LÍNEA BASE</t>
  </si>
  <si>
    <t xml:space="preserve">FECHA DE ELABORACIÓN: </t>
  </si>
  <si>
    <t xml:space="preserve">ABRIL </t>
  </si>
  <si>
    <t>Versión:</t>
  </si>
  <si>
    <t>Página:</t>
  </si>
  <si>
    <t>Vigente desde:</t>
  </si>
  <si>
    <r>
      <t xml:space="preserve">Código: </t>
    </r>
    <r>
      <rPr>
        <sz val="12"/>
        <color theme="1"/>
        <rFont val="Arial"/>
        <family val="2"/>
      </rPr>
      <t>01-FR-03</t>
    </r>
  </si>
  <si>
    <t>CAMPO</t>
  </si>
  <si>
    <t>DESCRIPCIÓN</t>
  </si>
  <si>
    <t>OBJETIVO DEL PROCESO:</t>
  </si>
  <si>
    <t>PRODUCTO:</t>
  </si>
  <si>
    <t>ACCIONES OPERATIVAS</t>
  </si>
  <si>
    <t>FECHA DE ELABORACIÓN:</t>
  </si>
  <si>
    <t>Registre el nombre completo y la denominación del empleo del (la) responsable del Proceso.</t>
  </si>
  <si>
    <t>FÓRMULA DEL  INDICADOR</t>
  </si>
  <si>
    <t>RECURSOS</t>
  </si>
  <si>
    <t>PROCESO RESPONSABLE</t>
  </si>
  <si>
    <t>DEPENDENCIA(S) RESPONSABLE(S)</t>
  </si>
  <si>
    <t>TOTAL PROGRAMADO
CUATRIENIO</t>
  </si>
  <si>
    <r>
      <t xml:space="preserve">PLAN OPERATIVO ANUAL -POA-
</t>
    </r>
    <r>
      <rPr>
        <b/>
        <sz val="18"/>
        <rFont val="Arial"/>
        <family val="2"/>
      </rPr>
      <t>(Plan de Acción Institucional)</t>
    </r>
  </si>
  <si>
    <t>PROCESO RESPONSABLE:</t>
  </si>
  <si>
    <t>INSTRUCCIONES PARA EL DILIGENCIAMIENTO DEL PLAN OPERATIVO ANUAL</t>
  </si>
  <si>
    <t>SECCIÓN PLAN OPERATIVO ANUAL INSTITUCIONAL</t>
  </si>
  <si>
    <t>ALCANCE: Aplica a todos los procesos institucionales de la Personería de Bogotá, D. C.</t>
  </si>
  <si>
    <t xml:space="preserve">FECHA DE ACTUALIZACIÓN: </t>
  </si>
  <si>
    <t>RESPONSABLE(S) DE PROCESO:</t>
  </si>
  <si>
    <t xml:space="preserve">ARTICULACIÓN CON 
DIMENSIÓN MIPG </t>
  </si>
  <si>
    <t>META ESTRATÉGICA
CUATRIENIO</t>
  </si>
  <si>
    <t>META POA 
CUATRIENIO</t>
  </si>
  <si>
    <t>PESO PORCENTUAL
META POA</t>
  </si>
  <si>
    <t>MAGNITUD PROGRAMADA
META POA 
CUATRIENIO</t>
  </si>
  <si>
    <t>INDICADOR
META POA</t>
  </si>
  <si>
    <t>MAGNITUD PROGRAMADA META
POA AÑO</t>
  </si>
  <si>
    <t>AÑO</t>
  </si>
  <si>
    <t>INDICADOR META POA</t>
  </si>
  <si>
    <t xml:space="preserve">PESO PORCENTUAL
</t>
  </si>
  <si>
    <t>TOTAL PROGRAMADO
AÑO</t>
  </si>
  <si>
    <t>SECCIÓN PLAN OPERATIVO ANUAL POR PROCESOS</t>
  </si>
  <si>
    <t>OBJETIVO ESTRATÉGICO PROCESO:</t>
  </si>
  <si>
    <t>Registre el objetivo estratégico definido en la plataforma estratégica de la Entidad y en el mismo orden definido en el Plan Estratégico Institucional.</t>
  </si>
  <si>
    <t>Registre la(s) meta(s) que permitirá(n) la consecución del objetivo estratégico correspondiente. Utilice una fila diferente por cada meta (Esta meta corresponde a las ya definidas en el Plan Estratégico Institucional).</t>
  </si>
  <si>
    <t>Registre el valor porcentual de aporte de la Meta POA al cumplimiento de la Meta Estratégica relacionada.</t>
  </si>
  <si>
    <t>DEPENDENCIA(S) RESPONSABLE(S):</t>
  </si>
  <si>
    <t>LÍNEA DE BASE:</t>
  </si>
  <si>
    <t>LÍNEA DE BASE</t>
  </si>
  <si>
    <t>Registre el valor que se tiene como nivel de referencia para adelantar la medición. Unicamente en el caso de no disponer de información histórica ingrese S.I. (sin información).</t>
  </si>
  <si>
    <t>Señale el nombre del (los) indicador(es), de acuerdo con las variables de medición de la meta POA programada.</t>
  </si>
  <si>
    <t>Registre el nombre del proceso institucional responsable del cumplimiento de la meta POA</t>
  </si>
  <si>
    <t>Registre el (los) nombre(s) de la(s) Dependencia(s) responsable(s) en la consecución de las metas establecidas a la que pertenencen el responsable de proceso y/o responsables operativos .</t>
  </si>
  <si>
    <t>PROGRAMACIÓN CUATRIENIO</t>
  </si>
  <si>
    <t>PROGRAMACIÓN CUATRIENIO:</t>
  </si>
  <si>
    <t>TOTAL PROGRAMADO CUATRIENIO:</t>
  </si>
  <si>
    <t>PROCESOS</t>
  </si>
  <si>
    <t>DIRECCIONAMIENTO ESTRATÉGICO</t>
  </si>
  <si>
    <t>GESTIÓN DEL CONOCIMIENTO E INNOVACIÓN</t>
  </si>
  <si>
    <t>DIRECCIONAMIENTO TIC</t>
  </si>
  <si>
    <t>FECHA DE ACTUALIZACIÓN:</t>
  </si>
  <si>
    <t>Cuando se trate de la programación, registre la fecha en que ésta se realiza y se formaliza. La fecha se debe escribir con la estructura dd-mm-aaaa, teniendo en cuenta que los días y los meses tienen dos dígitos incluido el cero</t>
  </si>
  <si>
    <t>Cuando se trate de la programación, registre la fecha en que ésta se aprueba y se formaliza. La fecha se debe escribir con la estructura dd-mm-aaaa, teniendo en cuenta que los días y los meses tienen dos dígitos incluido el cero</t>
  </si>
  <si>
    <t>Registre el objetivo del Proceso, el cual debe transcribir de manera exacta tomado de la Caracterización de Proceso que se encuentre vigente.</t>
  </si>
  <si>
    <t>COMUNICACIÓN ESTRATÉGICA</t>
  </si>
  <si>
    <t>SERVICIO AL USUARIO</t>
  </si>
  <si>
    <t>PROMOCIÓN Y DEFENSA DE DERECHOS</t>
  </si>
  <si>
    <t>PREVENCIÓN Y CONTROL A LA FUNCIÓN PÚBLICA</t>
  </si>
  <si>
    <t>POTESTAD DISCIPLINARIA</t>
  </si>
  <si>
    <t>GESTIÓN DEL TALENTO HUMANO</t>
  </si>
  <si>
    <t>GESTIÓN ADMINISTRATIVA</t>
  </si>
  <si>
    <t>GESTIÓN FINANCIERA</t>
  </si>
  <si>
    <t>GESTIÓN CONTRACTUAL</t>
  </si>
  <si>
    <t>GESTIÓN DOCUMENTAL</t>
  </si>
  <si>
    <t xml:space="preserve">GESTIÓN JURIDICA </t>
  </si>
  <si>
    <t>CONTROL DISCIPLINARIO INTERNO</t>
  </si>
  <si>
    <t>EVALUACIÓN Y SEGUIMIENTO</t>
  </si>
  <si>
    <t>Seleccione de la lista</t>
  </si>
  <si>
    <t>Seleccione de la lista desplegable el nombre del proceso institucional a cargo.</t>
  </si>
  <si>
    <t>AÑO:</t>
  </si>
  <si>
    <t>Seleccione de la lista desplegable el año que se detalla.</t>
  </si>
  <si>
    <t>Estos campos se completan de manera automática tomando la información registrada en la página 1 del formato (sección Plan Operativo Anual Institucional).</t>
  </si>
  <si>
    <t>FÓRMULA DEL INDICADOR</t>
  </si>
  <si>
    <t>Registre la formula del indicador, señalando las variables que entreguen información cuantitativa respecto del desempeño (gestión o resultados) en el cumplimiento de la meta POA programada.</t>
  </si>
  <si>
    <t>Registre las acciones relevantes y necesarias para dar cumplimiento a la meta POA definida.</t>
  </si>
  <si>
    <r>
      <t xml:space="preserve">Señale cuáles son los </t>
    </r>
    <r>
      <rPr>
        <b/>
        <sz val="12"/>
        <rFont val="Arial"/>
        <family val="2"/>
      </rPr>
      <t>productos finales</t>
    </r>
    <r>
      <rPr>
        <sz val="12"/>
        <rFont val="Arial"/>
        <family val="2"/>
      </rPr>
      <t xml:space="preserve"> (bienes y servicios que entrega) como resultado del cumplimiento de la meta POA definida. </t>
    </r>
  </si>
  <si>
    <t>Registre la Dimensión del MIPG que se articula con la meta POA.</t>
  </si>
  <si>
    <t>Señale los recursos reuqeridos para cumplir la meta POA.</t>
  </si>
  <si>
    <t>RECURSOS:</t>
  </si>
  <si>
    <t>ARTICULACIÓN CON 
DIMENSIÓN MIPG:</t>
  </si>
  <si>
    <t>PLANIFICACIÓN DETALLADA</t>
  </si>
  <si>
    <t>PLANIFICACIÓN DETALLADA:</t>
  </si>
  <si>
    <t>En esta sección encontrará los doce meses del año, agrupados por trimestre. A su vez, cada mes y cada trimestre se conforman por las celdas correspondientes a lo programado y a lo ejecutado. Cuando se trate de la programación, registre en la celda correspondiente a la columna PROGRAMADO, la magnitud de la meta correspondiente a cada período.
El reporte de EJECUTADO, será consolidado y registrado por la Dirección de Planeación en la celda correspondiente, conforme con los reportes entregados por los procesos responsables de manera periodica en el instrumento dispuesto de manera institucional para tal fin .</t>
  </si>
  <si>
    <t>TOTAL PROGRAMADO AÑO:</t>
  </si>
  <si>
    <t>En esta sección encontrará los campos para los años a programar en el cuatrienio. Registre en cada campo el año correspondiente, por ejemplo, AÑO 2021. Registre en la celda de cada año la magnitud correspondite de la meta. La sumatoria de la magnitud de los años debe ser igual a la magnitud programada de la meta POA para el cuatrienio.</t>
  </si>
  <si>
    <t>Espacio de cálculo del total programado en el cuatrienio que se genera de manera automática, con los datos que se registran por cada año.</t>
  </si>
  <si>
    <t>PLAN OPERATIVO ANUAL -POA- 
(Por Procesos)</t>
  </si>
  <si>
    <t xml:space="preserve">PRIMER TRIMESTRE </t>
  </si>
  <si>
    <t xml:space="preserve"> TERCER TRIMESRE</t>
  </si>
  <si>
    <t xml:space="preserve"> CUARTO TRIMESRE</t>
  </si>
  <si>
    <t xml:space="preserve">SEGUNDO TRIMESTRE </t>
  </si>
  <si>
    <t xml:space="preserve">TERCER TRIMESTRE </t>
  </si>
  <si>
    <t xml:space="preserve">CUARTO TRIMESTRE </t>
  </si>
  <si>
    <t>Espacio de cálculo automático, debe corresponder con la magnitud programada de la meta POA del año.</t>
  </si>
  <si>
    <t>Espacio de cálculo automático que consolida por trimestre el avance de la ejecución.</t>
  </si>
  <si>
    <t>Cuando se trate de la programación inicial, registre la fecha en que ésta se realiza y formaliza. La fecha se debe escribir con la estructura dd-mm-aaaa, teniendo en cuenta que los días y los meses tienen dos dígitos incluido el cero</t>
  </si>
  <si>
    <t>Registre la fecha en que la actualización ésta se aprueba y formaliza. La fecha se debe escribir con la estructura dd-mm-aaaa, teniendo en cuenta que los días y los meses tienen dos dígitos incluido el cero</t>
  </si>
  <si>
    <t>Registre la(s) meta(s) del nivel táctico, es decir aquella(s) que conllevan al desarrollo del objetivo estratégico y meta estratégica alineados y que es necesario implementar a nivel de procesos, para responder a los compromisos definidos en el Plan Estratégico Institucional y en el marco del modelo de operación por procesos de la Entidad permitir la medición del cumplimiento del objetivo del proceso y de su desempeño.</t>
  </si>
  <si>
    <t>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t>
  </si>
  <si>
    <t>2. Realizar acciones de prevención y control a la Función Pública, en el marco del cumplimiento del Plan de Desarrollo, con énfasis en los Derechos e intereses colectivos.</t>
  </si>
  <si>
    <t>2.1. Realizar 22 acciones de prevención y control a la función pública en medio ambiente, agua, protección y bienestar animal y desarrollo urbano.</t>
  </si>
  <si>
    <t>3. Vigilar la conducta oficial de los(as) servidores(as) públicos(as) del Distrito Capital, mediante acciones preventivas y correctivas, que permitan un adecuado cumplimiento de los principios de la Función Pública</t>
  </si>
  <si>
    <t xml:space="preserve">3.2. Identificar el 100% de los hechos constitutivos de faltas disciplinarias para ejercer el poder preferente en las Oficinas de Control Interno Disciplinario, en temas de interés e impacto para el Distrito Capital. </t>
  </si>
  <si>
    <t>3.3. Generar 8 escenarios que fortalezcan el conocimiento y las competencias del operador disciplinario, que apoya el cumplimiento de la labor misional, extendiendo el alcance a los jueces naturales en el Distrito Capital.</t>
  </si>
  <si>
    <t xml:space="preserve">4. Fortalecer la gestión institucional a través del uso y apropiación de tecnologías de la información y las comunicaciones, la aplicación de buenas prácticas, un Talento Humano y una infraestructura adecuados para la prestación del servicio. </t>
  </si>
  <si>
    <t>4.1. Implementar el 100% de las acciones que impulsen el crecimiento del Modelo de Madurez de Transformación Digital de la Entidad, aplicando los principios , lineamientos y normas que lo enmarcan.</t>
  </si>
  <si>
    <t>4.2. Consolidar el 90% del Modelo Integrado de Planeación y Gestión –MIPG- y sus sistemas de gestión articulados, como compromiso con la Calidad, la Excelencia, la Responsabilidad Ambiental y la Mejora en la prestación del Servicio.</t>
  </si>
  <si>
    <t xml:space="preserve">4.3. Realizar el 100% de las actividades relacionadas con la Gestión del Talento Humano, que permita su fortalecimiento y el desarrollo de sus conocimientos, su competencia y bienestar. </t>
  </si>
  <si>
    <t>4.4. Implementar el 100% de las acciones necesarias para la modernización de la gestión institucional a través de los procesos de apoyo, que permita una mejor prestación del servicio.</t>
  </si>
  <si>
    <t>4.5. Desarrollar el 100% de las acciones relacionadas con el fomento de la Cultura del Autocontrol, la Autorregulación y la Autogestión institucional.</t>
  </si>
  <si>
    <t>4.6. Desarrollar el 100% de las estrategias de comunicación organizacional y de medios que contribuyan al logro de los objetivos institucionales y al posicionamiento de la Entidad.</t>
  </si>
  <si>
    <t>4.7. Articular el 100% de las acciones de trabajo interinstitucional y cooperación nacional e internacional que permita aunar esfuerzos para el cumplimiento de la misión institucional.</t>
  </si>
  <si>
    <t xml:space="preserve">5. Incorporar una cultura del conocimiento y la innovación a través de actividades que permitan el desarrollo de ideas, lecciones aprendidas e investigaciones para mejorar los resultados de la gestión institucional. </t>
  </si>
  <si>
    <t>5.1 Generar el 100% de productos de nuevo conocimiento o transformar los existentes, alineados con proyectos resultados de la investigación, desarrollo e innovación (I+D+I) en la Entidad.</t>
  </si>
  <si>
    <t>5.2 Formular el 100% de herramientas y acciones que permitan categorizar, preservar y utilizar el conocimiento para la toma de decisiones y compartir fácilmente los datos y la información de la Entidad.</t>
  </si>
  <si>
    <t xml:space="preserve">5.3 Desarrollar el 100% de espacios y mecanismos para la difusión del conocimiento, mediante la creación de alianzas efectivas y apropiación de la memoria institucional a través del proceso de enseñanza-aprendizaje organizacional. </t>
  </si>
  <si>
    <t xml:space="preserve">Porcentaje de acciones implementadas para la sostenibilidad y mejora del SGC </t>
  </si>
  <si>
    <t>Porcentaje de actividades implementadas para la sostenibilidad  y mejora del MIPG</t>
  </si>
  <si>
    <t xml:space="preserve">Porcentaje de requisitos del  SGA implementados bajo los estándares de la norma ISO 14001 </t>
  </si>
  <si>
    <t>S.I.</t>
  </si>
  <si>
    <t>3 
(En el último año)</t>
  </si>
  <si>
    <t>Dirección de Planeación</t>
  </si>
  <si>
    <t>4.2.1 Formular e implementar el 100% de las acciones para la Sostenibilidad y mejora del Sistema de Gestión de la Calidad 
-SGC- (Meta Transversal)</t>
  </si>
  <si>
    <t>4.2.2 Implementar el 40% de las actividades requeridas para la sostenibilidad y mejora del MIPG, de acuerdo con la metodología establecida por la Función Pública. (Meta Transversal)</t>
  </si>
  <si>
    <t>4.2.3 Implementar el 100% de los requisitos del Sistema de Gestión Ambiental –SGA-, bajo los estándares de la norma ISO 14001</t>
  </si>
  <si>
    <t>4.2.4 Realizar 12 acciones de monitoreo y revisión  al Plan Anticorrupción y de Atención al Ciudadano -PAAC- de la vigencia.</t>
  </si>
  <si>
    <t>4.2.5 Incrementar al 90% la percepción de los usuarios que califican como excelente y bueno el servicio en la Personería de Bogotá</t>
  </si>
  <si>
    <t xml:space="preserve">4.2.6 Implementar 7 lineamientos en compromiso con la calidad para satisfacer las necesidades y expectativas de los (as) usuarios(as) y partes interesadas </t>
  </si>
  <si>
    <t>Número de requisitos implementados del SGA/ Número total de requisitos del SGA</t>
  </si>
  <si>
    <t>Acciones de monitoreo y revisión realizadas al PAAC</t>
  </si>
  <si>
    <t>Número de acciones de montoreo realizadas al PAAC</t>
  </si>
  <si>
    <t>Mejora continua del Sistema de Gestión de la Calidad</t>
  </si>
  <si>
    <t>Intervenciones realizadas en defensa de los derechos</t>
  </si>
  <si>
    <t>Personas orientadas en garantía de derechos</t>
  </si>
  <si>
    <t>Personas asistidas en garantía de derechos</t>
  </si>
  <si>
    <t>1.1.6 Generar 80 espacios de mejora, de transferencia de conocimientos y buenas prácticas que permitan brindar una atención idónea a las personas que acuden a la Personería de Bogotá, D. C</t>
  </si>
  <si>
    <t>Personas asistidas en Mecanismos Alternativos de Solución de Conflictos</t>
  </si>
  <si>
    <t>Peticiones o requerimientos ciudadanos atendidos en garantía de derechos</t>
  </si>
  <si>
    <t>Espacios de mejora y transferencia de conocimiento realizados</t>
  </si>
  <si>
    <t>1.1.7 Entregar en un termino menor a los cinco (5) días hábiles, mas del 95% de las solicitudes de elaboración de tutelas, desacatos e impugnaciones que realicen las personas en el Distrito Capital.</t>
  </si>
  <si>
    <t>&gt;=95%</t>
  </si>
  <si>
    <t>Estados de vulneración establecidos</t>
  </si>
  <si>
    <t>Personas sensibilizadas en el Distrito Capital</t>
  </si>
  <si>
    <t>Acciones en favor de las víctimas del conflicto armado interno adelantadas</t>
  </si>
  <si>
    <t>Acciones constitucionales elaboradas para prevenir vulneración de derechos</t>
  </si>
  <si>
    <t>Espacios Interinstitucionales con participación</t>
  </si>
  <si>
    <t>Seguimientos a la Amenaza y Vulneración de los Derechos Realizados</t>
  </si>
  <si>
    <t>Actividades de acercamiento de la Entidad a la comunidad realizadas</t>
  </si>
  <si>
    <t>1.3.2 Incrementar la cobertura de los servicios que presta el proceso de Promoción y Defensa de Derechos, mediante la implementación de 11 acciones que propendan por el mejoramiento de los mismos.</t>
  </si>
  <si>
    <t>Acciones realizadas para incrementar la cobertura de los servicios</t>
  </si>
  <si>
    <t>1.3.3 Implementar 4 herramientas para la promoción y prevención a infracciones del Derecho Internacional Humanitario en el Distrito Capital</t>
  </si>
  <si>
    <t>Herramientas de promoción y prevención a infracciones del Derecho Internacional Humanitario implementadas</t>
  </si>
  <si>
    <t>2.1.1 Realizar 16 informes en los cuales se evalúen las políticas ambientales, el manejo de recursos hídricos, protección y bienestar animal y desarrollo urbano en el Distrito Capital.</t>
  </si>
  <si>
    <t>2.1.2 Realizar 6 informes de seguimiento a los resultados de las acciones de prevención y control a la función pública en los cuales se evaluaron las políticas ambientales, el manejo de recursos hídricos, protección y bienestar animal y desarrollo urbano, en el Distrito Capital</t>
  </si>
  <si>
    <t>Informes realizados en temas específicos.</t>
  </si>
  <si>
    <t>2.3.3 Realizar 100 espacios de diálogo con las personas para retroalimentar las actividades de participación ciudadana</t>
  </si>
  <si>
    <t>Espacios de dialogo realizados.</t>
  </si>
  <si>
    <t>Porcentaje de Acciones de Tutela, Desacatos e Impugnaciones Entregadas en un Termino Menor a Cinco (5) Días Hábiles</t>
  </si>
  <si>
    <t>Audiencias Publicas Realizadas con Asistencia del Ministerio Público</t>
  </si>
  <si>
    <t>Expedientes con impulso procesal para la gestión de multas</t>
  </si>
  <si>
    <t>Promoción y Defensa de Derechos</t>
  </si>
  <si>
    <t>Defender y promover los derechos de las personas mediante las intervenciones y gestiones necesarias para el restablecimiento y goce de los derechos y garantías fundamentales, así como la defensa del interés y patrimonio público.</t>
  </si>
  <si>
    <t>1. Realizar la intervención a petición de parte y de oficio pertinente por parte del Agente del Ministerio Público.
2. Realizar el registro de las intervenciones realizadas en el sistema de información misional, formatos o bases de datos establecidas en cada una de las dependencias.</t>
  </si>
  <si>
    <t>Gestión con Valores para Resultados</t>
  </si>
  <si>
    <t>* Recurso Humano
* Recursos Físicos
* Recursos Tecnológicos</t>
  </si>
  <si>
    <t>1. Recibir la petición o requerimiento ciudadano bajo cualquier canal.
2. Realizar la creación del SINPROC en el sistema de información misional.
3. Dar respuesta a la petición y registrarla en el sistema.
4. Finalizar la petición o requerimiento ciudadano en el sistema de información misional.</t>
  </si>
  <si>
    <t>1. Recibir la petición o requerimiento ciudadano bajo cualquier canal.
2. Realizar la creación del SINPROC en el sistema de información misional.
3. Realizar las gestiones o tramites necesarios para dar respuesta a la petición.
4. Registrar la respuesta en el SINPROC creado.
5. Finalizar la petición o requerimiento ciudadano en el sistema de información misional.</t>
  </si>
  <si>
    <t>1. Recibir las solicitudes de conciliación y unión marital de hecho.
2. Realizar registro de la solicitud en el aplicativo SICAAC.  
3. Atender las solicitudes de conciliación y unión marital de hecho según lineamientos institucionales.</t>
  </si>
  <si>
    <t>1. Elaborar material de difusión y solicitar su aprobación.
2. Revisar y aprobar el materia de difusión por parte de la P.D. para la Coordinación del MP y los DDHH.
3. Realizar la divulgación de la oferta institucional bajo el mecanismo planificado dejando evidencia según lineamientos de la P.D. para la Coordinación del MP y los DDHH.
4. Realizar la reunión de mejoramiento dejando evidencia según lineamientos de la P.D. para la Coordinación del MP y los DDHH.
5. Seguimiento a compromisos adquiridos en la reunión de mejoramiento por parte de la P.D. para la Coordinación del MP y los DDHH.</t>
  </si>
  <si>
    <t>20 Espacios de mejora o transferencia de conocimiento realizados</t>
  </si>
  <si>
    <t>1. Recibir la petición o requerimiento ciudadano bajo cualquier canal.
2. Realizar la creación del SINPROC en el sistema de información misional.
3. Realizar el documento de la acción constitucional para dar respuesta a la petición.
4. Registrar la respuesta en el SINPROC creado.
5. Finalizar la petición o requerimiento ciudadano en el sistema de información misional, en un termino menor o igual a cinco (5) días hábiles.</t>
  </si>
  <si>
    <t>Mas del 95% de las Acciones de Tutela, Desacatos e Impugnaciones entregadas en un termino menor a cinco (5) días hábiles</t>
  </si>
  <si>
    <t>1. Verificar de manera mensual las audiencias programadas en los temas definidos en la meta.
2, Agendar la asistencia a las mismas
3. Notificarse de las audiencia y de todas las actuaciones que sean puestas en conocimiento del MP.
4, Realizar las intervenciones que considere pertinentes.
5. Realizar los traslados disciplinarios de observar hechos que así lo ameriten</t>
  </si>
  <si>
    <t>1. Obtener un listado de la Alcaldía e inspecciones del estado actúa de todas las actuaciones administrativas y policivas.
2,Determinar que actuaciones presentan inactividad
, Determine cuantas querellas tienen decisión de fondo sin materializar el mismo.
4, Realizar los impulsos procesales correspondientes y realizar seguimiento a los mismos.
5. De evidenciar se cumplieron los términos de caducidad o de perdida de fuerza ejecutoria, solicitar a la administración que se decreten las mismas, con los soportes y evidencias correspondientes.
5, De observarse caducidades o perdidas de fuerza ejecutoria decretadas por la administración, deberán ser trasladadas al eje disciplinario (con copia de la resolución donde fueron adoptadas las decisiones de fondo)..</t>
  </si>
  <si>
    <t>1. Levante un inventario de las actuaciones administrativas o policivas con decisión de multa.
2, Realice los impulsos correspondientes para el cobro persuasivo.
3, De aquellas querellas revisadas, cuando la entidad ya haya realizado el cobro persuasivo, solicitar el traslado al cobro coactivo o a la instancia correspondiente.
4, Realizar seguimiento de los impulsos realizados</t>
  </si>
  <si>
    <t>1. Obtenga información de las vulneraciones de derechos que registran las entidades en cada localidad y en los espacios donde se participa.
2, Verifique cuantas peticiones de manera directa recibido la Personería Local en temas de vulneraciones de derechos.
3, Consolide la información y establezca una estadística de cuales grupos de población presentaron mayor vulneración de derechos.
4, Determine que niveles de intervención se requieren a nivel de cada localidad, para lograr que las entidades responsables de su protección, actúan de una manera oportuna o generen acciones preventivas sobre los hechos evidenciado</t>
  </si>
  <si>
    <t>1. Elaborar material de difusión y solicitar su aprobación.
2. Revisar y aprobar el materia de difusión por parte de la P.D. para la Coordinación del MP y los DDHH.
3. Realizar la sensibilización bajo el mecanismo planificado, dejando evidencia según lineamientos de la P.D. para la Coordinación del MP y los DDHH.</t>
  </si>
  <si>
    <t>1. Recibir la petición o requerimiento ciudadano bajo cualquier canal.
2. Realizar la creación del SINPROC en el sistema de información misional.
3. Realizar las acciones necesarias para dar respuesta a la petición.
4. Registrar la respuesta en el SINPROC creado.
5. Finalizar la petición o requerimiento ciudadano en el sistema de información misional.</t>
  </si>
  <si>
    <t>1. Recibir la petición o requerimiento ciudadano bajo cualquier canal.
2. Realizar la creación del SINPROC en el sistema de información misional.
3. Realizar el documento de la acción constitucional para dar respuesta a la petición.
4. Registrar la respuesta en el SINPROC creado.
5. Finalizar la petición o requerimiento ciudadano en el sistema de información misional.</t>
  </si>
  <si>
    <t>1. Recibir la citación al espacio de participación interinstitucional.
2. Asistir al espacio de participación interinstitucional realizando las intervenciones necesarias.
3. Elaborar el informe ejecutivo sobre su participación en el comité, mesa o consejo interinstitucional.
4. Realizar la creación del SINPROC en el sistema de información misional.
5. Registrar el informe en el SINPROC creado y finalizarlo.</t>
  </si>
  <si>
    <t>1. Identificar las amenazas o posibles vulneraciones a los derechos que se estén presentando en el Distrito
2. Realizar el seguimiento a la amenaza o derecho vulnerado según lineamientos institucionales
3. Presentar los informes, actas o reportes que demuestren el seguimiento y los hallazgos identificados.</t>
  </si>
  <si>
    <t>1. Diseñar la estrategia o actividad que permitirá acercar los servicios de la Entidad a la comunidad.
2. Planificar la logística necesaria para el adecuado desarrollo de la actividad.
3. Ejecutar la actividad para acercar los servicios de la Entidad a la comunidad.</t>
  </si>
  <si>
    <t>1. Diseñar la estrategia o actividad que permitirá ampliar la cobertura de los servicios que presta la Entidad.
2. Ejecutar la estrategia o actividad que permitirá ampliar la cobertura de los servicios que presta la Entidad.</t>
  </si>
  <si>
    <t>3 Actividades realizadas o puntos de atención abiertos para aumentar la cobertura de los servicios</t>
  </si>
  <si>
    <t>1. Identificar las infracciones al DIH.
2. Diseñar la herramienta de promoción y prevención a las infracciones identificadas al DIH.
3. Implementar la herramienta de promoción y prevención a las infracciones del DIH.</t>
  </si>
  <si>
    <t>1 Herramienta implementada de promoción y prevención a infracciones del DIH</t>
  </si>
  <si>
    <t>∑ Número de Intervenciones a Petición de Parte Realizadas en Defensa de los Derechos + Númerode Intervenciones de Oficio Realizadas en Defensa de los Derechos</t>
  </si>
  <si>
    <t>∑ Número de Personas Orientadas (Incluye las Orientaciones de Traslados por No Competencia)</t>
  </si>
  <si>
    <t>∑ Número de Personas Asistidas</t>
  </si>
  <si>
    <t>∑ Número de Solicitudes de Conciliación Atendidas + Número de Uniones Maritales de Hecho Atendidas</t>
  </si>
  <si>
    <t>∑ Número de Espacios de Mejora y Transferencia de Conocimiento</t>
  </si>
  <si>
    <t>∑ Número de Tutelas, Desacatos e Impugnaciones entregadas en los primeros cinco (5) días hábiles
-------------------------------------------------------------------- * 100
∑ Número de Tutelas, Desacatos e Impugnaciones solicitadas</t>
  </si>
  <si>
    <t>∑ Número de Audiencias Publicas Realizadas con Asistencia del Ministerio Público</t>
  </si>
  <si>
    <t>∑ Número de Personas Sensibilizadas en el Distrito Capital</t>
  </si>
  <si>
    <t>∑ Número de Acciones en Favor de las Víctimas del Conflicto Armado Interno Realizadas</t>
  </si>
  <si>
    <t>∑ Número de Acciones Constitucionales Elaboradas</t>
  </si>
  <si>
    <t>∑ Número de Seguimientos a la Amenaza y Vulneración de los Derechos Realizados</t>
  </si>
  <si>
    <t>∑ Número de Actividades Realizadas para Acercar la Entidad a la Comunidad</t>
  </si>
  <si>
    <t>∑ Número de Peticiones o Requerimientos Ciudadanos Atendidos en Garantía de Derechos</t>
  </si>
  <si>
    <t>Intervenciones realizadas oportunamente para evitar la caducidad y perdida de fuerza ejecutoria (Impulsos procesales)</t>
  </si>
  <si>
    <t>∑ Número de intervenciones realizadas para Evitar la Caducidad y Perdida de Fuerza Ejecutoria (Impulsos procesales)</t>
  </si>
  <si>
    <t>∑ Número de Espacios Interinstitucional con Participación</t>
  </si>
  <si>
    <t>∑ Número de acciones realizadas para incrementar la Cobertura</t>
  </si>
  <si>
    <t>∑ Número de Herramientas de Promoción y Prevención a Infracciones del Derecho Internacional Humanitario Implementadas</t>
  </si>
  <si>
    <t>3.000 Intervenciones realizadas para evitar caducidad y pérdida de fuerza ejecutoria (impulsos procesales)</t>
  </si>
  <si>
    <t xml:space="preserve">∑ Número de Estados de vulneración realizados
</t>
  </si>
  <si>
    <t>Informes elaborados del estado de los Derechos Humanos por Localidad
(Esta meta inicia ejecución en 2022)</t>
  </si>
  <si>
    <t>Informes de seguimientos realizados en temas específicos.</t>
  </si>
  <si>
    <t>Audiencias públicas y/o mesas de trabajo realizadas.</t>
  </si>
  <si>
    <t>Acompañamientos a los ciudadanos realizados.</t>
  </si>
  <si>
    <t>Prevención y Control a la Función Pública</t>
  </si>
  <si>
    <t xml:space="preserve">Personería Delegada para la Coordinación de Prevención y Control a la Función Pública y sus Personerías Delegadas.
Personería Delegada para la Coordinación de Gestión de las Personerías Locales y sus Personerías Locales. </t>
  </si>
  <si>
    <t>Personería Delegada para la Coordinación de Prevención y Control a la Función Pública y sus Personerías Delegadas.</t>
  </si>
  <si>
    <t xml:space="preserve">Personería Delegada para la Coordinación de Gestión de las Personerías Locales y sus Personerías Locales. </t>
  </si>
  <si>
    <t>Personería Delegada para la Coordinación de Gestión de las Personerías Locales y sus Personerías Locales. 
Personería Delegada para la Coordinación de Prevención y Control a la Función Pública y sus Personerías Delegadas.</t>
  </si>
  <si>
    <t>Comunicar y divulgar información a nivel interno y externo a través de la generación de directrices y estrategias que permitan dar a conocer la gestión de la entidad a todas las partes interesadas</t>
  </si>
  <si>
    <t>TOTAL
PROGRAMADO
AÑO</t>
  </si>
  <si>
    <t xml:space="preserve">PRIMER
TRIMESTRE </t>
  </si>
  <si>
    <t>SEGUNDO
TRIMESTRE</t>
  </si>
  <si>
    <t xml:space="preserve"> TERCER
TRIMESTRE</t>
  </si>
  <si>
    <t xml:space="preserve"> CUARTO
TRIMESRE</t>
  </si>
  <si>
    <t>PRIMER
TRIMESTRE</t>
  </si>
  <si>
    <t>TERCER
TRIMESTRE</t>
  </si>
  <si>
    <t>CUARTO
TRIMESTRE</t>
  </si>
  <si>
    <t>1. Definir tema especifico a evaluar.     
2. Seleccionar que se va a evaluar.
3. Elaborar plan de gestión.
4. Ejecutar plan de gestión.
5. Elaborar informe.
6. Elaborar informe ejecutivo para el despacho, de ser necesario.</t>
  </si>
  <si>
    <t xml:space="preserve">Gestión con Valores para resultados </t>
  </si>
  <si>
    <t>Humanos, físicos y tecnológicos</t>
  </si>
  <si>
    <t>1. Determinar cuales informes realizados en temas específicos, requieren seguimiento.
2. Realizar seguimiento a las observaciones documentadas en el informe.
3. Elaborar informe de seguimiento.</t>
  </si>
  <si>
    <t>1. Definir tema a evaluar.     
2. Seleccionar que se va a evaluar.
3. Elaborar plan de gestión.
4. Ejecutar plan de gestión.
5. Elaborar informe.
6. Elaborar informe ejecutivo para el despacho, de ser necesario.</t>
  </si>
  <si>
    <t>1. Determinar cuales informes realizados requieren seguimiento.
2. Realizar seguimiento a las observaciones documentadas en el informe.
3. Elaborar informe de seguimiento.</t>
  </si>
  <si>
    <t>Número de audiencias públicas y/o mesas de trabajo realizadas en el periodo.</t>
  </si>
  <si>
    <t>1. Evaluar la solicitud de la mesa o audiencia a realizar.
2. Determinar quienes van a participar de la misma.
3. Realizar convocatoria, fijando fecha y lugar de la reunión (si es virtual agendar la reunión), teniendo en cuenta agenda del despacho, para las audiencias, o del delegado y/o personero local en caso de las mesas.
4. Establecer previamente a la actividad, la agenda.
5. Verificar la asistencia de las entidades. responsables, así como la de los ciudadanos.
6. Realizar seguimiento a compromisos adquiridos por las entidades.
8. Realizar convocatorias que sean necesarias para lograr el objetivo propuesto.
9. Elaborar informe ejecutivo del resultado final de la audiencia o mesa.</t>
  </si>
  <si>
    <t>Número de acompañamientos a los ciudadanos realizados en el periodo.</t>
  </si>
  <si>
    <t>1. Determinar el espacio de participación ciudadana donde se va a intervenir.
2. Definir el acompañamiento que se va a realizar (diferente a las establecidas en el espacio).o el que solicita el ciudadano.
3. Realizar las actividades necesarias para apoyar al ciudadano.
4. Generar informe ejecutivo sobre el logro del acompañamiento.</t>
  </si>
  <si>
    <t>1. Defina los temas que se utilizaran en los espacios de dialogo y determine el objetivo del mismo.
2. convoque a los ciudadanos a los cuales esta dirigido el tema.
3. Realice la actividad de dialogo.
4. valore el impacto del mismo
5. Elabore un informe ejecutivo sobre el espacio generado.</t>
  </si>
  <si>
    <t>1 Informe de seguimiento a los resultados de  acciones de prevención y control a la función publica en los cuales se evaluaron políticas ambientales, manejo de recursos hídricos, protección y bienestar animal y desarrollo urbano, en el Distrito Capital.</t>
  </si>
  <si>
    <t>Acciones de Prevención y Control a la Función Pública realizadas, con informe.</t>
  </si>
  <si>
    <t>Seguimientos realizados sobre acciones previas, con informe</t>
  </si>
  <si>
    <t>Prevenir y controlar la función pública, mediante actuaciones para vigilar hechos o conductas que vulneren los derechos de las personas, el ordenamiento jurídico o menoscaben el patrimonio público.</t>
  </si>
  <si>
    <t>3.4. Implementar al 100% tres soluciones informáticas propias para la ejecución y gestión de la Potestad Disciplinaria.</t>
  </si>
  <si>
    <t>3.1.2 Evaluar y dar impulso procesal al 100% las noticias disciplinarias (quejas) puestas en conocimiento de la Entidad.</t>
  </si>
  <si>
    <t>3.2.2 Asumir por competencia preferente el 100% de los procesos cuyos temas sean considerados de interés e impacto el Distrito Capital.</t>
  </si>
  <si>
    <t>3.3.1 Generar 8 escenarios de intercambio de conocimiento con los(as) servidores(as) públicos(as) para fortalecer el conocimiento en la sustanciación de procesos disciplinarios en el Distrito Capital.</t>
  </si>
  <si>
    <t>3.4.1 Implementar un sistema de comunicación efectiva y eficiente con las Oficinas de Control Interno del Distrito Capital.</t>
  </si>
  <si>
    <t xml:space="preserve">3.4.3 Diseñar e implementar una relatoría de las decisiones de fondo adoptadas en ejercicio de la potestad disciplinaria  </t>
  </si>
  <si>
    <t>Procesos priorizados identificados y decididos de fondo</t>
  </si>
  <si>
    <t>Noticias disciplinarias  evaluadas y con impulso procesal</t>
  </si>
  <si>
    <t>Procesos de interés e impacto asumidos por competencia</t>
  </si>
  <si>
    <t>Escenarios de intercambio de conocimiento generados</t>
  </si>
  <si>
    <t xml:space="preserve">Sistema de información misional implementado </t>
  </si>
  <si>
    <t>Relatoría diseñada e implementada</t>
  </si>
  <si>
    <t>Potestad Disciplinaria</t>
  </si>
  <si>
    <t>Personería Delegada para la Coordinación de Potestad Disciplinaria</t>
  </si>
  <si>
    <t>3.2.1 Realizar una visita de seguimiento a las 51 Oficinas de Control Interno Disciplinario del Distrito e identificar hechos constitutivos de faltas relevantes en temas de interés e impacto en cada anualidad.</t>
  </si>
  <si>
    <t xml:space="preserve">Decisiones de fondo </t>
  </si>
  <si>
    <t>Quejas comisionadas a cada una de las Delegadas del Eje Disciplinario 
Verificar el termino de la evaluación de la queja disciplinaria  una vez comisionada al abogado (10 días)</t>
  </si>
  <si>
    <t>Quejas Evaluadas</t>
  </si>
  <si>
    <t>Número de visitas de seguimiento a OCID realizadas</t>
  </si>
  <si>
    <t xml:space="preserve">Visitas efectuadas </t>
  </si>
  <si>
    <t xml:space="preserve">Número de escenarios de sensibilización generados </t>
  </si>
  <si>
    <t>Jornadas capacitación efectuadas</t>
  </si>
  <si>
    <t xml:space="preserve">Sistema Implementado </t>
  </si>
  <si>
    <t>Relatoría implementada</t>
  </si>
  <si>
    <t>Visitas de seguimiento a Oficinas de Control Interno Disciplinario realizadas</t>
  </si>
  <si>
    <t xml:space="preserve">Sistema de Comunicación con las Oficinas de Control Interno Disciplinario implementado </t>
  </si>
  <si>
    <t>Número de procesos priorizados con decisiones de fondo proferidas</t>
  </si>
  <si>
    <t>Porcentaje de avance en la implementación del Sistema de Comunicación</t>
  </si>
  <si>
    <t>Porcentaje de avance en la implementación de Sistema de Información</t>
  </si>
  <si>
    <t>Porcentaje de avance en la implementación de la relatoría</t>
  </si>
  <si>
    <t>Emitir auto por el cual se asume poder preferente
Comisionar y priorizar en las Delegadas para definir de manera expedita</t>
  </si>
  <si>
    <t>Programar los temas y logística para efectuar convocatoria</t>
  </si>
  <si>
    <t>Diagnosticar y diseñar el sistema propio de información misional por etapas</t>
  </si>
  <si>
    <t>Humanos, Físicos, Tecnológicos, financieros</t>
  </si>
  <si>
    <t>Número de noticias disciplinarias evaluadas y con impulso procesal/ Número de noticias disciplinaria comisionadas a las Delegadas</t>
  </si>
  <si>
    <t>Numero de expedientes asumidos por poder preferente</t>
  </si>
  <si>
    <t xml:space="preserve"> TERCER TRIMESTRE</t>
  </si>
  <si>
    <t xml:space="preserve"> CUARTO TRIMESTRE</t>
  </si>
  <si>
    <t>Identificación de expedientes con riesgo de prescripción 
Identificación de proceso vencidos en su etapa procesal</t>
  </si>
  <si>
    <t>Actualizar la lista de los jefes y correos de las OCID 
definir temas de impacto
solicitar copia de Bases de datos e identificar los expedientes que van a ser revisados 
Emitir auto por el cual se asume poder preferente</t>
  </si>
  <si>
    <t>Definir el canas y diseñar la herramienta de manera efectiva
Prácticar las pruebas necesarias y ajustar</t>
  </si>
  <si>
    <t xml:space="preserve">Definición de parámetros del diseño de la relatoría
Revisión normatividad aplicable
Diseño de la relatoría
</t>
  </si>
  <si>
    <t>Vigilar, sensibilizar y promover el cumplimiento de los deberes y el correcto actuar de los servidores públicos en el Distrito Capital, a través de acciones para contrarrestar la omisión o extralimitación de funciones de conformidad con la normatividad vigente.</t>
  </si>
  <si>
    <t>Gestión con valores para resultados
Información y Comunicación
Gestión del Conocimiento y la Innovación</t>
  </si>
  <si>
    <t>4.1.6 Implementar en un 100% las actividades programadas en el plan de uso y apropiación de las TIC, para una óptima gestión institucional</t>
  </si>
  <si>
    <t>4.1.7 Optimizar la infraestructura tecnológica cumpliendo el 100% de las actividades de la hoja de ruta proyectada para garantizar la prestación continua de los servicios en la Entidad</t>
  </si>
  <si>
    <t>S.I</t>
  </si>
  <si>
    <t>Direccionamiento TIC</t>
  </si>
  <si>
    <t>Dirección de Tecnologías de la  Información y las Comunicaciones</t>
  </si>
  <si>
    <t xml:space="preserve">Porcentaje de actividades ejecutadas  en la estrategia de servicios ciudadanos digitales </t>
  </si>
  <si>
    <t>Cantidad de requerimientos prioritarios desarrollados para los sistemas información</t>
  </si>
  <si>
    <t>Porcentaje de actividades ejecutadas del plan de uso y apropiación</t>
  </si>
  <si>
    <t>Porcentaje de actividades ejecutadas de acuerdo al plan de Seguridad de información</t>
  </si>
  <si>
    <t>4.1.2 Ejecutar en un 100 % las actividades programadas en el plan de Seguridad de la Información, garantizando la disponibilidad, confiabilidad e integridad de los activos de información</t>
  </si>
  <si>
    <t>Porcentaje de proyectos implementados / Porcentaje de proyectos programados</t>
  </si>
  <si>
    <t xml:space="preserve">Modelo de Arquitectura Empresarial (EA) adoptado </t>
  </si>
  <si>
    <t>Gestión con valores  para   resultados</t>
  </si>
  <si>
    <t>Financieros y humano especializado</t>
  </si>
  <si>
    <t>Porcentaje de actividades ejecutadas / Porcentaje de actividades programadas</t>
  </si>
  <si>
    <t xml:space="preserve">Lineamientos  de Seguridad  y privacidad de la Información adoptados  </t>
  </si>
  <si>
    <t>Técnicos, financieros y humano especializado</t>
  </si>
  <si>
    <t>Estrategia de servicios ciudadanos digitales implementada</t>
  </si>
  <si>
    <t>Porcentaje de lineamientos adoptados / Porcentaje de lineamietnos proyectados</t>
  </si>
  <si>
    <t xml:space="preserve">Mejor gestión y aprovechamiento de Datos  </t>
  </si>
  <si>
    <t>Desarrollos implementados a los Sistemas de información misionales y de apoyo  de la entidad</t>
  </si>
  <si>
    <t>Porcentaje de actividades ejecutadas / porcentje de actividades programadas</t>
  </si>
  <si>
    <t>Majora en la medición del  aprovechamiento y uso de las tecnologías de información</t>
  </si>
  <si>
    <t>Técnicos y humano especializado</t>
  </si>
  <si>
    <t>Porcentaje de actividades ejecutadas de la hoja de ruta de optimización tecnológica</t>
  </si>
  <si>
    <t>Porcentaje de actividades ejecutadas / porcentaje de actividades programadas</t>
  </si>
  <si>
    <t>Infraestructura tecnológica optimizada que garantice la prestacion de los servicios</t>
  </si>
  <si>
    <t>4.1.5 Desarrollar el 100% de los requerimientos prioritarios a Sistemas de Información y de apoyo que garanticen el óptimo desempeño de la gestión de los procesos en la Entidad</t>
  </si>
  <si>
    <t>Establecer lineamientos, políticas y directrices en materia de gestión de la información, mediante la administración de la infraestructura tecnológica, sistemas de información, servicios tecnológicos y la implementación de soluciones innovadoras que permitan el gobierno digital, la interoperabilidad, la integridad, la confidencialidad y la disponibilidad de la información.</t>
  </si>
  <si>
    <t>Cantidad de requerimientos desarrollados / Cantidad de requerimientos prioritarios programados</t>
  </si>
  <si>
    <t>EDGAR MARTÍN CUBIDES
DIRECTOR DE TECNOLOGÍAS DE LA INFORMACIÓN  Y LAS COMUNICACIONES</t>
  </si>
  <si>
    <t>Direccionamiento Estratégico</t>
  </si>
  <si>
    <t>Servicio al Usuario</t>
  </si>
  <si>
    <t>Avance en la implementación del MIPG en por lo menos el 23%</t>
  </si>
  <si>
    <t>Direccionamiento estratégico y Planeación
Evaluación de Resultados</t>
  </si>
  <si>
    <t>Tecnológicos
Talento Humano</t>
  </si>
  <si>
    <t>Tecnológicos
Financieros
Talento Humano</t>
  </si>
  <si>
    <t>1.  Definir el plan de Acciondel SGA
2. Ejecutar el Plan de Acción
3. Hacer seguimiento al avance</t>
  </si>
  <si>
    <t>Avance en la implementación del Sisema de Gestión Ambiental en un 38%</t>
  </si>
  <si>
    <t>1. Coordinar la formulación del PAAC
2. Consolidación y publicación del PAAC
3. Monitoreo del avance de las actividades del PAAC</t>
  </si>
  <si>
    <t>PAAC consolidado, publicado y ejecutado</t>
  </si>
  <si>
    <t>Establecer las políticas, lineamientos, directrices, planes, programas, proyectos y recursos que orienten la gestión de la Entidad para el cumplimiento de la misión institucional de forma transparente y participativa.</t>
  </si>
  <si>
    <t>Porcentaje de Percepción de los usuarios en calificación excelente y bueno incrementado</t>
  </si>
  <si>
    <t>Lineamientos implementados</t>
  </si>
  <si>
    <t>(Número total de encuestas con calificación excelente y bueno/Número total de encuestras registradas)*100</t>
  </si>
  <si>
    <t>1. Aplicación mensual de las encuestas de satisfacción de los usuarios(as)
2. Análisis semestral de la medición de la percepción de la satisfacción de los usuarios(as).
3. Desarrollar las acciones de mejora producto de los aspectos a mejorar descritos por los usuarios(as).</t>
  </si>
  <si>
    <t>Análisis resultado de la medición de la encuesta de satisfacción</t>
  </si>
  <si>
    <t>3. Gestión de Valores para Resultados.
4. Evaluación de Resultados.
5. Información y Comunicación.</t>
  </si>
  <si>
    <t>Humanos y Tecnológicos</t>
  </si>
  <si>
    <t>Número de lineamientos implementados en el periodo</t>
  </si>
  <si>
    <t xml:space="preserve">
 1. Actualizar la caracterización de usuario cada año
2. Generar la metodología de  percepción de partes interesadas (año 1)
3. Elaborar la Matriz Trasversal de Portafolio de Servicios de la Entidad (año 2)
4.Actualizar la Guía de Trámites y Servicios(año 2)
</t>
  </si>
  <si>
    <t>3. Gestión de Valores para Resultados.
5. Información y Comunicación.</t>
  </si>
  <si>
    <t>2 Lineamientos Implementados en la vigencia</t>
  </si>
  <si>
    <t>Acuerdos interinstitucionales gestionados</t>
  </si>
  <si>
    <t>Definir los lineamientos necesarios para satisfacer las necesidades y expectativas de los (as) usuarios(as) y partes interesadas, en el marco de las disposiciones legales vigentes, mediante los diferentes canales de atención con los que cuenta la Entidad.</t>
  </si>
  <si>
    <t>Número de acuerdos interinstitucionales gestionados en el periodo</t>
  </si>
  <si>
    <t xml:space="preserve">Gestionar acuerdos interinstitucionales </t>
  </si>
  <si>
    <t>Acuerdos interisntitucionales gestionados</t>
  </si>
  <si>
    <t>CARLOS ENRIQUE SILGADO BETANCOURT/ SECRETARIO GENERAL</t>
  </si>
  <si>
    <t>4.7.1 Gestionar 3 acuerdos interinstitucionales o de cooperación nacional y/o internacional para garantizar el enfoque social, en el marco de un estado pluralista, para el fortalecimiento de la prestación del servicio al usuario</t>
  </si>
  <si>
    <t>Porcentaje de novedades y situaciones administrativas gestionadas</t>
  </si>
  <si>
    <t>Gestión del Talento Humano</t>
  </si>
  <si>
    <t xml:space="preserve">
Dirección de Talento Humano
</t>
  </si>
  <si>
    <t xml:space="preserve">Novedades incluidas en la nómina  oportunamente  </t>
  </si>
  <si>
    <t>Dependencia Líder: 
Dirección de Talento Humano
Dependencia Operativa:
Subdirección de Gestión del Talento Humano</t>
  </si>
  <si>
    <t>Porcentaje de Usuarios internos satisfechos con las solicitudes de los servicios atendidas de la SGTH (Certificaciones laborales, bonos pensionales y autorizaciones de retiro de cesantías)</t>
  </si>
  <si>
    <t>Plan Institucional de Capacitación formulado y ejecutado</t>
  </si>
  <si>
    <t>Dependencia Líder: 
Dirección de Talento Humano
Dependencia Operativa:
Subdirección de Desarrollo del Talento Humano</t>
  </si>
  <si>
    <t>Plan Institucional de Bienestar formulado y ejecutado</t>
  </si>
  <si>
    <t>Plan Institucional de Incentivos formulado y ejecutado</t>
  </si>
  <si>
    <t>Capacitaciones realizadas sobre los Sistemas de Gestión y Evaluación del Desempeño Laboral de la Personería de Bogotá, D.C.</t>
  </si>
  <si>
    <t>Dirección de Talento Humano</t>
  </si>
  <si>
    <t xml:space="preserve">4.3.1 Gestionar el 100% de las novedades y situaciones administrativas de los servidores públicos de la Entidad.
</t>
  </si>
  <si>
    <t xml:space="preserve">4.3.4 Formular e implementar el 100% del Plan Institucional de Capacitación de la vigencia.
</t>
  </si>
  <si>
    <t>4.3.5 Formular e implementar el 100% del Plan Institucional de Bienestar de la vigencia .</t>
  </si>
  <si>
    <t>4.3.6 Formular e implementar el 100% del Plan Institucional de Incentivos de la vigencia.</t>
  </si>
  <si>
    <t>N° de novedades y situaciones administrativas gestionadas /  N° requerimientos de novedades y situaciones administrativas presentados * 100</t>
  </si>
  <si>
    <t>1. Proveer los empleos vacantes de la planta de cargos de la Entidad, mediante nombramiento, encargo o comisión, de acuerdo a lo establecido en la normativa vigente.
2. Efectuar la reubicación de los funcionarios, de acuerdo a sus competencias y las necesidades de la Entidad, para facilitar el cumplimiento de los objetivos institucionales. 
3. Realizar los trámites necesarios para el retiro de los funcionarios de la planta de personal de la Personería de Bogotá D.C., de acuerdo a las diferentes causales establecidas en la normativa vigente.
4. Recibir y tramitar las solicitudes de permiso remunerado, permisos por calamidad doméstica, académico compensado, de docencia y de hora de lactancia; solicitudes de licencia no remunerada, licencia remunerada para participar en eventos deportivos, licencia por luto y licencia por paternidad; solicitudes de disfrute, interrupción, aplazamiento, desistimiento o modificación de fecha de disfrute de las vacaciones;  que presenten los (las) funcionarios(as) de la Personería de Bogotá D.C.
5. Tramitar oportunamente las solicitudes de comisión de los (las) funcionarios(as) de carrera administrativa que aspiran a ocupar un empleo de libre nombramiento en otras entidades, o de comisión de estudio, de acuerdo con la normativa vigente.
6. Estudiar, elaborar, suscribir y comunicar/notificar actos administrativos, de competencia de la Dirección así como las respuestas a los requerimientos, de conformidad con las normas vigentes y los procedimientos establecidos, relacionados con las novedades y situaciones administrativas¹.
7. Tramitar oportunamente las solicitudes de los servidores de la entidad o requerimientos externos relacionados con novedades y situaciones administrativas de la planta de personal de la Entidad</t>
  </si>
  <si>
    <t>Cumplimiento de las obligaciones legales de la Entidad y de la Dirección de Talento Humano. 
Coadyuvancia en la consecución de los objetivos institucionales, a través de la provisión óptima y oportuna del talento humano para tal fin.
Respuesta oportuna a las solicitudes de los servidores de la Entidad o requerimientos externos en la materia.</t>
  </si>
  <si>
    <t>Talento Humano</t>
  </si>
  <si>
    <t>Técnicos, financieros, tecnologicos y humanos</t>
  </si>
  <si>
    <t xml:space="preserve"> N° de Novedades incluidas en la Nomina oportunamente / N° de novedades radicadas en los plazos establecidos</t>
  </si>
  <si>
    <t>1. Recibir por parte de la Dirección de Talento Humano, las Resoluciones de novedades autorizadas para el mes en liquidación; y por parte de los (las) funcionarios(as) y/o entidades externas, las modificaciones o autorizaciones que afecten la liquidación de la nómina; según las fechas previstas en el cronograma de nómina.
2. Realizar oportunamente el ingreso de las diferentes novedades que pueden afectar la liquidación de la nómina mensual, en el aplicativo de nómina PERNO.
3. Dar trámite oportuno a los descuentos salariales por conceptos de embargos de alimentos, que son originados por orden judicial y afectan el salario, así como de las libranzas de las diferentes Entidades Financieras, Cooperativas, Fondos, Sindicatos, Seguros y Medicina Prepagada, a petición de los (las) funcionarios(as) de la Entidad y que pueden afectar la liquidación de la nómina.
4. Liquidar la nómina del mes en el sistema de nómina PERNO, e imprimir, revisar y aprobar la pre-nómina. 
5. Elaborar los informes mensuales, RA (Relación de Autorización) del aplicativo PERNO y los archivos planos, para ser enviados a la Subdirección  de Gestión Financiera, para hacer el cargue de la nómina en el sistema de la Secretaría de Hacienda, para su respectivo pago.
6. Verificar y aprobar el pago de la nómina del mes liquidado, por medio de la firma del (la) Director(a) de Talento Humano, como ordenador(a) del gasto.
7. Elaborar el PAC bimestral  relacionado con los gastos de personal de la Personería de Bogotá, D.C. para atender las obligaciones oportunamente a los funcionarios (as) y exfuncionarios (as). Una vez al año, elaborar la proyección anual del presupuesto para la siguiente vigencia.</t>
  </si>
  <si>
    <t xml:space="preserve">Pago de la nómina de manera oportuna - fechas emitidas por Secretaria de Hacienda -  y cumpliendo las obligaciones legales de la Entidad y de la Subdirección de Gestión del Talento Humano, en materia salarial, prestacional, de aportes sociales y parafiscales y demás pagos o aportes a terceros que afecten la nómina.
</t>
  </si>
  <si>
    <t>Financieros, tecnologicos y humanos</t>
  </si>
  <si>
    <t>N° de usuarios satisfechos con las solicitudes de servicios atendidas por la SGTH (Certificaciones laborales, bonos pensionales y autorizaciones de retiro de cesantías. / N° de usuarios encuestados *100</t>
  </si>
  <si>
    <t xml:space="preserve">1. Recibir a traves del correo electrónico, sistema de gestión documental de la entidad (SIRIUS) e intranet las solicitudes de emisión de certificaciones laborales, certificaciones de bonos pensionales, y autorización de retiro de cesantias  por parte de los (las) funcionarios(as) y/o exfuncionarios(as).  
2. Dar trámite a las solicitudes dentro de los términos establecidos en en artículo 14 de la Ley 1755 de 2015 y el articulo 5 del  Decreto 491 de 2020 durante la vigencia de la emergencia sanitaria por Coronavirus COVID 19.                                                            3. Comunicar por los medios autorizados por los usuarios, las certificaciones  laborales, bonos pensionales o autorización de retiro de cesantías emitidas por parte de la Subdirección de Gestión del Talento Humano.                                                                    
4. Remitir enlace de encuesta de satisfacción de los servicios recibidos.
</t>
  </si>
  <si>
    <t xml:space="preserve">Certificaciones laborales, bonos pensionales y autorizaciones de retiro de cesantías. </t>
  </si>
  <si>
    <t>1. Elaborar el diagnóstico de necesidades institucionales de capacitación, para fortalecer las competencias de los(as) servidores(as) de la Entidad. (10%)
2. Elaborar y divulgar el Plan Institucional de Capacitación PIC de la vigencia. (10%)
3. Implementar el Plan Institucional de Capacitación PIC de la vigencia. (70%)
4. Hacer seguimiento y evaluación al Plan Institucional de Capacitación PIC de la vigencia. (10%)</t>
  </si>
  <si>
    <t>Talento humano cualificado y competente para cumplir los objetivos estratégicos de la Entidad.
Mejoramiento continuo en el fortalecimiento de competencias de los servidores de la Entidad.
Cumplimiento de las obligaciones legales de la Entidad y de la Dirección de Talento Humano, en materia de capacitación.</t>
  </si>
  <si>
    <t>Técnicos
Humanos
Financieros</t>
  </si>
  <si>
    <t>1. Elaborar el diagnóstico de necesidades institucionales para Identificar los criterios prioritarios a tener en cuenta con el fin de mejorar la calidad de vida laboral de los servidores de la Entidad. (10%)
2. Elaborar y divulgar el Plan Institucional de Bienestar de la vigencia. (10%)
3. Implementar el Plan Institucional de Bienestar e Incentivos de la vigencia. (70%)
4. Hacer seguimiento y evaluación al Plan Institucional de Bienestar e Incentivos de la vigencia. (10%)</t>
  </si>
  <si>
    <t>Talento humano motivado y comprometido para cumplir los objetivos estratégicos de la Entidad.
Mejoramiento continuo en la calidad de vida laboral de los servidores de la Entidad.
Cumplimiento de las obligaciones legales de la Entidad y de la Dirección de Talento Humano, en materia de estímulos.</t>
  </si>
  <si>
    <t xml:space="preserve">
1. Identificar los criterios para el otorgamiento de incentivos  a los servidores de la Entidad, en la vigencia . (10%)
2. Elaborar aprobar y divulgar el Plan Institucional de Incentivos de la vigencia. (10%)
3. Implementar el Plan Institucional de Incentivos de la vigencia. (70%)
4. Hacer seguimiento y evaluación al Plan Institucional de Incentivos de la vigencia. (10%)</t>
  </si>
  <si>
    <t>1. Actualizar las herramientas del SG-SST: Matriz de Identificación de Peligros, Matriz de Requisitos Legales y ejecutar permanentemente las acciones que de ellas se deriven. (10%)
2. Diseñar, elaborar y divulgar el Plan de Gestión del Sistema de Gestión de Seguridad y Salud en el Trabajo de la vigencia. (10%)
3. Ejecutar e implementar el Plan de Gestión del Sistema de Gestión de Seguridad y Salud en el Trabajo de la vigencia. (70%)
4. Hacer seguimiento y evaluación al Plan de Gestión del Sistema de Gestión de Seguridad y Salud en el Trabajo de la vigencia (10%)</t>
  </si>
  <si>
    <t>Evaluación, control y socialización de los riesgos que puedan afectar la seguridad y salud de los servidores de la Entidad.
Mejoramiento continuo en las condiciones de seguridad y salud en el trabajo de los servidores de la Entidad.
Cumplimiento de las obligaciones legales de la Entidad y de la Dirección de Talento Humano, en materia de SST</t>
  </si>
  <si>
    <t xml:space="preserve">1. Divulgar las disposiciones legales y reglamentarias relacionadas con los sistemas de gestión y Evaluación del Desempeño Laboral.
2. Efectuar capacitaciones en materia de sistemas de gestión y Evaluación del Desempeño Laboral.   
3.  Realizar informe anual con base en los resultados de los sistemas de gestión y Evaluación del Desempeño Laboral, para establecer los planes de: Estímulos, Capacitación y Bienestar por parte de la alta dirección. 
</t>
  </si>
  <si>
    <t>Listas de asistencia de capacitaciones
Informe de Resultados de la Evaluación de Desempeño</t>
  </si>
  <si>
    <t>Técnicos
Humanos
Tecnológicos</t>
  </si>
  <si>
    <t>Proveer el Talento Humano requerido por los procesos institucionales mediante la gestión del ingreso, permanencia,  desarrollo integral y retiro de los(as) funcionarios(as), para el cumplimiento de la misión, objetivos y funciones de la Personería de Bogotá, D.C.</t>
  </si>
  <si>
    <t>Grado de avance en la formulación y ejecución del Plan Institucional de Capacitación</t>
  </si>
  <si>
    <t>Grado de avance en la formulación y ejecución del Plan Institucional de Bienestar</t>
  </si>
  <si>
    <t>Grado de avance en la formulación y ejecución del Plan Institucional de Incentivos</t>
  </si>
  <si>
    <t>Grado de avance en la formulación y ejecución del Plan Anual de Trabajo del SG-SST</t>
  </si>
  <si>
    <t>Número de capacitacionese realizadas sobre los Sistemas de Gestión y Evaluación del Desempeño Laboral de la Personería de Bogotá, D.C.</t>
  </si>
  <si>
    <t>1. Talento Humano
3. Gestión con valores para Resultados</t>
  </si>
  <si>
    <t>1. Talento Humano</t>
  </si>
  <si>
    <t>Porcentaje de servicios atendidos</t>
  </si>
  <si>
    <t>Porcentaje de actividades del PESV ejecutadas</t>
  </si>
  <si>
    <t>Gestión Administrativa</t>
  </si>
  <si>
    <t>Subdirección de Gestión Documental y Recursos Físicos
Dirección Administrativa y Financiera</t>
  </si>
  <si>
    <t>Gestionar la prestación de los servicios operativos y la administración de los bienes e infraestructura a todos los procesos de la Personería de Bogotá D.C, para el desarrollo de la misión y los objetivos institucionales.</t>
  </si>
  <si>
    <t>No. Servicios realizados /Total de servicios solicitados *100</t>
  </si>
  <si>
    <t>1. Atender los servicios de mantenimiento de bienes e instalaciones en los tiempos de respuesta establecidos.
2. Atender los servicios de almacén en los tiempos de respuesta establecidos.
3. Atender los servicios de transporte de manera satisfactoria.
4. Prestar los servicios de aseo y cafetería de manera satisfactoria.
Ejecutar el cronograma de actividades del Plan Estratégico de Seguridad Vial.
Cumplir las actividades relacionadas con la ejecución de los contratos de bienes y servicios de los proyectos de inversión y gastos de funcionamiento del proceso.</t>
  </si>
  <si>
    <t>Talento Humano
Gestión con Valor para Resultados
Evaluacion de Resultados</t>
  </si>
  <si>
    <t>N° de actividades ejecutadas en el periodo/N° de actividades programadas en el PESV para la vigencia*100</t>
  </si>
  <si>
    <t>1. Formualar el  cronograma de ejecucion del PESV
2. Ejecutar el PESV
3. Elaborar informe de avance</t>
  </si>
  <si>
    <t xml:space="preserve">Ejecución del Plan Estratégico de Seguridad Vial </t>
  </si>
  <si>
    <t>Talento Humano
Gestión con Valor para Resultados
Informacion y comunicación</t>
  </si>
  <si>
    <t>1. Cronograma de actividades del Plan Estrategico de Seguridad Vial</t>
  </si>
  <si>
    <t>WILLIAM ALIRIO FUENTES CABALLERO / SUBDIRECTOR DE GESTIÓN DOCUMENTAL Y RECURSOS FÍSICOS</t>
  </si>
  <si>
    <t>Servicios atendidos mantenimiento, almacén, transporte. Aseo y cafetería</t>
  </si>
  <si>
    <t>1. Contratos de ferreteria.
2. Contratos de Papelería.
3. Contratos de servicio de aseo y cafetería.
4. Plataforma para el registro de solicitudes.</t>
  </si>
  <si>
    <t xml:space="preserve">Porcentaje del Plan Anual de Adquisiciones ejecutado </t>
  </si>
  <si>
    <t>Gestión Contractual</t>
  </si>
  <si>
    <t>Subdirección de Gestión Contractual
Dirección Administrativa y Financiera</t>
  </si>
  <si>
    <t>Gestionar la adquisición de bienes y servicios programados en el plan anual de adquisiciones de la entidad con el prpósito de cumplir los objetivos establecidos en los planes, programas y proyectos institucionales de acuerdo con la normatividad vigente</t>
  </si>
  <si>
    <t>No. de adquisiciones realizadas /Total de adquisiciones planeadas *100</t>
  </si>
  <si>
    <t>1. Elaborar el PAA de acuerdo con las necesidades de la entidad
2. Gestionar su aprobación ante las instancias respectivas (junta de compras)
3. Realizar los procesos de contratación programados en el PAA
4. Actualizar el PAA cuando sea necesario
5. Realizar seguimiento a su ejecución</t>
  </si>
  <si>
    <t>Plan Anual de Adquisiciones ejecutado</t>
  </si>
  <si>
    <t>Direccionamiento estratégico y planeación
Gestión con valores para resultados
Evaluación de resultados</t>
  </si>
  <si>
    <t xml:space="preserve">1. Anteproyecto de presupuesto. 
2. Presupuesto de gastos generales 
3. Necesidades de contratación 
4. Estudios de mercado
5. Informes de ejecución del PAA </t>
  </si>
  <si>
    <t>Porcentaje del presupuesto aprobado y ejecutado.</t>
  </si>
  <si>
    <t>Porcentaje de los compromisos de pago programados y ejecutados.</t>
  </si>
  <si>
    <t>Porcentaje de estados financieros de la Entidad elaborados y presentados.</t>
  </si>
  <si>
    <t>Subdirección de Gestión Financiera
Dirección Administrativa y Financiera</t>
  </si>
  <si>
    <t>Gestión Financiera</t>
  </si>
  <si>
    <t>4.4.1 Atender el 100% de los servicios de mantenimiento, almacén, transporte. Aseo y cafetería</t>
  </si>
  <si>
    <t>4.4.3 Ejecutar el 95% del presupuesto aprobado para la Entidad</t>
  </si>
  <si>
    <t>4.4.4 Programar y ejecutar el 95% de los compromisos de pago adquiridos por la Entidad</t>
  </si>
  <si>
    <t>4.4.5 Elaborar y presentar el 100% de los estados financieros de la Entidad</t>
  </si>
  <si>
    <t>4.4.6 Ejecutar el 95% del Plan Anual de Adquisiciones respecto de gastos generales</t>
  </si>
  <si>
    <t>Coordinar, administrar y controlar las operaciones presupuestales, de tesorería y contables de la Personería de Bogotá, D. C., mediante la aplicación de la normatividad legal vigente, para asegurar la calidad, confiabilidad, razonabilidad y oportunidad de la información financiera y presupuestal de la Entidad.</t>
  </si>
  <si>
    <t>Valor de ejecución de presupuesto / Valor del presupuesto aprobado</t>
  </si>
  <si>
    <t>1. Elaborar el anteproyecto de presupuesto de la Entidad conforme las directrices y normas.
2. Gestionar su aprobación ante las instancias respectivas (Concejo de Bogotá)
3. Realizar los Certificados de disponiblidad y de registros presupuestales
4. Realizar las modificaciones presupuestales cuando sean necesarias
5. Realizar seguimiento a su ejecución</t>
  </si>
  <si>
    <t xml:space="preserve">
Presupuesto aprobado, publicado y ejecutado</t>
  </si>
  <si>
    <t>1. Plan Anual de Adquisiciones
2. Ejecución de presupuestos anteriores
3. Recurso Humano 
Tecnologicos</t>
  </si>
  <si>
    <t>Valor de pagos realizados / Valor del presupuesto ejecutado</t>
  </si>
  <si>
    <t>1. Elaborar el Programa anual mensualizado de caja PAC
2. Reprogramar el PAC bimestralmente
3. Elaborar y ordenar los pagos
4. Realizar seguimiento al programa anual mensualizado de caja PAC</t>
  </si>
  <si>
    <t>PAC anual ejecutado</t>
  </si>
  <si>
    <t>1. Presupuesto aprobado
2. Bienes y servicios contratados
3. Recurso Humano 
Tecnologicos</t>
  </si>
  <si>
    <t>Estados Financieros presentados</t>
  </si>
  <si>
    <t>1. Realizar los registros contables de todas las operaciones financieras de la Entidad
2. Revisión y conciliación del balance de prueba
3. Presentacíon de Estados financieros definitivos a instancia respectiva
4. Revisión y evalación de los Estados financieros</t>
  </si>
  <si>
    <t>Estados Financieros auditados</t>
  </si>
  <si>
    <t>1. Presupuesto ejecutado
2. PAC ejecutado
3. Recurso Humano 
Tecnologicos</t>
  </si>
  <si>
    <t>JOSE HUGO TORRES HERNANDEZ / Subdirector de Gestión Financiera</t>
  </si>
  <si>
    <t>Gestión con valores para resultados
Información y Comunicación
Evaluación de resultados</t>
  </si>
  <si>
    <t>Información y Comunicación
Gestión con valores para resultados
Evaluación de resultados</t>
  </si>
  <si>
    <t>Direccionamiento estratégico y planeación
Información y Comunicación
Gestión con valores para resultados
Evaluación de resultados</t>
  </si>
  <si>
    <t>Porcentaje de Comunicaciones oficiales con reparto realizado dentro de los 3 días hábiles desde su radicación</t>
  </si>
  <si>
    <t>Gestión Documental</t>
  </si>
  <si>
    <t>Subdirección de Gestión Documental y Recursos Físicos - Grupo de Correspondencia</t>
  </si>
  <si>
    <t>Subdirección de Gestión Documental y Recursos Físicos - Archivo central</t>
  </si>
  <si>
    <t xml:space="preserve">Subdirección de Gestión Documental y Recursos Físicos </t>
  </si>
  <si>
    <t>Gestión Documental
Direccionamiento TIC</t>
  </si>
  <si>
    <t>Subdirección de Gestión Documental y Recursos Físicos
Dirección de Tecnologías de la Información y Comunicaciones</t>
  </si>
  <si>
    <t>4.4.7 Realizar el 95% del reparto, dentro de un término no superior a tres (3) días hábiles, de las comunicaciones oficiales institucionales recibidas por el Grupo de Correspondencia.</t>
  </si>
  <si>
    <t>4.4.8 Incorporar el 80% al archivo central de las transferencias documentales provenientes de las dependencias, en razón a que cumplen los requisitos exigidos para ello.</t>
  </si>
  <si>
    <t>4.4.9 Realizar 100 actividades de diseño, actualización o ajuste de los instrumentos archivísticos establecidos por norma.</t>
  </si>
  <si>
    <t>4.4.10 Realizar 100 actividades de implementación de los instrumentos archivísticos establecidos por norma, y de las herramientas de apoyo a la gestión documental.</t>
  </si>
  <si>
    <t>INFORMACIÓN Y COMUNICACIÓN</t>
  </si>
  <si>
    <t>Recurso humano  
Recurso tecnológico
Servicio de mensajería
Vehículo institucional</t>
  </si>
  <si>
    <t>Realizar revisión de documentos a transferir por las dependencias para verificar que cumplen los requisitos establecidos. 
Programar la recepción de la transferencia documental
Recibir y revisar la documentación en el archivo central.
Oficializar la incorporación de la documentación en el archivo central.</t>
  </si>
  <si>
    <t>Registros de revisiones a las dependencias de los requisitos para recibir las transferencias documentales proyectadas
Documentación transferida por las dependencias, incorporada al archivo central
Evidencia de la aceptación de la transferencia documental por el archivo central.</t>
  </si>
  <si>
    <t>Recurso Humano
Vehículo institucional
Estantería para conservación de archivos</t>
  </si>
  <si>
    <r>
      <t xml:space="preserve">Cantidad de actividades de </t>
    </r>
    <r>
      <rPr>
        <u/>
        <sz val="12"/>
        <rFont val="Arial"/>
        <family val="2"/>
      </rPr>
      <t xml:space="preserve">diseño, actualización o ajuste </t>
    </r>
    <r>
      <rPr>
        <sz val="12"/>
        <rFont val="Arial"/>
        <family val="2"/>
      </rPr>
      <t>de los instrumentos archivisticos establecidos por norma.</t>
    </r>
  </si>
  <si>
    <t>Ejecutar los planes y cronogramas de trabajo relacionados con diseño y/o actualización y ajuste de instrumentos archivísticos establecidos por norma.
Gestionar la validación y aprobación de los instrumentos archivísticos diseñados y/o actualizados o ajustados.
Publicar los instrumentos archivísticos aprobados que lo requieran.</t>
  </si>
  <si>
    <t>Planes y/o cronogramas de diseño, actualización o ajuste de instrumentos archivísticos
Evidencias de la validación y aprobación de instrumentos archivísticos
Evidencia de la publicación de instrumentos archivísticos que lo requieren.</t>
  </si>
  <si>
    <t>Recurso humano</t>
  </si>
  <si>
    <r>
      <t>Cantidad de actividades de</t>
    </r>
    <r>
      <rPr>
        <u/>
        <sz val="12"/>
        <rFont val="Arial"/>
        <family val="2"/>
      </rPr>
      <t xml:space="preserve"> implementación</t>
    </r>
    <r>
      <rPr>
        <sz val="12"/>
        <rFont val="Arial"/>
        <family val="2"/>
      </rPr>
      <t xml:space="preserve"> de los instrumentos archivisticos establecidos por norma.</t>
    </r>
  </si>
  <si>
    <t xml:space="preserve">
Ejecutar los planes y cronogramas de trabajo relacionados con implementación de instrumentos archivísticos establecidos por norma y de herramientas de apoyo a la gestión documental.
Revisar la adecuada aplicación por las dependencias o los responsables de los instrumentos archivisticos implementados. 
Prestar orientación y asistencia a las dependencias o responsables de implementar los instrumentos archivísticos que lo requieran o de ejecutar actividades en herramientas tecnológicas de apoyo a la gestión documental.
</t>
  </si>
  <si>
    <t xml:space="preserve">Planes y/o cronogramas de implementación de instrumentos archivísticos y de herramientas de apoyo a la gestión documental.
Evidencias de la revisión sobre la adecuada aplicación de los instrumentos archivísticos implementados.
Evidencias de acciones de orientación y asistencia a las dependencias sobre implementación de instrumentos archivisticos y herramientas tecnológicas de apoyo a la gestión documental. </t>
  </si>
  <si>
    <t>INFORMACIÓN Y COMUNICACIÓN
EVALUACIÓN DE RESULTADOS</t>
  </si>
  <si>
    <t>Recurso humano
Aplicativo de gestión documental</t>
  </si>
  <si>
    <t>WILLIAM ALIRIO FUENTES CABALLERO - SUBDIRECTOR DE GESTIÓN DOCUMENTAL Y RECURSOS FÍSICOS</t>
  </si>
  <si>
    <t>Administrar y salvaguardar la documentación de la Personería de Bogotá D.C, en todas las etapas de su ciclo de vida, mediante la aplicación de lineamientos e instrumentos archivísticos definidos por la normatividad vigente, para constituir la memoria institucional y facilitar el acceso a la información para los fines de la Entidad y los de sus usuarios.</t>
  </si>
  <si>
    <t>Porcentaje de documentación incorporada en el archivo central durante la vigencia.</t>
  </si>
  <si>
    <t xml:space="preserve">Metros lineales incorporados al archivo central/ Metros lineales recibidos para incorporar al archivo central que cumplen los requisitos </t>
  </si>
  <si>
    <t>Porcentaje de procesos judiciales en los que se vincule o demande a la Entidad, objeto de representación oportuna</t>
  </si>
  <si>
    <t xml:space="preserve"> Gestión Jurídica</t>
  </si>
  <si>
    <t xml:space="preserve">Porcentaje de acciones de tutela en las cuales se defienda judicialmente a la Entidad oportunamente </t>
  </si>
  <si>
    <t>Porcentaje de conceptos de competencia de la dependencia emitidos oportunamente</t>
  </si>
  <si>
    <t>4.4.11  Representar a la Entidad en el 100% de los procesos judiciales en los cuales la sea vinculada o demandada.</t>
  </si>
  <si>
    <t xml:space="preserve">4.4.12 Defender judicialmente a la Entidad en el 100% de las acciones de tutela en las cuales sea vinculada o accionada </t>
  </si>
  <si>
    <t>4.4.13 Emitir oportunamente el 100% de los conceptos jurídicos solicitados por el Despacho del Personero de Bogotá o sus delegados.</t>
  </si>
  <si>
    <t>4.4.14 Registrar el 100% de los reportes de las sanciones disciplinarias de los servidores públicos distritales.</t>
  </si>
  <si>
    <t>Porcentaje de antecedentes disciplinarios expedidos</t>
  </si>
  <si>
    <t>Porcentaje de reportes de la base de datos de sanciones disciplinarias registrados</t>
  </si>
  <si>
    <t>(Número de procesos judiciales en los que se representa oportunamente, de acuerdo con los términos fijados por los despachos judiciales / Número total de procesos judiciales en los que se vincula la Entidad )  (x 100)</t>
  </si>
  <si>
    <t>1) Recibir las solicitudes de conciliación y demandas
2) Hacer el reparto correspondiente entre los abogados 
3) Elaborar las fichas de conciliación
4) Asistir a las audiencias de conciliación                         5) Intervenir en el trámite de los procesos</t>
  </si>
  <si>
    <t>Defensa judicial idónea y oportuna</t>
  </si>
  <si>
    <t>3. Gestión con valores para resultados (de la ventanilla hacia adentro)</t>
  </si>
  <si>
    <t>Humano y tecnológico</t>
  </si>
  <si>
    <t xml:space="preserve">(Número de acciones de tutela en las que se interviene oportunamente, de acuerdo con los términos fijados por los despachos judiciales / Numero total de acciones de tutela  en las que se acciona o vincula a la Entidad ) (x 100) </t>
  </si>
  <si>
    <t>1) Recibir las acciones de tutela
2) Hacer el reparto correspondiente entre los abogados 
3)  Revisar los informes base de respuesta, emitidos por la dependencias competentes.
4) Registrar las acciones de tutela en la base de datos creada para tal fin
5)  hacer seguimiento al trámite judicial,  revisar los fallos de 1ª y 2ª instancia, registrarlos en la base de datos</t>
  </si>
  <si>
    <t>Número de conceptos emitidos oportunamente / Número de solicitudes de conceptos jurídicos recibidas de competencia de la dependencia (x100)</t>
  </si>
  <si>
    <t xml:space="preserve">1) Recibir las solicitudes de concepto jurídico
2) Analizar las normas pertinentes
3) Analizar doctrina y jurisprudencia vigente                                                                    
4) Emitir el concepto                                                               
</t>
  </si>
  <si>
    <t>Conceptos jurídicos idóneos y oportunos</t>
  </si>
  <si>
    <t>Base de datos con la información actualizada de manera permanente</t>
  </si>
  <si>
    <t>Reducir el riesgo de ocurrencia del daño antijurídico en la Entidad, mediante la representación judicial, la emisión de conceptos sobre los asuntos que sean consultados por el (la) Personero (a) de Bogotá, la asesoría a las dependencias de la entidad y la permanente actualización normativa, para salvaguardar la responsabilidad y los recursos de la entidad.</t>
  </si>
  <si>
    <t>William Javier Murcia Acevedo/Jefe Oficina Aseora Jurídica</t>
  </si>
  <si>
    <t>Número de reportes actualizados / Número de solicitudes de actualización de reportes recibidos (x100)</t>
  </si>
  <si>
    <t xml:space="preserve">1) Recibir las solicitudes de registro de sanciones,  corrección y/o modificación
2) Revisar las solicitudes y documentación anexa
3) Registrar las sanciones en el sistema de antecedentes disciplinarios                                              4) Comunicar a la entidad que genera el reporte                                                                                 </t>
  </si>
  <si>
    <t xml:space="preserve">1) Recibir solicitud
2) Expedir los certificados de antecedentes disciplinarios   </t>
  </si>
  <si>
    <t>Certificados de antecedentes disciplinarios expedidos</t>
  </si>
  <si>
    <t>3. Gestión con valores para resultados (de la ventanilla hacia fuera)</t>
  </si>
  <si>
    <t>Medidas de preservación del orden interno emitidas</t>
  </si>
  <si>
    <t>Oficina Control Interno Disciplinario</t>
  </si>
  <si>
    <t>Jornadas de sensibilización realizadas</t>
  </si>
  <si>
    <t>Procesos disciplinarios con decisión de fondo proferida</t>
  </si>
  <si>
    <t xml:space="preserve">4.5.1 Emitir 96 solicitudes de aplicación de medidas de preservación del orden interno, con el fin de prevenir la materialización de conductas con alcance disciplinario. </t>
  </si>
  <si>
    <t>4.5.3 Decidir de fondo 400 procesos disciplinarios que se encuentren en términos o con periodos vencidos, dando prelación a aquellos con mayor antigüedad o aquellos próximos a prescribir o caducar.</t>
  </si>
  <si>
    <t>Número de medidas de preservación del orden interno emitidas</t>
  </si>
  <si>
    <t>24 Medidas de prevención del orden interno emitidas</t>
  </si>
  <si>
    <t>Número de jornadas de sensibilización realizadas</t>
  </si>
  <si>
    <t>Número de procesos disciplinarios con decisión de fondo proferidos</t>
  </si>
  <si>
    <t>100 Procesos disciplinarios con decisión de fondo proferida</t>
  </si>
  <si>
    <t>Proteger la función pública al interior de la Personería de Bogotá, D. C., de posibles conductas disciplinarias realizadas por sus servidores(as) públicos(as) adelantando las actuaciones con observancia del debido proceso.</t>
  </si>
  <si>
    <t>JORGE ULISES GARTNER CORREDOR  / JEFE OFICINA CONTROL INTERNO DISCIPLINARIO</t>
  </si>
  <si>
    <t>115 (en el último año)</t>
  </si>
  <si>
    <t>1. Recibir la queja.
2. Analizar el contenido de la queja.
3. Emitir la medida de preservación del orden interno si cumple con lo establecido en el Artículo 51 de la Ley 734 de 2002, o  la norma que lo modifique.</t>
  </si>
  <si>
    <t>1. Con base en el estudio de faltas recurrentes elaborada por la Oficina en el 2020, seleccionar las conductas que ameriten la sensibilización. 
2. Preparar el material para la jornada.
3. Establecer la fecha y hora para el efecto.
4. Coordinar con la Oficina Asesora de Prensa la divulgación de la jornada dirigida a los funcionarios de la Personería de Bogotá D.C.
5. Realizar la jornada de sensibilización.</t>
  </si>
  <si>
    <t>1.  Instruir el proceso disciplinario por parte del abogado.
2. Evaluar el proceso junto con los elementos de prueba aportados legalmente
3. Proyectar la decisión de fondo para la revisión del Jefe de Oficina
4. Revisar el proyecto y realizar las observaciones del caso.
5. Proferir la decisión de fondo correspondiente</t>
  </si>
  <si>
    <t>TALENTO HUMANO - Política de Integridad</t>
  </si>
  <si>
    <t xml:space="preserve">1. Talento humano
2. Recursos tecnológicos </t>
  </si>
  <si>
    <t>Control Disciplinario Interno</t>
  </si>
  <si>
    <t>Programa anual de auditorías ejecutado.</t>
  </si>
  <si>
    <t>Evaluación y Seguimiento</t>
  </si>
  <si>
    <t>4.5.4 Ejecutar  4 programas anuales de auditorias, aprobados por el Comité Institucional de Coordinación del Sistema de Control Interno.</t>
  </si>
  <si>
    <t>Elaborar el programa anual de auditorias 
Presentar el programa anual de auditorías al Comité Institucional de Coordinación del Sistema de Control Interno para su aprobación.
Ejecutar el programa anual de auditorías.</t>
  </si>
  <si>
    <t>Programa Anual de Auditorías Aprobado y ejecutado</t>
  </si>
  <si>
    <t>Septima Dimensión  Control Interno</t>
  </si>
  <si>
    <t>Infraestructura, Humanos y Tecnologicos.</t>
  </si>
  <si>
    <t>Número de estratégias de sensibilización acerca de la cultura del control desarrolladas</t>
  </si>
  <si>
    <t>Estratégia realizada acerca de la cultura del control</t>
  </si>
  <si>
    <t>Número de jornadas de Sensibilización realizadas</t>
  </si>
  <si>
    <t>Directivos y referentes de gestión sensibilizados
Listado asistencia a la capacitación realizada</t>
  </si>
  <si>
    <t>SANDRA MILENA CACERES GONZALEZ/ JEFE OFICINA DE CONTROL INTERNO ( E )</t>
  </si>
  <si>
    <t>Reunión con el equipo de trabajo para establecer  la estratégia de sensibilización a desarrollarse.
Elaborar el acta de decisiones que se tomen para dicha reunión.
Llevar a cabo a la estratégia de sensibilización definida.
Al finalizar aplicar la encuesta de percepción de la estratégia.</t>
  </si>
  <si>
    <t>Priorizar los temas acerca de la sensibilización.
Preparar y presentar la sensibilización.
Listado de asistencia y evaluación.</t>
  </si>
  <si>
    <t>Productos de comunicación externa desarrollados</t>
  </si>
  <si>
    <t>Comunicación Estratégica</t>
  </si>
  <si>
    <t>Oficina Asesora de Comunicaciones</t>
  </si>
  <si>
    <t>Productos  de comunicación interna
desarrollados</t>
  </si>
  <si>
    <t>4.6.1  Desarrollar el 100% de los productos para comunicación y divulgación externa que promuevan y difundan la gestión institucional</t>
  </si>
  <si>
    <t>4.6.2 Desarrollar el 100% de los productos para comunicación y divulgación interna que contribuyan a la consecución de objetivos institucionales</t>
  </si>
  <si>
    <t>Número de productos de comunicación externa realizados/ Número de productos de comunicación externa  programados* 100</t>
  </si>
  <si>
    <t>Productos de comunicación externa</t>
  </si>
  <si>
    <r>
      <rPr>
        <b/>
        <sz val="12"/>
        <rFont val="Arial"/>
        <family val="2"/>
      </rPr>
      <t>Dimensión 3.</t>
    </r>
    <r>
      <rPr>
        <sz val="12"/>
        <rFont val="Arial"/>
        <family val="2"/>
      </rPr>
      <t xml:space="preserve"> Gestión con Valores para resultados.                    </t>
    </r>
    <r>
      <rPr>
        <b/>
        <sz val="12"/>
        <rFont val="Arial"/>
        <family val="2"/>
      </rPr>
      <t>Dimensión 5.</t>
    </r>
    <r>
      <rPr>
        <sz val="12"/>
        <rFont val="Arial"/>
        <family val="2"/>
      </rPr>
      <t xml:space="preserve"> Información y Comunicación      </t>
    </r>
  </si>
  <si>
    <t>Recurso técnico y Humano.</t>
  </si>
  <si>
    <t>Número de productos de comunicación interna realizados/ Número de productos de comunicación interna  programados* 100</t>
  </si>
  <si>
    <t>Productos de comunicación interna</t>
  </si>
  <si>
    <t>1. Recibir solicitudes y asignarlas
2. Desarrollar boletines de prensa, piezas gráficas, productos audiovisuales</t>
  </si>
  <si>
    <t>1. Recibir solicitudes y asignarlas
2. Desarrollar notas internas, piezas gráficas, productos audiovisuales.</t>
  </si>
  <si>
    <t>Proyectos de Investigación, Desarrollo e Innovación (I+D+I) elaborados</t>
  </si>
  <si>
    <t xml:space="preserve">Gestión del Conocimiento e Innovación </t>
  </si>
  <si>
    <t xml:space="preserve">Dirección de Gestión del Conocimiento e Innovación </t>
  </si>
  <si>
    <t>Informes de investigación e innovación construidos</t>
  </si>
  <si>
    <t xml:space="preserve">5.1.1 Elaborar cuatro (4) proyectos de investigación, desarrollo e innovación I+D+I para la Entidad </t>
  </si>
  <si>
    <t xml:space="preserve">5.2.1 Construir ocho (8) informes de investigación e innovación que reflejen la analítica institucional </t>
  </si>
  <si>
    <t>Actividades de apropiación social del conocimiento desarrolladas</t>
  </si>
  <si>
    <t>Desarrollar conocimiento e innovación, mediante la gestión de la información e iniciativas, que aseguren su transferencia y transformación</t>
  </si>
  <si>
    <t>1. Fase de Formulación. 
2. Fase de Evaluación.
3. Fase de Desarrollo.
4. Fase de Análisis. 
5. Fase de Evaluación</t>
  </si>
  <si>
    <t xml:space="preserve">1 proyecto de investigación </t>
  </si>
  <si>
    <t>6. Gestión del conocimiento y de la Innovación
3. Gestion con valor para resultados</t>
  </si>
  <si>
    <t>Humanos
Tecnológicos
Estructurales</t>
  </si>
  <si>
    <t>Número de Informes de Investigación e Innovación construidos</t>
  </si>
  <si>
    <t>1. Etapa de Contexto
2. Etapa de Metodología
3. Etapa Conclusiones y recomendaciones</t>
  </si>
  <si>
    <t xml:space="preserve">2 Informes de investigación </t>
  </si>
  <si>
    <t xml:space="preserve"> Número de Actividades de apropiación social del conocimiento realizadas</t>
  </si>
  <si>
    <t xml:space="preserve">1. Etapa de Planeación
2. Etapa de Organizar
3. Etapa de Realización </t>
  </si>
  <si>
    <t>3 eventos científicos (Congresos, Seminarios, Simposios, Foro, Talleres y Encuentros)</t>
  </si>
  <si>
    <t>JAIME ALFONSO CUBIDES CÁRDENAS - DIRECTOR 009-002</t>
  </si>
  <si>
    <t>Dirección de Conciliación y M.A.S.C.</t>
  </si>
  <si>
    <r>
      <t xml:space="preserve">Código: </t>
    </r>
    <r>
      <rPr>
        <sz val="10"/>
        <rFont val="Arial"/>
        <family val="2"/>
      </rPr>
      <t>01-PL-09</t>
    </r>
  </si>
  <si>
    <r>
      <t xml:space="preserve">Página: 
</t>
    </r>
    <r>
      <rPr>
        <sz val="10"/>
        <rFont val="Arial"/>
        <family val="2"/>
      </rPr>
      <t>1 de 2</t>
    </r>
  </si>
  <si>
    <t>CONTROL DE CAMBIOS</t>
  </si>
  <si>
    <t>VERSIÓN</t>
  </si>
  <si>
    <t>FECHA</t>
  </si>
  <si>
    <t>DESCRIPCIÓN DE LA MODIFICACIÓN</t>
  </si>
  <si>
    <t>Versión inicial del documento.</t>
  </si>
  <si>
    <t>Responsables de Procesos
Referentes de Gestión
Procesos Institucionales</t>
  </si>
  <si>
    <t>Elaboró</t>
  </si>
  <si>
    <t>Revisó</t>
  </si>
  <si>
    <t>Aprobó</t>
  </si>
  <si>
    <t>Comité Institucional de Gestión y Desempeño</t>
  </si>
  <si>
    <r>
      <t xml:space="preserve">Página: 
</t>
    </r>
    <r>
      <rPr>
        <sz val="10"/>
        <rFont val="Arial"/>
        <family val="2"/>
      </rPr>
      <t>2 de 2</t>
    </r>
  </si>
  <si>
    <r>
      <t xml:space="preserve">1. OBJETIVO
</t>
    </r>
    <r>
      <rPr>
        <sz val="12"/>
        <color theme="1"/>
        <rFont val="Arial"/>
        <family val="2"/>
      </rPr>
      <t xml:space="preserve">Establecer las metas del nivel táctico que conllevan al desarrollo del objetivo y meta estratégicos de manera articulada y que es necesario implementar a nivel de procesos, para responder a los compromisos definidos en el Plan  Estratégico Institucional y al cumplimiento del objetivo del (de los) proceso(s).
</t>
    </r>
    <r>
      <rPr>
        <b/>
        <sz val="12"/>
        <color theme="1"/>
        <rFont val="Arial"/>
        <family val="2"/>
      </rPr>
      <t>2. ALCANCE</t>
    </r>
    <r>
      <rPr>
        <sz val="12"/>
        <color theme="1"/>
        <rFont val="Arial"/>
        <family val="2"/>
      </rPr>
      <t xml:space="preserve">
Comprende el despliegue y definición de metas del nivel táctico, indicadores, acciones operativas, responsables, recursos y la programación de la vigencia que permite que se ejecuten alineadas a los Objetivos Estratégicos, las metas estratégicas definidas definidos en el Plan Estratégico Institucional, los requisitos de calidad de la Entidad y en el marco del modelo de operación por procesos establecido.</t>
    </r>
    <r>
      <rPr>
        <b/>
        <sz val="12"/>
        <color theme="1"/>
        <rFont val="Arial"/>
        <family val="2"/>
      </rPr>
      <t xml:space="preserve">
3. RESPONSABLES
</t>
    </r>
    <r>
      <rPr>
        <sz val="12"/>
        <color theme="1"/>
        <rFont val="Arial"/>
        <family val="2"/>
      </rPr>
      <t xml:space="preserve">Personero(a) de Bogotá, D. C.
Comité Institucional de Gestión y Desempeño
Responsables de Procesos institucionales
Equipos de trabajo de los proceso institucionales
</t>
    </r>
    <r>
      <rPr>
        <b/>
        <sz val="12"/>
        <color theme="1"/>
        <rFont val="Arial"/>
        <family val="2"/>
      </rPr>
      <t xml:space="preserve">4. ANEXOS
</t>
    </r>
    <r>
      <rPr>
        <sz val="12"/>
        <color theme="1"/>
        <rFont val="Arial"/>
        <family val="2"/>
      </rPr>
      <t>Hacen parte integral del Plan Operativo Anual de la vigencia la programación institucional consolidada y por los procesos institucionales la que se encuentra consignada en el formato 01-FR-03 Plan Operativo Anual, vigente.</t>
    </r>
  </si>
  <si>
    <t>Porcentaje de proyectos implementados de acuerdo al plan de tecnologías de la Información</t>
  </si>
  <si>
    <t>Porcentaje de lineamientos adoptados  en la estrategia de gestión de datos</t>
  </si>
  <si>
    <t>4.4.2 Ejecutar el 97% de las actividades del Plan Estratégico de Seguridad Vial (PESV)</t>
  </si>
  <si>
    <t>4.5.5 Desarrollar 4 estrategias de sensibilización acerca de la cultura del control.</t>
  </si>
  <si>
    <t>Estrategia de Sensibilización acerca de la Cultura del Control realizada</t>
  </si>
  <si>
    <t>4.5.6 Realizar 4 jornadas de sensibilización a Directivos y Referentes de proceso sobre la Séptima Dimensión.</t>
  </si>
  <si>
    <t>Sensibilización a Directivos y Referentes de Gestión sobre la Séptima Dimensión del MIPG realizada</t>
  </si>
  <si>
    <r>
      <t xml:space="preserve">Cantidad de actividades realizadas por año para el </t>
    </r>
    <r>
      <rPr>
        <u/>
        <sz val="12"/>
        <rFont val="Arial"/>
        <family val="2"/>
      </rPr>
      <t xml:space="preserve">diseño, actualización o ajuste </t>
    </r>
    <r>
      <rPr>
        <sz val="12"/>
        <rFont val="Arial"/>
        <family val="2"/>
      </rPr>
      <t>de los instrumentos archivísticos establecidos por norma</t>
    </r>
  </si>
  <si>
    <r>
      <t xml:space="preserve">Cantidad de actividades realizadas por año para </t>
    </r>
    <r>
      <rPr>
        <u/>
        <sz val="12"/>
        <rFont val="Arial"/>
        <family val="2"/>
      </rPr>
      <t>implementación</t>
    </r>
    <r>
      <rPr>
        <sz val="12"/>
        <rFont val="Arial"/>
        <family val="2"/>
      </rPr>
      <t xml:space="preserve"> de los instrumentos archivísticos establecidos por norma, y de herramientas de apoyo a la gestión documental.</t>
    </r>
  </si>
  <si>
    <t>P.D. para Asuntos Penales I, Penales II, Derechos Humanos y Policivos y Civiles
P.D. para los Sectores Planeación y Movilidad y la P.D. para los Sectores Educación y Cultura, Recreación y Deporte</t>
  </si>
  <si>
    <t>P.D. para la Coordinación del MP y DDHH y sus dependencias adscritas
P.D. para la Coordinación de la Gestión de Personerías Locales y sus Personerías Locales adscritas
P.D. para la Coordinación de la Prevención y Control a la Función Pública y sus dependencias adscritas</t>
  </si>
  <si>
    <t>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t>
  </si>
  <si>
    <t>P.D. para la Coordinación del MP y DDHH y sus dependencias adscritas.</t>
  </si>
  <si>
    <t>P.D. para Asuntos Jurisdiccionales, Víctimas y Penal II.
P.D. para la Coordinación de la Gestión de Personerías Locales y sus Personerías Locales adscritas</t>
  </si>
  <si>
    <t>P.D. para la Coordinación de la Gestión de Personerías Locales y sus Personerías Locales adscritas</t>
  </si>
  <si>
    <t>P.D. para la Coordinación del MP y DDHH y sus dependencias adscritas
P.D. para la Coordinación de la Gestión de Personerías Locales y sus Personerías Locales adscritas</t>
  </si>
  <si>
    <t>P.D. para la Protección de las Víctimas del Conflicto Armado Interno
P.D. para la Coordinación de la Gestión de Personerías Locales y sus Personerías Locales adscritas</t>
  </si>
  <si>
    <t>P.D. para la Familia y Sujetos de Especial Protección Constitucional</t>
  </si>
  <si>
    <t>P.D. para la Coordinación del MP y DDHH, P.D. para Asuntos Penales I, Penales II, Derechos Humanos, Familia, Víctimas, Asuntos Jurisdiccionales y Consumidor.
 P.D. para la Coordinación de la Gestión de Personerías Locales y sus Personerías Locales adscritas</t>
  </si>
  <si>
    <t>P.D. para la Coordinación del MP y DDHH, P.D. para Asuntos Policivos y Civiles, Penales I, Penales II, Derechos Humanos, Familia, Víctimas, Consumidor y Asuntos Jurisdiccionales.
 P.D. para la Coordinación de la Gestión de Personerías Locales y sus Personerías Locales adscritas</t>
  </si>
  <si>
    <t>P.D. para la Coordinación del MP y DDHH y sus dependencias adscritas
 P.D. para la Coordinación de la Gestión de Personerías Locales y sus Personerías Locales adscritas</t>
  </si>
  <si>
    <t>Dirección de Planeación
Aportan: Dependencias lideradas por  Responsables de procesos y operativos de todos los procesos institucionales</t>
  </si>
  <si>
    <t>1 de 18</t>
  </si>
  <si>
    <t>2 de 18</t>
  </si>
  <si>
    <t>3 de 18</t>
  </si>
  <si>
    <t>4 de 18</t>
  </si>
  <si>
    <t>4.1.1 Implementar el 100 % de los proyectos de hoja de ruta del Plan Estratégico de Tecnología de la Información de tal forma que se optimicen los procesos de la Entidad</t>
  </si>
  <si>
    <t>4.1.4 Implementar en un 100% los lineamientos que adopte la Entidad para mejorar la gestión de datos que facilite la toma de decisiones</t>
  </si>
  <si>
    <t>4.1.3 Realizar el 100% de las actividades definidas en la estrategia de servicios ciudadanos digitales, que permitan acceder a los tramites y servicios de la Entidad a través de canales digitales rápidos, fiables y seguros</t>
  </si>
  <si>
    <t>5 de 18</t>
  </si>
  <si>
    <t>6 de 18</t>
  </si>
  <si>
    <t>7 de 18</t>
  </si>
  <si>
    <t>8 de 18</t>
  </si>
  <si>
    <t>9 de 18</t>
  </si>
  <si>
    <t>10 de 18</t>
  </si>
  <si>
    <t>11 de 18</t>
  </si>
  <si>
    <t>12 de 18</t>
  </si>
  <si>
    <t>13 de 18</t>
  </si>
  <si>
    <t>14 de 18</t>
  </si>
  <si>
    <t>15 de 18</t>
  </si>
  <si>
    <t>16 de 18</t>
  </si>
  <si>
    <t>17 de 18</t>
  </si>
  <si>
    <t>18 de 18</t>
  </si>
  <si>
    <t xml:space="preserve">3.4.2 Diseñar e implementar un sistema de información misional que generé el expediente electrónico  </t>
  </si>
  <si>
    <t>1. Revisar el autodiagnóstico 2020 y verificar los avances en la ejecución con los responsables
2. Actualizar el Plan de acción para la implementación y sostenimiento del MIPG en la vigencia 2021, de acuerdo a las actividades pendientes por ejecutar a diciembre 2020
3. Ejecutar el Plan de Acción 2021 (las actividades del Plan se ejecutarán de manera mensual de acuerdo a programación que permitirá cumplir el 22% programado para la vigencia 2021)
4. Realizar seguimiento a las actividades ejecutadas por los referentes de manera mensual
5. Generar un informe de avance de la implementación de las actividades del MIPG</t>
  </si>
  <si>
    <t>Silvia Juliana Arciniegas Morales / Personera Delegada para la Coordinación de Potestad Disciplinaria</t>
  </si>
  <si>
    <t>Número de antecedentes disciplinarios expedidos / Número de antecedentes disciplinarios solicitados (x100)</t>
  </si>
  <si>
    <t>Grado del avance del Programa Anual de Auditoría</t>
  </si>
  <si>
    <t>Número de solicitudes a petición asumidas por poder preferente/ Número total de peticiones solicitadas por poder preferente</t>
  </si>
  <si>
    <t>Número de informes realizados en temas específicos programados en el periodo.</t>
  </si>
  <si>
    <t>Número informes de seguimientos realizados en temas específicos en el periodo.</t>
  </si>
  <si>
    <t>Número de informes de Acción de Prevención y Control a la Función Publica realizados en el periodo.</t>
  </si>
  <si>
    <t>Número de informes de seguimientos realizados en el periodo.</t>
  </si>
  <si>
    <t>Número de espacios de dialogo realizados en el periodo.</t>
  </si>
  <si>
    <t>Número de proyectos de investigación, desarrollo e innovación elaborados</t>
  </si>
  <si>
    <t>ALBA CLEMENCIA ROJAS ARIAS / DIRECTOR OPERATIVO CÓDIGO 009 GRADO 02</t>
  </si>
  <si>
    <t>∑ Número de expedientes con Impulso Procesal para la Gestión de las Multas</t>
  </si>
  <si>
    <t xml:space="preserve"> Grado de avance en la implementación de acciones para la sostenibilidad y mejora del SGC</t>
  </si>
  <si>
    <t>Grado de avance en la implementación de acciones para la sostenibilidad y mejora del MIPG</t>
  </si>
  <si>
    <t>PERSONERÍA DE
BOGOTÁ, D. C.</t>
  </si>
  <si>
    <t>Héctor Hernán González Naranjo
Director de Planeación</t>
  </si>
  <si>
    <t>Nota: Si este documento se encuentra impreso se considera Copia no Controlada. La versión vigente está publicada en el repositorio oficial de la Personería de Bogotá, D. C.</t>
  </si>
  <si>
    <t>META 
POA CUATRIENIO</t>
  </si>
  <si>
    <t>EJECUCIÓN ACUMULADA AÑO</t>
  </si>
  <si>
    <t>CUMPLIMIENTO ACUMULADO META POA AÑO</t>
  </si>
  <si>
    <t xml:space="preserve"> CUMPLIMIENTO ACUMULADO META POA EN CUATRIENIO</t>
  </si>
  <si>
    <t>LILY MOTES / JEFE DE OFICINA ASESORA DE COMUNICACIONES</t>
  </si>
  <si>
    <t>No comunicaciones entregadas a las dependencias internas dentro de los 3 días hábiles de su recepción / Numero de comunicaciones recibidas en el Grupo de Correspondencia</t>
  </si>
  <si>
    <t>Comunicaciones oficiales recibidas por el Grupo de Correspondencia distribuidas a los destinatarios internos (dependencias)
Registros de la distribución de las comunicaciones recibidas por el Grupo de Correspondencia.</t>
  </si>
  <si>
    <t xml:space="preserve">Recibir, revisar y radicar las comunicaciones oficiales externas o internas en el Grupo de Correspodencia.
Distribuir las comunicaciones recibidas a los destinatarios internos (dependencias).
Realizar el registro en las planilas o controles correspondientes.
</t>
  </si>
  <si>
    <t xml:space="preserve">Porcentaje de contratos en la modalidad de selección abreviada de menor cuantía elaborados en los tiempos óptimos </t>
  </si>
  <si>
    <t xml:space="preserve">Porcentaje de contratos en la modalidad de selección abreviada de subasta inversa, licitación pública y concurso de méritos elaborados en los tiempos óptimos </t>
  </si>
  <si>
    <t>4.4.15 Elaborar el 95% de los contratos en cada una de las modalidades de selección en los tiempos óptimos</t>
  </si>
  <si>
    <t>(Numero de procesos de contratación directa del periodo, realizados dentro del tiempo estipulado (5 días) / Número de procesos de contratación directa realizados en el periodo) *100</t>
  </si>
  <si>
    <t xml:space="preserve">(Numero de procesos modalidad de selección abreviada de menor cuantía del periodo, realizados dentro del tiempo estipulado (45 días) /
Número de procesos modalidad de selección abreviada de menor cuantía realizados en el periodo)*100     </t>
  </si>
  <si>
    <t>(Numero de procesos modalidad de selección abreviada subasta inversa, licitación pública y concurso de méritos del periodo, realizados dentro del tiempo estipulado (55 días) / Número de procesos modalidad de selección abreviada subasta inversa, licitación pública y concurso de méritos realizados en el periodo) *100</t>
  </si>
  <si>
    <t xml:space="preserve">1. Memorando de tramitación de solicitud del proceso
2. Lista de chequeo </t>
  </si>
  <si>
    <t xml:space="preserve">Contratos </t>
  </si>
  <si>
    <t xml:space="preserve">Solicitud del proceso contractual y listas de chequeo de contratos </t>
  </si>
  <si>
    <t>Subdirección de Gestión Contractual</t>
  </si>
  <si>
    <t>PERSONERÍA DE 
BOGOTA, D. C.</t>
  </si>
  <si>
    <t>META ESTRATÉGICA CUATRIENIO:</t>
  </si>
  <si>
    <t>META POA CUATRIENIO:</t>
  </si>
  <si>
    <t>PESO PORCENTUAL META POA:</t>
  </si>
  <si>
    <t>MAGNITUD PROGRAMADA META POA 
CUATRIENIO:</t>
  </si>
  <si>
    <t>Indique el valor (cantidad) que se espera alcance la meta en el cuatrienio y que se refleje en el indicador asociado. Debe ser consecuente con el valor (cantidad) expresada en la redacción de la meta POA.</t>
  </si>
  <si>
    <t>INDICADOR META POA:</t>
  </si>
  <si>
    <r>
      <t xml:space="preserve">Indique el valor (cantidad) que se espera alcance la meta en el cuatrienio y que se refleje en el indicador asociado. Debe corresponder con el valor (cantidad) expresado en la redacción de la meta POA y en el campo denominado </t>
    </r>
    <r>
      <rPr>
        <sz val="10"/>
        <rFont val="Arial"/>
        <family val="2"/>
      </rPr>
      <t>MAGNITUD PROGRAMADA META POA CUATRIENIO</t>
    </r>
    <r>
      <rPr>
        <sz val="12"/>
        <rFont val="Arial"/>
        <family val="2"/>
      </rPr>
      <t xml:space="preserve"> de la página 1 del formato.</t>
    </r>
  </si>
  <si>
    <t>MAGNITUD PROGRAMADA META POA AÑO:</t>
  </si>
  <si>
    <t>Registre el valor (cantidad) que se espera alcance la meta en el año seleccionado. Debe corresponder con el valor (cantidad) registrado en la página 1 para la meta en el correspondiente año, debe ser tomado de la sección Programacion Cuatrienio para el año requerido.</t>
  </si>
  <si>
    <t>OBJETIVO ESTRATÉGICO 
META ESTRATÉGICA CUATRIENIO
META POA CUATRIENIO
PESO PORCENTUAL
LÍNEA DE BASE
INDICADOR META POA
DEPENDENCIA(S) RESPONSABLE(S)</t>
  </si>
  <si>
    <t>EJECUCIÓN ACUMULADA AÑO:</t>
  </si>
  <si>
    <t>Espacio de cálculo automático que compara total programado por cada meta en el año vs. el total de la ejecución acumulada en el año; es presentada de manera acumulada por trimestre.</t>
  </si>
  <si>
    <t>CUMPLIMIENTO ACUMULADO META POA EN CUATRIENIO</t>
  </si>
  <si>
    <t>Espacio de cálculo automático que presenta el grado de cumplimiento de la meta POA en el cuatrienio tomando como insumo la ejecución acumulada de la meta y la programación en el cuatrienio; es presentada de manera acumulada por trimestre.</t>
  </si>
  <si>
    <t>DIANA ROCIO OVIEDO CALDERON / SUBDIRECTORA DE GESTIÓN CONTRACTUAL</t>
  </si>
  <si>
    <t>Inclusión de meta nueva y tres indicadores en el proceso Gestión Contractual, aprobados por el Comité Institucional de Gesrtión y Desempeño en sesión del 22-06-2021.</t>
  </si>
  <si>
    <t>4.790 Acciones constitucionales elaboradas</t>
  </si>
  <si>
    <t xml:space="preserve">3.1.1 Identificar y decidir de fondo 6,700  procesos, priorizando aquellos que se encuentren con riesgo de prescripción y/o vencidos en su etapa procesal (indagación, investigación y juzgamiento). </t>
  </si>
  <si>
    <t>3.1. Descongestionar 6.700 procesos disciplinarios con criterios de calidad, efectividad y garantía del debido proceso.</t>
  </si>
  <si>
    <t>2.3.1 Realizar 60 audiencias públicas y/o mesas de trabajo, las cuales permitan la participación ciudadana, con énfasis en los Derechos e intereses colectivos.</t>
  </si>
  <si>
    <t>5.480 acciones en favor de las víctimas del conflicto armado interno realizadas</t>
  </si>
  <si>
    <t>Modificación de magnitudes de las metas operativas 1.1.1, 1.1.2, 1.1.3, 1.1.4, 1.1.5, 1.2.2, 1.2.5, 2.1.1, 2.2.2, 2.3.1 y 3.1.1  y metas estratégicas 1.1 y 1.2; aprobadas por el Comité Institucional de Gestión y Desempeño en sesión del 25-08-2021.</t>
  </si>
  <si>
    <t>Modificación de magnitudes de las metas operativas 1.1.1, 1.1.2, 1.1.3, 1.1.5, 1.2.2, 1.2.5, 2.1.1, 2.2.2, 2.3.1 y 3.1.1  y metas estratégicas 1.1, 1.2, 1,3, 2.1, 2.2, 2.3 y 3.1; aprobadas por el Comité Institucional de Gestión y Desempeño en sesión del 01-10-2021.</t>
  </si>
  <si>
    <t>* P.D. para la Coordinación del MP y DDHH, P.D. para Asuntos Penales I, Penales II, Policivos y Civiles, Derechos Humanos, Familia y Orientación y Asistencia.
* P.D. para la Coordinación de la Gestión de Personerías Locales y sus Personerías Locales adscritas
* P.D. para la Coordinación de la Prevención y Control a la Función Pública y sus dependencias adscritas</t>
  </si>
  <si>
    <t>4.5.2 Realizar 20 jornadas de sensibilización a funcionarios de la Personería de Bogotá D.C. sobre la prevención de las faltas disciplinarias más recurrentes en la Entidad.</t>
  </si>
  <si>
    <t>5.3.1 Desarrollar ochenta (80) actividades de apropiación social del conocimiento para la creación de la cultura de la investigación e innovación.</t>
  </si>
  <si>
    <t>5.1.2. Entregar dos (2) productos resultado de los proyectos de investigación, desarrollo e innovación (I+D+I) realizados en la Entidad para la comunidad</t>
  </si>
  <si>
    <t>1. Fase de Evaluación
2. Fase de Publicación</t>
  </si>
  <si>
    <t>1 producto resultado de investigación</t>
  </si>
  <si>
    <t>6 Jornadas de sensibilización realizadas</t>
  </si>
  <si>
    <t>2.2.1 Realizar 817 acciones de prevención y control a la función pública para fortalecer la moralidad pública.</t>
  </si>
  <si>
    <t>2.2.2 Realizar 135 acciones de prevención y control a la función pública - seguimientos, para fortalecer la moralidad pública en el Distrito Capital.</t>
  </si>
  <si>
    <t>2.2. Fortalecer la moralidad publica realizando  952 acciones de prevención y control a la función pública.</t>
  </si>
  <si>
    <t>2.3.2 Realizar 160 acompañamientos a los ciudadanos que intervienen en los diferentes espacios de participación ciudadana.</t>
  </si>
  <si>
    <t>2.3. Fortalecer 320 espacios de participación ciudadana en la Personería de Bogotá</t>
  </si>
  <si>
    <t>286 Informes de Acción de Prevención y Control a la Función Publica en el Distrito Capital, para fortalecer la moralidad pública</t>
  </si>
  <si>
    <t>67 Informes de seguimientos realizados para fortalecer la moralidad pública en el Distrito Capital</t>
  </si>
  <si>
    <t>1.1.1 Realizar 356.610 intervenciones dentro del ejercicio del Ministerio Público para prevenir la vulneración de derechos y/o lograr el  restablecimiento de los mismos.</t>
  </si>
  <si>
    <t>1.1.2 Orientar 292.755 personas en garantía de derechos.</t>
  </si>
  <si>
    <t>Fase de desarrollo del ejercicio de Arquitectura Empresarial</t>
  </si>
  <si>
    <t>Fase de evaluación, medición y mejora continua</t>
  </si>
  <si>
    <t>Fase de  desarrollo de necesidades identificadas</t>
  </si>
  <si>
    <t>Fase de desarrollo de  necesidades identificadas</t>
  </si>
  <si>
    <t>Fase de desarrollo de requerimientos identificados</t>
  </si>
  <si>
    <t>Fase de proyeccion  de la estrategia de uso y apropiación</t>
  </si>
  <si>
    <t>Fase de desarrollo  de necesidades identificadas en la hoja de ruta de optimización tecnológica</t>
  </si>
  <si>
    <t>7 Informes de Prevención y Control a la Función Publica en los cuales se evaluaron políticas ambientales, manejo de recursos hídricos, protección y bienestar animal y desarrollo urbano, en el Distrito Capital.</t>
  </si>
  <si>
    <t>21 Audiencias públicas y/o mesas de trabajo realizadas.</t>
  </si>
  <si>
    <t xml:space="preserve">60 Acompañamientos a los ciudadanos realizados. </t>
  </si>
  <si>
    <t>30 Espacios de dialogo realizados</t>
  </si>
  <si>
    <t>MAGNITUD PROGRAMADA META
POA CUATRIENIO</t>
  </si>
  <si>
    <t xml:space="preserve">Porcentaje de contratos en la modalidad de contratación directa elaborados en los tiempos óptimos </t>
  </si>
  <si>
    <t xml:space="preserve">  </t>
  </si>
  <si>
    <t>Realizar seguimiento y evaluación a la gestión de los procesos y sistemas de gestión de la Personería de Bogotá D.C., a través de los roles establecidos para la Oficina de Control Interno en la normatividad vigente, con el propósito de determinar la eficacia, eficiencia y efectividad, en el cumplimiento de los objetivos institucionales y contribuir al mejoramiento continuo de los procesos de la Entidad.</t>
  </si>
  <si>
    <t>1. Analizar informe del plan de Acción del SGC de la vigencia anterior
2. Elaborar el Plan de Acción del SGC para la sostenibilidad y mejora de la vigencia 
3. Socializar Plan de Acción del SGC aprobado por el CIGD
4. Ejecutar el Plan de Acción del SGC para la sostenibilidad y mejora.
5. Hacer seguimiento a la ejecución del Plan y generar informe de avance.</t>
  </si>
  <si>
    <t>1.1.3 Asistir 117.610 personas en garantía de derechos.</t>
  </si>
  <si>
    <t>1.1.4 Asistir a 28.586 personas en mecanismos alternativos de solución de conflictos.</t>
  </si>
  <si>
    <t>1.1.5 Atender y gestionar 55.722 peticiones y/o requerimientos presentados por la comunidad en garantía de derechos.</t>
  </si>
  <si>
    <t>1.1.8 Asistir a 19.500 audiencias públicas y realizar las actuaciones que se requieran en protección de los derechos y defensa del interés público, en temas de urbanismo, espacio público, actividad económica y de los comportamientos contrarios a la convivencia (Ley 1801 de 2016)</t>
  </si>
  <si>
    <t>1.1.9 Realizar 11.000 intervenciones de manera oportuna para evitar situaciones de caducidad y perdida de fuerza ejecutoria en las actuaciones administrativas y policivas</t>
  </si>
  <si>
    <t>1.1.10 Impulsar 2.300 expedientes que contengan orden de policía (MULTA) en firme y ejecutoriada, para que se efectúen cobros persuasivos y/o se de traslado para el cobro coactivo.</t>
  </si>
  <si>
    <t>1.1.11 Establecer de forma periódica, 40 estados de la vulneración de  los derechos humanos en las localidades, dando a conocer a las Entidades correspondientes los hechos observados que requieren su intervención.</t>
  </si>
  <si>
    <t>1.2.1 Sensibilizar a 205.930 personas en derechos humanos, Derecho Internacional Humanitario, Cultura Ciudadana, Protección Animal, Deberes de los Ciudadanos y oferta institucional, con énfasis en sujetos de especial protección constitucional, en particular, personas mayores, mujeres y población migrante.</t>
  </si>
  <si>
    <t>1.2.2 Adelantar 23.910 acciones necesarias en favor de la población víctima del conflicto armado interno mediante el apoyo jurídico, la atención psicosocial, la gestión para acceso a derechos, la toma de declaraciones y la elaboración de derechos de petición.</t>
  </si>
  <si>
    <t>1.2.3 Prevenir mediante la elaboración de 18,880 acciones constitucionales, la vulneración de derechos  con énfasis en sujetos de especial protección constitucional.</t>
  </si>
  <si>
    <t>1.2.5 Participar en 7.711 comités, mesas y consejos interinstitucionales en garantía de derechos, con énfasis en temas relacionados con sujetos de especial protección constitucional, en particular, persona mayor, mujer y población migrante.</t>
  </si>
  <si>
    <t>1.2.6 Realizar 738 seguimientos a la amenaza y vulneración de los derechos, con énfasis en sujetos de especial protección constitucional, en particular, persona mayor, mujer y población migrante</t>
  </si>
  <si>
    <t>106.660 Intervenciones realizadas de oficio o a petición de parte por los Agentes del Ministerio Público</t>
  </si>
  <si>
    <t>97.105 Peticiones atendidas y clasificadas como Orientación</t>
  </si>
  <si>
    <t>26.115 Peticiones atendidas y clasificadas como Asistencia</t>
  </si>
  <si>
    <t>6.900 Solicitudes de conciliación y uniones maritales de hecho atendidas</t>
  </si>
  <si>
    <t>16.115 Peticiones o requerimientos ciudadanos atendidos en garantía de derecho o intervención</t>
  </si>
  <si>
    <t>6.000 Audiencias asistidas con actuaciones</t>
  </si>
  <si>
    <t>500 Expedientes de policía impulsados</t>
  </si>
  <si>
    <t>71.570 personas sensibilizadas</t>
  </si>
  <si>
    <t>2.771 espacios de participación interinstitucional con presencia y acompañamiento de la Entidad</t>
  </si>
  <si>
    <t xml:space="preserve">208 Seguimientos realizados a la amenaza y vulneración de los derechos </t>
  </si>
  <si>
    <t>17 Actividades realizadas para acercar la Entidad a la comunidad</t>
  </si>
  <si>
    <t>P.D. para Asuntos Jurisdiccionales y Víctimas.
P.D. para la Coordinación de la Gestión de Personerías Locales y sus Personerías Locales adscritas</t>
  </si>
  <si>
    <t>RICARDO HERNAN MEDINA RICO
PERSONERO DELEGADO PARA LA COORDINACIÓN DEL MINISTERIO PÚBLICO Y LOS DERECHOS HUMANOS
NATHALIA MARIA CHACON TRIANA
PERSONERA DELEGADA PARA LA COORDINACIÓN DE GESTIÓN DE PERSONERÍAS LOCALES</t>
  </si>
  <si>
    <t>HÉCTOR HERNÁN GONZÁLEZ NARANJO
DIRECTOR DE PLANEACIÓN</t>
  </si>
  <si>
    <t>1.1. Realizar 884.203 acciones que promuevan la defensa, garantía y restablecimiento de los derechos de las personas en el Distrito Capital.</t>
  </si>
  <si>
    <t>1.2. Realizar 260.709 acciones que propendan por la efectiva defensa y garantía de los derechos de los sujetos de especial protección constitucional, con énfasis en las personas mayores, mujeres y la población migrante en el Distrito Capital.</t>
  </si>
  <si>
    <t xml:space="preserve">PLAN OPERATIVO ANUAL </t>
  </si>
  <si>
    <t>Versión: 5</t>
  </si>
  <si>
    <r>
      <t xml:space="preserve">Versión: </t>
    </r>
    <r>
      <rPr>
        <sz val="10"/>
        <rFont val="Arial"/>
        <family val="2"/>
      </rPr>
      <t>5</t>
    </r>
  </si>
  <si>
    <r>
      <t xml:space="preserve">Vigencia desde: 
</t>
    </r>
    <r>
      <rPr>
        <sz val="10"/>
        <rFont val="Arial"/>
        <family val="2"/>
      </rPr>
      <t>20-01-2022</t>
    </r>
  </si>
  <si>
    <t xml:space="preserve">4.3.2 Incluir el 97,8% de las Novedades en la nómina oportunamente, para liquidación y pago </t>
  </si>
  <si>
    <t xml:space="preserve">4.3.3 Lograr el 94,5 % de usuarios internos  satisfechos con las solicitudes de servicios atendidas de la SGTH (Certificaciones laborales, bonos pensionales y autorizaciones de retiro de cesantías). </t>
  </si>
  <si>
    <t>4.3.8 Realizar 21 capacitaciones sobre los Sistemas de Gestión y Evaluación del Desempeño Laboral de la Entidad.</t>
  </si>
  <si>
    <t>4.3.7 Diseñar e implementar el 100 % del Plan Anual de Seguridad y Salud en el Trabajo de la vigencia.</t>
  </si>
  <si>
    <t>Plan Anual de Seguridad y Salud en el Trabajo diseñado y ejecutado</t>
  </si>
  <si>
    <t>SANDRA ELIZABETH GARCIA ANGARITA
Personera Delegada para la Coordinación de Prevención y Control a la Función Pública
NATHALIA MARÍA CHACÓN TRIANA
Personera Delegada para la Coordinación de gestión de Personerías Locales</t>
  </si>
  <si>
    <t>1.3. Construir e Implementar 35 estrategias que permitan incrementar la oferta y cobertura de los servicios prestados por la Entidad.</t>
  </si>
  <si>
    <t>1.3.1 Realizar 20 actividades que permitan el acercamiento de la Entidad a la Comunidad.</t>
  </si>
  <si>
    <t>1.2.4 Fortalecer el ejercicio del ministerio público ante las comisarías de familia, verificando el cumplimiento a 3.540 medidas de protección que se imponen.</t>
  </si>
  <si>
    <t>Verificaciones de cumplimiento realizadas por el Ministerio Público a las medidas de protección impuestas por las Comisarías de Familia</t>
  </si>
  <si>
    <t>∑ Número de Verificaciones de Cumplimiento Realizadas por el Ministerio Público a las Medidas de Protección impuestas por las Comisarias de Familia</t>
  </si>
  <si>
    <t>1. Identificar las medidas de protección establecidas por la Comisaría de Familia
2. Realizar las verificaciones de cumplimiento a las medidas de protección.
3. Registrar en el sistema de información misional el seguimiento realizado y las actuaciones que éste generó.</t>
  </si>
  <si>
    <t>800 verificaciones de cumplimiento realizadas por los Agentes del Ministerio Público a las medidas de protección establecidas por las Comisarias de Familia</t>
  </si>
  <si>
    <r>
      <t xml:space="preserve">Código: </t>
    </r>
    <r>
      <rPr>
        <sz val="12"/>
        <rFont val="Arial"/>
        <family val="2"/>
      </rPr>
      <t>01-FR-03</t>
    </r>
  </si>
  <si>
    <t>Inclusión de programación detallada del Plan Operativo Anual por procesos para el año 2022 en los correspondientes anexos.
Inclusión de meta nueva 5.1.2.
Modificación de magnitudes de las metas operativas 1.1.1, 1.1.2, 1.1.3, 1.1.4, 1.1.5, 1.1.8, 1.1.9, 1.1.10, 1.1.11, 1.2.1, 1.2.2, 1.2.3, 1.2.4, 1.2.5, 1.2.6, 1.3.1, 2.2.1, 2.2.2, 2.3.2, 4.5.2 y 5.3.1  y metas estratégicas 1.1, 1.2, 1.3, 2.1, 2.2, 2.3 y 3.1.
Lo anterior aprobado por el Comité Institucional de Gestión y Desempeño en sesión del 20-01-2022</t>
  </si>
  <si>
    <t>Número de productos resultado de investigaciones,entregados para la comunidad</t>
  </si>
  <si>
    <t>Productos resultado de investigaciones, entregadas para la comunidad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</si>
</sst>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dd/mm/yyyy;@"/>
    <numFmt numFmtId="166" formatCode="#,##0.0"/>
    <numFmt numFmtId="167" formatCode="0;[Red]0"/>
  </numFmts>
  <fonts count="5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Century Gothic"/>
      <family val="2"/>
    </font>
    <font>
      <sz val="11"/>
      <color indexed="8"/>
      <name val="Calibri"/>
      <family val="2"/>
    </font>
    <font>
      <b/>
      <sz val="12"/>
      <name val="Arial"/>
      <family val="2"/>
    </font>
    <font>
      <b/>
      <sz val="12"/>
      <color indexed="8"/>
      <name val="Arial"/>
      <family val="2"/>
    </font>
    <font>
      <b/>
      <sz val="12"/>
      <color theme="3" tint="-0.499984740745262"/>
      <name val="Arial"/>
      <family val="2"/>
    </font>
    <font>
      <b/>
      <sz val="14"/>
      <name val="Arial"/>
      <family val="2"/>
    </font>
    <font>
      <sz val="12"/>
      <name val="Century Gothic"/>
      <family val="2"/>
    </font>
    <font>
      <sz val="10"/>
      <name val="Arial"/>
      <family val="2"/>
    </font>
    <font>
      <sz val="10"/>
      <color rgb="FF000000"/>
      <name val="Arial1"/>
    </font>
    <font>
      <sz val="11"/>
      <color rgb="FF000000"/>
      <name val="Calibri"/>
      <family val="2"/>
    </font>
    <font>
      <sz val="10"/>
      <name val="Arial"/>
      <family val="2"/>
    </font>
    <font>
      <sz val="12"/>
      <name val="Arial"/>
      <family val="2"/>
    </font>
    <font>
      <sz val="18"/>
      <name val="Arial"/>
      <family val="2"/>
    </font>
    <font>
      <b/>
      <sz val="18"/>
      <name val="Arial"/>
      <family val="2"/>
    </font>
    <font>
      <sz val="11"/>
      <name val="Arial"/>
      <family val="2"/>
    </font>
    <font>
      <sz val="12"/>
      <color theme="1"/>
      <name val="Arial"/>
      <family val="2"/>
    </font>
    <font>
      <b/>
      <sz val="12"/>
      <color theme="1"/>
      <name val="Arial"/>
      <family val="2"/>
    </font>
    <font>
      <b/>
      <sz val="10"/>
      <color theme="3" tint="-0.499984740745262"/>
      <name val="Arial"/>
      <family val="2"/>
    </font>
    <font>
      <b/>
      <sz val="10"/>
      <color indexed="8"/>
      <name val="Arial"/>
      <family val="2"/>
    </font>
    <font>
      <b/>
      <sz val="22"/>
      <name val="Arial"/>
      <family val="2"/>
    </font>
    <font>
      <b/>
      <sz val="12"/>
      <color theme="0"/>
      <name val="Arial"/>
      <family val="2"/>
    </font>
    <font>
      <sz val="10"/>
      <color theme="0"/>
      <name val="Arial"/>
      <family val="2"/>
    </font>
    <font>
      <i/>
      <sz val="12"/>
      <name val="Arial"/>
      <family val="2"/>
    </font>
    <font>
      <sz val="16"/>
      <name val="Century Gothic"/>
      <family val="2"/>
    </font>
    <font>
      <b/>
      <sz val="11"/>
      <name val="Arial"/>
      <family val="2"/>
    </font>
    <font>
      <b/>
      <sz val="11"/>
      <color theme="0"/>
      <name val="Arial"/>
      <family val="2"/>
    </font>
    <font>
      <b/>
      <sz val="10"/>
      <name val="Arial"/>
      <family val="2"/>
    </font>
    <font>
      <sz val="20"/>
      <name val="Arial"/>
      <family val="2"/>
    </font>
    <font>
      <b/>
      <sz val="16"/>
      <name val="Arial"/>
      <family val="2"/>
    </font>
    <font>
      <sz val="14"/>
      <name val="Arial"/>
      <family val="2"/>
    </font>
    <font>
      <sz val="10"/>
      <color theme="1"/>
      <name val="Arial"/>
      <family val="2"/>
    </font>
    <font>
      <sz val="14"/>
      <color theme="1"/>
      <name val="Arial"/>
      <family val="2"/>
    </font>
    <font>
      <sz val="16"/>
      <name val="Arial"/>
      <family val="2"/>
    </font>
    <font>
      <sz val="26"/>
      <name val="Century Gothic"/>
      <family val="2"/>
    </font>
    <font>
      <b/>
      <sz val="11"/>
      <color theme="1"/>
      <name val="Arial"/>
      <family val="2"/>
    </font>
    <font>
      <u/>
      <sz val="12"/>
      <name val="Arial"/>
      <family val="2"/>
    </font>
    <font>
      <b/>
      <sz val="16"/>
      <color theme="1"/>
      <name val="Arial"/>
      <family val="2"/>
    </font>
    <font>
      <b/>
      <sz val="8"/>
      <color theme="1"/>
      <name val="Arial"/>
      <family val="2"/>
    </font>
    <font>
      <b/>
      <sz val="10"/>
      <color theme="1"/>
      <name val="Arial"/>
      <family val="2"/>
    </font>
    <font>
      <b/>
      <sz val="14"/>
      <color theme="1"/>
      <name val="Arial"/>
      <family val="2"/>
    </font>
    <font>
      <b/>
      <sz val="13"/>
      <color theme="1"/>
      <name val="Arial"/>
      <family val="2"/>
    </font>
    <font>
      <b/>
      <sz val="23"/>
      <name val="Arial"/>
      <family val="2"/>
    </font>
    <font>
      <sz val="16"/>
      <color rgb="FF000000"/>
      <name val="Calibri"/>
      <family val="2"/>
    </font>
    <font>
      <sz val="14"/>
      <color theme="0"/>
      <name val="Arial"/>
      <family val="2"/>
    </font>
  </fonts>
  <fills count="20">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indexed="22"/>
        <bgColor indexed="31"/>
      </patternFill>
    </fill>
    <fill>
      <patternFill patternType="solid">
        <fgColor theme="3" tint="0.79998168889431442"/>
        <bgColor indexed="64"/>
      </patternFill>
    </fill>
    <fill>
      <patternFill patternType="solid">
        <fgColor theme="3" tint="0.39997558519241921"/>
        <bgColor indexed="51"/>
      </patternFill>
    </fill>
    <fill>
      <patternFill patternType="solid">
        <fgColor theme="0" tint="-0.249977111117893"/>
        <bgColor indexed="64"/>
      </patternFill>
    </fill>
    <fill>
      <patternFill patternType="solid">
        <fgColor theme="0" tint="-0.34998626667073579"/>
        <bgColor rgb="FFFBD4B4"/>
      </patternFill>
    </fill>
    <fill>
      <patternFill patternType="solid">
        <fgColor theme="0" tint="-0.34998626667073579"/>
        <bgColor indexed="64"/>
      </patternFill>
    </fill>
    <fill>
      <patternFill patternType="solid">
        <fgColor theme="0" tint="-0.34998626667073579"/>
        <bgColor indexed="58"/>
      </patternFill>
    </fill>
    <fill>
      <patternFill patternType="solid">
        <fgColor theme="0" tint="-0.14999847407452621"/>
        <bgColor indexed="64"/>
      </patternFill>
    </fill>
    <fill>
      <patternFill patternType="solid">
        <fgColor theme="0" tint="-0.34998626667073579"/>
        <bgColor indexed="51"/>
      </patternFill>
    </fill>
    <fill>
      <patternFill patternType="solid">
        <fgColor theme="3" tint="-0.249977111117893"/>
        <bgColor indexed="58"/>
      </patternFill>
    </fill>
    <fill>
      <patternFill patternType="solid">
        <fgColor theme="0" tint="-0.499984740745262"/>
        <bgColor indexed="58"/>
      </patternFill>
    </fill>
    <fill>
      <patternFill patternType="solid">
        <fgColor theme="0" tint="-0.499984740745262"/>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rgb="FFD9D9D9"/>
        <bgColor indexed="64"/>
      </patternFill>
    </fill>
  </fills>
  <borders count="46">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8"/>
      </right>
      <top style="thin">
        <color indexed="8"/>
      </top>
      <bottom style="thin">
        <color indexed="8"/>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9">
    <xf numFmtId="0" fontId="0" fillId="0" borderId="0"/>
    <xf numFmtId="0" fontId="5" fillId="0" borderId="1"/>
    <xf numFmtId="0" fontId="7" fillId="0" borderId="1"/>
    <xf numFmtId="9" fontId="5" fillId="0" borderId="1" applyFill="0" applyBorder="0" applyAlignment="0" applyProtection="0"/>
    <xf numFmtId="0" fontId="5" fillId="0" borderId="1"/>
    <xf numFmtId="43" fontId="13" fillId="0" borderId="0" applyFont="0" applyFill="0" applyBorder="0" applyAlignment="0" applyProtection="0"/>
    <xf numFmtId="9" fontId="13" fillId="0" borderId="0" applyFont="0" applyFill="0" applyBorder="0" applyAlignment="0" applyProtection="0"/>
    <xf numFmtId="43" fontId="5" fillId="0" borderId="1" applyFont="0" applyFill="0" applyBorder="0" applyAlignment="0" applyProtection="0"/>
    <xf numFmtId="9" fontId="5" fillId="0" borderId="1" applyFont="0" applyFill="0" applyBorder="0" applyAlignment="0" applyProtection="0"/>
    <xf numFmtId="0" fontId="5" fillId="0" borderId="1"/>
    <xf numFmtId="0" fontId="5" fillId="0" borderId="1"/>
    <xf numFmtId="0" fontId="5" fillId="0" borderId="1"/>
    <xf numFmtId="0" fontId="5" fillId="0" borderId="1"/>
    <xf numFmtId="0" fontId="5" fillId="0" borderId="1"/>
    <xf numFmtId="0" fontId="5" fillId="0" borderId="1"/>
    <xf numFmtId="0" fontId="4" fillId="0" borderId="1"/>
    <xf numFmtId="9" fontId="14" fillId="0" borderId="1" applyBorder="0" applyProtection="0"/>
    <xf numFmtId="0" fontId="15" fillId="0" borderId="1" applyNumberFormat="0" applyBorder="0" applyProtection="0"/>
    <xf numFmtId="0" fontId="4" fillId="0" borderId="1"/>
    <xf numFmtId="0" fontId="4" fillId="0" borderId="1"/>
    <xf numFmtId="0" fontId="16" fillId="0" borderId="1"/>
    <xf numFmtId="0" fontId="3" fillId="0" borderId="1"/>
    <xf numFmtId="43" fontId="3" fillId="0" borderId="1" applyFont="0" applyFill="0" applyBorder="0" applyAlignment="0" applyProtection="0"/>
    <xf numFmtId="0" fontId="5" fillId="0" borderId="1"/>
    <xf numFmtId="43" fontId="5" fillId="0" borderId="1" applyFont="0" applyFill="0" applyBorder="0" applyAlignment="0" applyProtection="0"/>
    <xf numFmtId="43" fontId="5" fillId="0" borderId="1" applyFont="0" applyFill="0" applyBorder="0" applyAlignment="0" applyProtection="0"/>
    <xf numFmtId="0" fontId="2" fillId="0" borderId="1"/>
    <xf numFmtId="0" fontId="2" fillId="0" borderId="1"/>
    <xf numFmtId="0" fontId="2" fillId="0" borderId="1"/>
    <xf numFmtId="0" fontId="5" fillId="0" borderId="1"/>
    <xf numFmtId="0" fontId="2" fillId="0" borderId="1"/>
    <xf numFmtId="43" fontId="2" fillId="0" borderId="1" applyFont="0" applyFill="0" applyBorder="0" applyAlignment="0" applyProtection="0"/>
    <xf numFmtId="0" fontId="2" fillId="0" borderId="1"/>
    <xf numFmtId="9" fontId="2" fillId="0" borderId="1" applyFont="0" applyFill="0" applyBorder="0" applyAlignment="0" applyProtection="0"/>
    <xf numFmtId="0" fontId="5" fillId="0" borderId="1"/>
    <xf numFmtId="0" fontId="5" fillId="0" borderId="1"/>
    <xf numFmtId="43" fontId="5" fillId="0" borderId="1" applyFont="0"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0" fontId="1" fillId="0" borderId="1"/>
    <xf numFmtId="0" fontId="1" fillId="0" borderId="1"/>
    <xf numFmtId="0" fontId="1" fillId="0" borderId="1"/>
    <xf numFmtId="0" fontId="1" fillId="0" borderId="1"/>
    <xf numFmtId="43" fontId="1" fillId="0" borderId="1" applyFont="0" applyFill="0" applyBorder="0" applyAlignment="0" applyProtection="0"/>
  </cellStyleXfs>
  <cellXfs count="670">
    <xf numFmtId="0" fontId="0" fillId="0" borderId="0" xfId="0"/>
    <xf numFmtId="0" fontId="6" fillId="0" borderId="0" xfId="0" applyFont="1" applyAlignment="1">
      <alignment vertical="center"/>
    </xf>
    <xf numFmtId="0" fontId="12" fillId="0" borderId="1" xfId="0" applyFont="1" applyBorder="1" applyAlignment="1">
      <alignment vertical="center"/>
    </xf>
    <xf numFmtId="0" fontId="12" fillId="0" borderId="0" xfId="0" applyFont="1" applyAlignment="1">
      <alignment vertical="center"/>
    </xf>
    <xf numFmtId="0" fontId="12" fillId="0" borderId="1" xfId="0" applyFont="1" applyBorder="1" applyAlignment="1">
      <alignment horizontal="center" vertical="center"/>
    </xf>
    <xf numFmtId="0" fontId="12" fillId="0" borderId="0" xfId="0" applyFont="1" applyAlignment="1">
      <alignment horizontal="center" vertical="center"/>
    </xf>
    <xf numFmtId="0" fontId="6" fillId="0" borderId="1" xfId="0" applyFont="1" applyBorder="1" applyAlignment="1">
      <alignment vertical="center"/>
    </xf>
    <xf numFmtId="0" fontId="32" fillId="0" borderId="0" xfId="0" applyFont="1"/>
    <xf numFmtId="0" fontId="5" fillId="0" borderId="0" xfId="0" applyFont="1"/>
    <xf numFmtId="0" fontId="17" fillId="0" borderId="1" xfId="0" applyFont="1" applyBorder="1" applyAlignment="1">
      <alignment vertical="center"/>
    </xf>
    <xf numFmtId="0" fontId="18" fillId="0" borderId="0" xfId="0" applyFont="1"/>
    <xf numFmtId="0" fontId="34" fillId="0" borderId="2" xfId="0" applyFont="1" applyBorder="1" applyAlignment="1">
      <alignment vertical="center"/>
    </xf>
    <xf numFmtId="0" fontId="8" fillId="0" borderId="2" xfId="0" applyFont="1" applyBorder="1" applyAlignment="1" applyProtection="1">
      <alignment horizontal="justify" vertical="center" wrapText="1"/>
    </xf>
    <xf numFmtId="3" fontId="18" fillId="7" borderId="3" xfId="5" applyNumberFormat="1" applyFont="1" applyFill="1" applyBorder="1" applyAlignment="1" applyProtection="1">
      <alignment horizontal="center" vertical="center"/>
    </xf>
    <xf numFmtId="3" fontId="18" fillId="7" borderId="3" xfId="0" applyNumberFormat="1" applyFont="1" applyFill="1" applyBorder="1" applyAlignment="1" applyProtection="1">
      <alignment horizontal="center" vertical="center"/>
    </xf>
    <xf numFmtId="3" fontId="18" fillId="7" borderId="3" xfId="6" applyNumberFormat="1" applyFont="1" applyFill="1" applyBorder="1" applyAlignment="1" applyProtection="1">
      <alignment horizontal="center" vertical="center"/>
    </xf>
    <xf numFmtId="9" fontId="18" fillId="5" borderId="3" xfId="6" applyNumberFormat="1" applyFont="1" applyFill="1" applyBorder="1" applyAlignment="1" applyProtection="1">
      <alignment horizontal="center" vertical="center"/>
    </xf>
    <xf numFmtId="0" fontId="22" fillId="3" borderId="18" xfId="0" applyFont="1" applyFill="1" applyBorder="1" applyAlignment="1" applyProtection="1">
      <alignment horizontal="left"/>
    </xf>
    <xf numFmtId="0" fontId="21" fillId="3" borderId="19" xfId="0" applyFont="1" applyFill="1" applyBorder="1" applyAlignment="1" applyProtection="1">
      <alignment horizontal="center"/>
    </xf>
    <xf numFmtId="0" fontId="17" fillId="0" borderId="2" xfId="0" applyFont="1" applyBorder="1" applyAlignment="1" applyProtection="1">
      <alignment horizontal="justify" vertical="center" wrapText="1"/>
    </xf>
    <xf numFmtId="9" fontId="17" fillId="0" borderId="2" xfId="6" applyFont="1" applyBorder="1" applyAlignment="1" applyProtection="1">
      <alignment horizontal="center" vertical="center" wrapText="1"/>
    </xf>
    <xf numFmtId="9" fontId="17" fillId="0" borderId="3" xfId="0" applyNumberFormat="1" applyFont="1" applyBorder="1" applyAlignment="1" applyProtection="1">
      <alignment horizontal="center" vertical="center" wrapText="1"/>
    </xf>
    <xf numFmtId="0" fontId="20" fillId="0" borderId="6" xfId="20" applyFont="1" applyBorder="1" applyAlignment="1" applyProtection="1">
      <alignment horizontal="left" vertical="center" wrapText="1"/>
    </xf>
    <xf numFmtId="3" fontId="35" fillId="11" borderId="3" xfId="0" applyNumberFormat="1" applyFont="1" applyFill="1" applyBorder="1" applyAlignment="1" applyProtection="1">
      <alignment horizontal="center" vertical="center"/>
    </xf>
    <xf numFmtId="9" fontId="35" fillId="11" borderId="3" xfId="6" applyFont="1" applyFill="1" applyBorder="1" applyAlignment="1" applyProtection="1">
      <alignment horizontal="center" vertical="center"/>
    </xf>
    <xf numFmtId="0" fontId="17" fillId="0" borderId="1" xfId="1" applyFont="1" applyAlignment="1">
      <alignment horizontal="left" vertical="center"/>
    </xf>
    <xf numFmtId="0" fontId="17" fillId="0" borderId="3" xfId="0" applyFont="1" applyBorder="1" applyAlignment="1">
      <alignment horizontal="center" vertical="center" wrapText="1"/>
    </xf>
    <xf numFmtId="3" fontId="18" fillId="7" borderId="3" xfId="7" applyNumberFormat="1" applyFont="1" applyFill="1" applyBorder="1" applyAlignment="1" applyProtection="1">
      <alignment horizontal="center" vertical="center"/>
    </xf>
    <xf numFmtId="9" fontId="18" fillId="5" borderId="3" xfId="8" applyFont="1" applyFill="1" applyBorder="1" applyAlignment="1" applyProtection="1">
      <alignment horizontal="center" vertical="center"/>
    </xf>
    <xf numFmtId="0" fontId="12" fillId="0" borderId="1" xfId="1" applyFont="1" applyAlignment="1">
      <alignment vertical="center"/>
    </xf>
    <xf numFmtId="0" fontId="12" fillId="0" borderId="1" xfId="1" applyFont="1" applyAlignment="1">
      <alignment horizontal="center" vertical="center"/>
    </xf>
    <xf numFmtId="165" fontId="8" fillId="0" borderId="2" xfId="1" applyNumberFormat="1" applyFont="1" applyBorder="1" applyAlignment="1">
      <alignment horizontal="center" vertical="center" wrapText="1"/>
    </xf>
    <xf numFmtId="14" fontId="17" fillId="0" borderId="1" xfId="1" applyNumberFormat="1" applyFont="1" applyAlignment="1" applyProtection="1">
      <alignment vertical="center"/>
      <protection locked="0"/>
    </xf>
    <xf numFmtId="0" fontId="8" fillId="0" borderId="1" xfId="1" applyFont="1" applyAlignment="1">
      <alignment horizontal="center" vertical="center"/>
    </xf>
    <xf numFmtId="0" fontId="6" fillId="0" borderId="1" xfId="1" applyFont="1" applyAlignment="1">
      <alignment horizontal="left" vertical="center"/>
    </xf>
    <xf numFmtId="0" fontId="12" fillId="0" borderId="1" xfId="1" applyFont="1" applyAlignment="1">
      <alignment vertical="center" wrapText="1"/>
    </xf>
    <xf numFmtId="0" fontId="17" fillId="0" borderId="2" xfId="0" applyFont="1" applyBorder="1" applyAlignment="1">
      <alignment horizontal="justify" vertical="center" wrapText="1"/>
    </xf>
    <xf numFmtId="9" fontId="17" fillId="0" borderId="2" xfId="8" applyFont="1" applyBorder="1" applyAlignment="1" applyProtection="1">
      <alignment horizontal="center" vertical="center" wrapText="1"/>
    </xf>
    <xf numFmtId="3" fontId="38" fillId="7" borderId="3" xfId="7" applyNumberFormat="1" applyFont="1" applyFill="1" applyBorder="1" applyAlignment="1" applyProtection="1">
      <alignment horizontal="center" vertical="center"/>
    </xf>
    <xf numFmtId="9" fontId="38" fillId="7" borderId="3" xfId="8" applyFont="1" applyFill="1" applyBorder="1" applyAlignment="1" applyProtection="1">
      <alignment horizontal="center" vertical="center"/>
    </xf>
    <xf numFmtId="0" fontId="23" fillId="0" borderId="2" xfId="1" applyFont="1" applyBorder="1" applyAlignment="1">
      <alignment horizontal="center" vertical="top" wrapText="1"/>
    </xf>
    <xf numFmtId="0" fontId="24" fillId="0" borderId="2" xfId="1" applyFont="1" applyBorder="1" applyAlignment="1">
      <alignment horizontal="center" vertical="top" wrapText="1"/>
    </xf>
    <xf numFmtId="0" fontId="23" fillId="7" borderId="2" xfId="1" applyFont="1" applyFill="1" applyBorder="1" applyAlignment="1">
      <alignment horizontal="center" vertical="top" wrapText="1"/>
    </xf>
    <xf numFmtId="0" fontId="24" fillId="7" borderId="2" xfId="1" applyFont="1" applyFill="1" applyBorder="1" applyAlignment="1">
      <alignment horizontal="center" vertical="top" wrapText="1"/>
    </xf>
    <xf numFmtId="3" fontId="35" fillId="11" borderId="31" xfId="0" applyNumberFormat="1" applyFont="1" applyFill="1" applyBorder="1" applyAlignment="1" applyProtection="1">
      <alignment horizontal="center" vertical="center"/>
    </xf>
    <xf numFmtId="9" fontId="17" fillId="0" borderId="3" xfId="8" applyFont="1" applyBorder="1" applyAlignment="1" applyProtection="1">
      <alignment horizontal="center" vertical="center" wrapText="1"/>
    </xf>
    <xf numFmtId="9" fontId="35" fillId="11" borderId="31" xfId="6" applyFont="1" applyFill="1" applyBorder="1" applyAlignment="1" applyProtection="1">
      <alignment horizontal="center" vertical="center"/>
    </xf>
    <xf numFmtId="0" fontId="17" fillId="0" borderId="2" xfId="34" applyFont="1" applyBorder="1" applyAlignment="1" applyProtection="1">
      <alignment horizontal="left" vertical="center" wrapText="1"/>
      <protection locked="0"/>
    </xf>
    <xf numFmtId="0" fontId="20" fillId="0" borderId="6" xfId="34" applyFont="1" applyBorder="1" applyAlignment="1">
      <alignment horizontal="left" vertical="center"/>
    </xf>
    <xf numFmtId="9" fontId="35" fillId="11" borderId="2" xfId="6" applyFont="1" applyFill="1" applyBorder="1" applyAlignment="1" applyProtection="1">
      <alignment horizontal="center" vertical="center"/>
    </xf>
    <xf numFmtId="1" fontId="35" fillId="11" borderId="3" xfId="6" applyNumberFormat="1" applyFont="1" applyFill="1" applyBorder="1" applyAlignment="1" applyProtection="1">
      <alignment horizontal="center" vertical="center"/>
    </xf>
    <xf numFmtId="9" fontId="18" fillId="7" borderId="3" xfId="6" applyFont="1" applyFill="1" applyBorder="1" applyAlignment="1" applyProtection="1">
      <alignment horizontal="center" vertical="center"/>
    </xf>
    <xf numFmtId="9" fontId="35" fillId="7" borderId="3" xfId="6" applyFont="1" applyFill="1" applyBorder="1" applyAlignment="1" applyProtection="1">
      <alignment horizontal="center" vertical="center"/>
    </xf>
    <xf numFmtId="3" fontId="35" fillId="7" borderId="3" xfId="7" applyNumberFormat="1" applyFont="1" applyFill="1" applyBorder="1" applyAlignment="1" applyProtection="1">
      <alignment horizontal="center" vertical="center"/>
    </xf>
    <xf numFmtId="0" fontId="17" fillId="0" borderId="2"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9" fontId="19" fillId="4" borderId="9" xfId="3" applyFont="1" applyFill="1" applyBorder="1" applyAlignment="1" applyProtection="1">
      <alignment horizontal="center" vertical="center"/>
    </xf>
    <xf numFmtId="0" fontId="17" fillId="0" borderId="6" xfId="34" applyFont="1" applyBorder="1" applyAlignment="1" applyProtection="1">
      <alignment horizontal="left" vertical="center" wrapText="1"/>
      <protection locked="0"/>
    </xf>
    <xf numFmtId="0" fontId="17" fillId="2" borderId="2" xfId="1" applyFont="1" applyFill="1" applyBorder="1" applyAlignment="1" applyProtection="1">
      <alignment horizontal="center" vertical="center" wrapText="1"/>
      <protection locked="0"/>
    </xf>
    <xf numFmtId="0" fontId="23" fillId="0" borderId="2" xfId="1" applyFont="1" applyFill="1" applyBorder="1" applyAlignment="1" applyProtection="1">
      <alignment horizontal="center" vertical="top" wrapText="1"/>
    </xf>
    <xf numFmtId="0" fontId="24" fillId="0" borderId="2" xfId="1" applyFont="1" applyFill="1" applyBorder="1" applyAlignment="1" applyProtection="1">
      <alignment horizontal="center" vertical="top" wrapText="1"/>
    </xf>
    <xf numFmtId="0" fontId="23" fillId="7" borderId="2" xfId="1" applyFont="1" applyFill="1" applyBorder="1" applyAlignment="1" applyProtection="1">
      <alignment horizontal="center" vertical="top" wrapText="1"/>
    </xf>
    <xf numFmtId="0" fontId="24" fillId="7" borderId="2" xfId="1" applyFont="1" applyFill="1" applyBorder="1" applyAlignment="1" applyProtection="1">
      <alignment horizontal="center" vertical="top" wrapText="1"/>
    </xf>
    <xf numFmtId="0" fontId="8" fillId="7" borderId="2" xfId="1" applyFont="1" applyFill="1" applyBorder="1" applyAlignment="1" applyProtection="1">
      <alignment vertical="center" wrapText="1"/>
    </xf>
    <xf numFmtId="0" fontId="20" fillId="0" borderId="6" xfId="34" applyFont="1" applyBorder="1" applyAlignment="1" applyProtection="1">
      <alignment horizontal="left" vertical="center"/>
    </xf>
    <xf numFmtId="165" fontId="8" fillId="0" borderId="2" xfId="1" applyNumberFormat="1" applyFont="1" applyFill="1" applyBorder="1" applyAlignment="1" applyProtection="1">
      <alignment horizontal="center" vertical="center" wrapText="1"/>
    </xf>
    <xf numFmtId="3" fontId="18" fillId="7" borderId="3" xfId="8" applyNumberFormat="1" applyFont="1" applyFill="1" applyBorder="1" applyAlignment="1" applyProtection="1">
      <alignment horizontal="center" vertical="center"/>
    </xf>
    <xf numFmtId="0" fontId="20" fillId="0" borderId="6" xfId="34" applyFont="1" applyBorder="1" applyAlignment="1" applyProtection="1">
      <alignment horizontal="left" vertical="center" wrapText="1"/>
    </xf>
    <xf numFmtId="1" fontId="35" fillId="18" borderId="3" xfId="6" applyNumberFormat="1" applyFont="1" applyFill="1" applyBorder="1" applyAlignment="1" applyProtection="1">
      <alignment horizontal="center" vertical="center"/>
    </xf>
    <xf numFmtId="3" fontId="35" fillId="7" borderId="3" xfId="8" applyNumberFormat="1" applyFont="1" applyFill="1" applyBorder="1" applyAlignment="1" applyProtection="1">
      <alignment horizontal="center" vertical="center"/>
    </xf>
    <xf numFmtId="9" fontId="35" fillId="18" borderId="3" xfId="6" applyFont="1" applyFill="1" applyBorder="1" applyAlignment="1" applyProtection="1">
      <alignment horizontal="center" vertical="center"/>
    </xf>
    <xf numFmtId="3" fontId="17" fillId="7" borderId="3" xfId="8" applyNumberFormat="1" applyFont="1" applyFill="1" applyBorder="1" applyAlignment="1" applyProtection="1">
      <alignment horizontal="center" vertical="center"/>
    </xf>
    <xf numFmtId="9" fontId="17" fillId="5" borderId="3" xfId="8" applyFont="1" applyFill="1" applyBorder="1" applyAlignment="1" applyProtection="1">
      <alignment horizontal="center" vertical="center"/>
    </xf>
    <xf numFmtId="9" fontId="8" fillId="4" borderId="9" xfId="3" applyFont="1" applyFill="1" applyBorder="1" applyAlignment="1" applyProtection="1">
      <alignment horizontal="center" vertical="center"/>
    </xf>
    <xf numFmtId="1" fontId="17" fillId="0" borderId="2" xfId="8" applyNumberFormat="1" applyFont="1" applyBorder="1" applyAlignment="1" applyProtection="1">
      <alignment horizontal="center" vertical="center" wrapText="1"/>
    </xf>
    <xf numFmtId="9" fontId="35" fillId="7" borderId="3" xfId="8" applyFont="1" applyFill="1" applyBorder="1" applyAlignment="1" applyProtection="1">
      <alignment horizontal="center" vertical="center"/>
    </xf>
    <xf numFmtId="0" fontId="35" fillId="0" borderId="3" xfId="36" applyNumberFormat="1" applyFont="1" applyBorder="1" applyAlignment="1" applyProtection="1">
      <alignment horizontal="center" vertical="center" wrapText="1"/>
      <protection locked="0"/>
    </xf>
    <xf numFmtId="0" fontId="35" fillId="0" borderId="3" xfId="36" applyNumberFormat="1" applyFont="1" applyFill="1" applyBorder="1" applyAlignment="1" applyProtection="1">
      <alignment horizontal="center" vertical="center" wrapText="1"/>
      <protection locked="0"/>
    </xf>
    <xf numFmtId="1" fontId="35" fillId="7" borderId="3" xfId="38" applyNumberFormat="1" applyFont="1" applyFill="1" applyBorder="1" applyAlignment="1" applyProtection="1">
      <alignment horizontal="center" vertical="center"/>
    </xf>
    <xf numFmtId="3" fontId="18" fillId="7" borderId="2" xfId="8" applyNumberFormat="1" applyFont="1" applyFill="1" applyBorder="1" applyAlignment="1" applyProtection="1">
      <alignment vertical="center"/>
    </xf>
    <xf numFmtId="9" fontId="18" fillId="5" borderId="2" xfId="8" applyFont="1" applyFill="1" applyBorder="1" applyAlignment="1" applyProtection="1">
      <alignment vertical="center"/>
    </xf>
    <xf numFmtId="3" fontId="18" fillId="7" borderId="3" xfId="36" applyNumberFormat="1" applyFont="1" applyFill="1" applyBorder="1" applyAlignment="1" applyProtection="1">
      <alignment horizontal="center" vertical="center"/>
    </xf>
    <xf numFmtId="3" fontId="35" fillId="7" borderId="3" xfId="36" applyNumberFormat="1" applyFont="1" applyFill="1" applyBorder="1" applyAlignment="1" applyProtection="1">
      <alignment horizontal="center" vertical="center"/>
    </xf>
    <xf numFmtId="9" fontId="35" fillId="0" borderId="3" xfId="36" applyNumberFormat="1" applyFont="1" applyBorder="1" applyAlignment="1" applyProtection="1">
      <alignment horizontal="center" vertical="center" wrapText="1"/>
      <protection locked="0"/>
    </xf>
    <xf numFmtId="4" fontId="35" fillId="7" borderId="3" xfId="36" applyNumberFormat="1" applyFont="1" applyFill="1" applyBorder="1" applyAlignment="1" applyProtection="1">
      <alignment horizontal="center" vertical="center"/>
    </xf>
    <xf numFmtId="0" fontId="0" fillId="0" borderId="0" xfId="0" applyProtection="1"/>
    <xf numFmtId="0" fontId="32" fillId="0" borderId="2" xfId="0" applyFont="1" applyBorder="1" applyAlignment="1" applyProtection="1">
      <alignment vertical="center"/>
    </xf>
    <xf numFmtId="0" fontId="32" fillId="0" borderId="41" xfId="0" applyFont="1" applyBorder="1" applyAlignment="1" applyProtection="1">
      <alignment horizontal="left" vertical="center" wrapText="1"/>
    </xf>
    <xf numFmtId="0" fontId="0" fillId="0" borderId="34" xfId="0" applyBorder="1" applyProtection="1"/>
    <xf numFmtId="0" fontId="0" fillId="0" borderId="1" xfId="0" applyBorder="1" applyProtection="1"/>
    <xf numFmtId="0" fontId="0" fillId="0" borderId="36" xfId="0" applyBorder="1" applyProtection="1"/>
    <xf numFmtId="0" fontId="42" fillId="0" borderId="34" xfId="0" applyFont="1" applyBorder="1" applyAlignment="1" applyProtection="1">
      <alignment vertical="center"/>
    </xf>
    <xf numFmtId="0" fontId="42" fillId="0" borderId="1" xfId="0" applyFont="1" applyBorder="1" applyAlignment="1" applyProtection="1">
      <alignment vertical="center"/>
    </xf>
    <xf numFmtId="0" fontId="42" fillId="0" borderId="36" xfId="0" applyFont="1" applyBorder="1" applyAlignment="1" applyProtection="1">
      <alignment vertical="center"/>
    </xf>
    <xf numFmtId="0" fontId="43" fillId="0" borderId="34" xfId="0" applyFont="1" applyBorder="1" applyAlignment="1" applyProtection="1">
      <alignment vertical="center"/>
    </xf>
    <xf numFmtId="0" fontId="30" fillId="0" borderId="36" xfId="0" applyFont="1" applyFill="1" applyBorder="1" applyAlignment="1" applyProtection="1">
      <alignment vertical="center" wrapText="1"/>
    </xf>
    <xf numFmtId="0" fontId="43" fillId="0" borderId="36" xfId="0" applyFont="1" applyBorder="1" applyAlignment="1" applyProtection="1">
      <alignment vertical="center"/>
    </xf>
    <xf numFmtId="0" fontId="40" fillId="0" borderId="34" xfId="0" applyFont="1" applyBorder="1" applyAlignment="1" applyProtection="1"/>
    <xf numFmtId="14" fontId="17" fillId="0" borderId="2" xfId="0" applyNumberFormat="1" applyFont="1" applyBorder="1" applyAlignment="1" applyProtection="1">
      <alignment horizontal="center" vertical="center" wrapText="1"/>
    </xf>
    <xf numFmtId="0" fontId="0" fillId="0" borderId="34" xfId="0" applyBorder="1" applyAlignment="1" applyProtection="1">
      <alignment horizontal="left" vertical="center"/>
    </xf>
    <xf numFmtId="0" fontId="40" fillId="0" borderId="1" xfId="0" applyFont="1" applyBorder="1" applyAlignment="1" applyProtection="1">
      <alignment vertical="center"/>
    </xf>
    <xf numFmtId="0" fontId="0" fillId="0" borderId="1" xfId="0" applyBorder="1" applyAlignment="1" applyProtection="1">
      <alignment vertical="center"/>
    </xf>
    <xf numFmtId="0" fontId="40" fillId="0" borderId="36" xfId="0" applyFont="1" applyBorder="1" applyAlignment="1" applyProtection="1">
      <alignment vertical="center"/>
    </xf>
    <xf numFmtId="0" fontId="0" fillId="0" borderId="36" xfId="0" applyBorder="1" applyAlignment="1" applyProtection="1">
      <alignment horizontal="center"/>
    </xf>
    <xf numFmtId="0" fontId="40" fillId="0" borderId="34" xfId="0" applyFont="1" applyBorder="1" applyAlignment="1" applyProtection="1">
      <alignment vertical="center"/>
    </xf>
    <xf numFmtId="0" fontId="0" fillId="0" borderId="1" xfId="0" applyBorder="1" applyAlignment="1" applyProtection="1"/>
    <xf numFmtId="0" fontId="0" fillId="0" borderId="34" xfId="0" applyBorder="1" applyAlignment="1" applyProtection="1">
      <alignment vertical="center"/>
    </xf>
    <xf numFmtId="0" fontId="0" fillId="0" borderId="36" xfId="0" applyBorder="1" applyAlignment="1" applyProtection="1">
      <alignment vertical="center"/>
    </xf>
    <xf numFmtId="0" fontId="0" fillId="0" borderId="36" xfId="0" applyBorder="1" applyAlignment="1" applyProtection="1"/>
    <xf numFmtId="0" fontId="0" fillId="0" borderId="34" xfId="0" applyBorder="1" applyAlignment="1" applyProtection="1">
      <alignment wrapText="1"/>
    </xf>
    <xf numFmtId="0" fontId="0" fillId="0" borderId="1" xfId="0" applyBorder="1" applyAlignment="1" applyProtection="1">
      <alignment wrapText="1"/>
    </xf>
    <xf numFmtId="0" fontId="0" fillId="0" borderId="34" xfId="0" applyBorder="1" applyAlignment="1" applyProtection="1"/>
    <xf numFmtId="0" fontId="21" fillId="0" borderId="2" xfId="0" applyFont="1" applyBorder="1" applyAlignment="1" applyProtection="1">
      <alignment horizontal="center" vertical="center" wrapText="1"/>
    </xf>
    <xf numFmtId="0" fontId="0" fillId="0" borderId="35" xfId="0" applyBorder="1" applyAlignment="1" applyProtection="1"/>
    <xf numFmtId="0" fontId="0" fillId="0" borderId="27" xfId="0" applyBorder="1" applyAlignment="1" applyProtection="1"/>
    <xf numFmtId="0" fontId="0" fillId="0" borderId="23" xfId="0" applyBorder="1" applyAlignment="1" applyProtection="1"/>
    <xf numFmtId="0" fontId="40" fillId="0" borderId="1" xfId="0" applyFont="1" applyBorder="1" applyAlignment="1" applyProtection="1"/>
    <xf numFmtId="0" fontId="40" fillId="0" borderId="1" xfId="0" applyFont="1" applyBorder="1" applyProtection="1"/>
    <xf numFmtId="0" fontId="40" fillId="0" borderId="1" xfId="0" applyFont="1" applyBorder="1" applyAlignment="1" applyProtection="1">
      <alignment horizontal="center"/>
    </xf>
    <xf numFmtId="0" fontId="44" fillId="0" borderId="1" xfId="0" applyFont="1" applyBorder="1" applyAlignment="1" applyProtection="1"/>
    <xf numFmtId="0" fontId="45" fillId="0" borderId="1" xfId="0" applyFont="1" applyFill="1" applyBorder="1" applyAlignment="1" applyProtection="1">
      <alignment vertical="center"/>
    </xf>
    <xf numFmtId="0" fontId="21" fillId="0" borderId="1" xfId="0" applyFont="1" applyFill="1" applyBorder="1" applyAlignment="1" applyProtection="1">
      <alignment horizontal="center" vertical="center" wrapText="1"/>
    </xf>
    <xf numFmtId="0" fontId="12" fillId="0" borderId="0" xfId="0" applyFont="1" applyAlignment="1" applyProtection="1">
      <alignment vertical="center"/>
    </xf>
    <xf numFmtId="0" fontId="12" fillId="0" borderId="0" xfId="0" applyFont="1" applyAlignment="1" applyProtection="1">
      <alignment horizontal="center" vertical="center"/>
    </xf>
    <xf numFmtId="0" fontId="6" fillId="0" borderId="0" xfId="0" applyFont="1" applyAlignment="1" applyProtection="1">
      <alignment vertical="center"/>
    </xf>
    <xf numFmtId="0" fontId="12" fillId="0" borderId="1" xfId="0" applyFont="1" applyBorder="1" applyAlignment="1" applyProtection="1">
      <alignment vertical="center"/>
    </xf>
    <xf numFmtId="0" fontId="12" fillId="0" borderId="1" xfId="0" applyFont="1" applyBorder="1" applyAlignment="1" applyProtection="1">
      <alignment horizontal="center" vertical="center"/>
    </xf>
    <xf numFmtId="0" fontId="6" fillId="0" borderId="1" xfId="0" applyFont="1" applyBorder="1" applyAlignment="1" applyProtection="1">
      <alignment vertical="center"/>
    </xf>
    <xf numFmtId="3" fontId="17" fillId="0" borderId="2" xfId="0" applyNumberFormat="1"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7" fillId="0" borderId="3" xfId="0" applyNumberFormat="1" applyFont="1" applyBorder="1" applyAlignment="1" applyProtection="1">
      <alignment horizontal="justify" vertical="center" wrapText="1"/>
    </xf>
    <xf numFmtId="0" fontId="17" fillId="0" borderId="31" xfId="0" applyFont="1" applyBorder="1" applyAlignment="1" applyProtection="1">
      <alignment horizontal="justify" vertical="center" wrapText="1"/>
    </xf>
    <xf numFmtId="0" fontId="17" fillId="0" borderId="6" xfId="20" applyFont="1" applyBorder="1" applyAlignment="1" applyProtection="1">
      <alignment horizontal="justify" vertical="center" wrapText="1"/>
    </xf>
    <xf numFmtId="3" fontId="35" fillId="0" borderId="3" xfId="5" applyNumberFormat="1" applyFont="1" applyBorder="1" applyAlignment="1" applyProtection="1">
      <alignment horizontal="center" vertical="center" wrapText="1"/>
    </xf>
    <xf numFmtId="9" fontId="35" fillId="0" borderId="3" xfId="6" applyFont="1" applyBorder="1" applyAlignment="1" applyProtection="1">
      <alignment horizontal="center" vertical="center" wrapText="1"/>
    </xf>
    <xf numFmtId="0" fontId="17" fillId="0" borderId="31" xfId="20" applyFont="1" applyBorder="1" applyAlignment="1" applyProtection="1">
      <alignment horizontal="justify" vertical="center" wrapText="1"/>
    </xf>
    <xf numFmtId="9" fontId="17" fillId="0" borderId="2" xfId="8" applyFont="1" applyFill="1" applyBorder="1" applyAlignment="1" applyProtection="1">
      <alignment horizontal="center" vertical="center" wrapText="1"/>
    </xf>
    <xf numFmtId="0" fontId="17" fillId="0" borderId="2" xfId="20" applyFont="1" applyBorder="1" applyAlignment="1" applyProtection="1">
      <alignment horizontal="justify" vertical="center" wrapText="1"/>
    </xf>
    <xf numFmtId="0" fontId="17" fillId="0" borderId="12" xfId="0" applyFont="1" applyBorder="1" applyAlignment="1" applyProtection="1">
      <alignment horizontal="justify" vertical="center" wrapText="1"/>
    </xf>
    <xf numFmtId="0" fontId="17" fillId="0" borderId="10" xfId="20" applyFont="1" applyBorder="1" applyAlignment="1" applyProtection="1">
      <alignment horizontal="justify" vertical="center" wrapText="1"/>
    </xf>
    <xf numFmtId="0" fontId="17" fillId="18" borderId="2" xfId="0" applyFont="1" applyFill="1" applyBorder="1" applyAlignment="1" applyProtection="1">
      <alignment horizontal="justify" vertical="center" wrapText="1"/>
    </xf>
    <xf numFmtId="9" fontId="17" fillId="18" borderId="2" xfId="8" applyFont="1" applyFill="1" applyBorder="1" applyAlignment="1" applyProtection="1">
      <alignment horizontal="center" vertical="center" wrapText="1"/>
    </xf>
    <xf numFmtId="3" fontId="17" fillId="18" borderId="2" xfId="0" applyNumberFormat="1" applyFont="1" applyFill="1" applyBorder="1" applyAlignment="1" applyProtection="1">
      <alignment horizontal="center" vertical="center" wrapText="1"/>
    </xf>
    <xf numFmtId="0" fontId="17" fillId="18" borderId="3" xfId="0" applyFont="1" applyFill="1" applyBorder="1" applyAlignment="1" applyProtection="1">
      <alignment horizontal="center" vertical="center" wrapText="1"/>
    </xf>
    <xf numFmtId="0" fontId="17" fillId="18" borderId="3" xfId="0" applyFont="1" applyFill="1" applyBorder="1" applyAlignment="1" applyProtection="1">
      <alignment horizontal="justify" vertical="center" wrapText="1"/>
    </xf>
    <xf numFmtId="0" fontId="17" fillId="18" borderId="31" xfId="0" applyFont="1" applyFill="1" applyBorder="1" applyAlignment="1" applyProtection="1">
      <alignment horizontal="justify" vertical="center" wrapText="1"/>
    </xf>
    <xf numFmtId="0" fontId="17" fillId="18" borderId="6" xfId="20" applyFont="1" applyFill="1" applyBorder="1" applyAlignment="1" applyProtection="1">
      <alignment horizontal="justify" vertical="center" wrapText="1"/>
    </xf>
    <xf numFmtId="3" fontId="35" fillId="18" borderId="3" xfId="5" applyNumberFormat="1" applyFont="1" applyFill="1" applyBorder="1" applyAlignment="1" applyProtection="1">
      <alignment horizontal="center" vertical="center" wrapText="1"/>
    </xf>
    <xf numFmtId="0" fontId="17" fillId="0" borderId="11" xfId="20" applyFont="1" applyBorder="1" applyAlignment="1" applyProtection="1">
      <alignment horizontal="justify" vertical="center" wrapText="1"/>
    </xf>
    <xf numFmtId="9" fontId="17" fillId="0" borderId="2" xfId="0" applyNumberFormat="1" applyFont="1" applyBorder="1" applyAlignment="1" applyProtection="1">
      <alignment horizontal="center" vertical="center" wrapText="1"/>
    </xf>
    <xf numFmtId="0" fontId="35" fillId="0" borderId="2" xfId="0" applyFont="1" applyBorder="1" applyAlignment="1" applyProtection="1">
      <alignment horizontal="justify" vertical="top" wrapText="1" readingOrder="1"/>
    </xf>
    <xf numFmtId="9" fontId="17" fillId="18" borderId="2" xfId="6" applyFont="1" applyFill="1" applyBorder="1" applyAlignment="1" applyProtection="1">
      <alignment horizontal="center" vertical="center" wrapText="1"/>
    </xf>
    <xf numFmtId="9" fontId="17" fillId="18" borderId="2" xfId="0" applyNumberFormat="1" applyFont="1" applyFill="1" applyBorder="1" applyAlignment="1" applyProtection="1">
      <alignment horizontal="center" vertical="center" wrapText="1"/>
    </xf>
    <xf numFmtId="0" fontId="17" fillId="18" borderId="2" xfId="0" applyNumberFormat="1" applyFont="1" applyFill="1" applyBorder="1" applyAlignment="1" applyProtection="1">
      <alignment horizontal="justify" vertical="center" wrapText="1"/>
    </xf>
    <xf numFmtId="0" fontId="17" fillId="18" borderId="2" xfId="20" applyFont="1" applyFill="1" applyBorder="1" applyAlignment="1" applyProtection="1">
      <alignment horizontal="justify" vertical="center" wrapText="1"/>
    </xf>
    <xf numFmtId="9" fontId="35" fillId="18" borderId="2" xfId="5" applyNumberFormat="1" applyFont="1" applyFill="1" applyBorder="1" applyAlignment="1" applyProtection="1">
      <alignment horizontal="center" vertical="center" wrapText="1"/>
    </xf>
    <xf numFmtId="0" fontId="17" fillId="18" borderId="2" xfId="0" applyNumberFormat="1" applyFont="1" applyFill="1" applyBorder="1" applyAlignment="1" applyProtection="1">
      <alignment horizontal="center" vertical="center" wrapText="1"/>
    </xf>
    <xf numFmtId="9" fontId="17" fillId="0" borderId="2" xfId="6" applyFont="1" applyBorder="1" applyAlignment="1" applyProtection="1">
      <alignment horizontal="justify" vertical="center" wrapText="1"/>
    </xf>
    <xf numFmtId="9" fontId="35" fillId="0" borderId="3" xfId="5" applyNumberFormat="1" applyFont="1" applyBorder="1" applyAlignment="1" applyProtection="1">
      <alignment horizontal="center" vertical="center" wrapText="1"/>
    </xf>
    <xf numFmtId="0" fontId="17" fillId="0" borderId="3" xfId="0" applyNumberFormat="1" applyFont="1" applyBorder="1" applyAlignment="1" applyProtection="1">
      <alignment horizontal="center" vertical="center" wrapText="1"/>
    </xf>
    <xf numFmtId="1" fontId="17" fillId="0" borderId="2" xfId="0" applyNumberFormat="1" applyFont="1" applyBorder="1" applyAlignment="1" applyProtection="1">
      <alignment horizontal="center" vertical="center" wrapText="1"/>
    </xf>
    <xf numFmtId="1" fontId="35" fillId="0" borderId="3" xfId="5" applyNumberFormat="1" applyFont="1" applyBorder="1" applyAlignment="1" applyProtection="1">
      <alignment horizontal="center" vertical="center" wrapText="1"/>
    </xf>
    <xf numFmtId="9" fontId="17" fillId="0" borderId="3" xfId="6" applyFont="1" applyBorder="1" applyAlignment="1" applyProtection="1">
      <alignment horizontal="center" vertical="center" wrapText="1"/>
    </xf>
    <xf numFmtId="9" fontId="17" fillId="0" borderId="3" xfId="6" applyFont="1" applyBorder="1" applyAlignment="1" applyProtection="1">
      <alignment horizontal="justify" vertical="center" wrapText="1"/>
    </xf>
    <xf numFmtId="9" fontId="17" fillId="18" borderId="3" xfId="0" applyNumberFormat="1" applyFont="1" applyFill="1" applyBorder="1" applyAlignment="1" applyProtection="1">
      <alignment horizontal="center" vertical="center" wrapText="1"/>
    </xf>
    <xf numFmtId="0" fontId="17" fillId="18" borderId="3" xfId="9" applyFont="1" applyFill="1" applyBorder="1" applyAlignment="1" applyProtection="1">
      <alignment horizontal="justify" vertical="center" wrapText="1"/>
    </xf>
    <xf numFmtId="0" fontId="17" fillId="18" borderId="31" xfId="9" applyFont="1" applyFill="1" applyBorder="1" applyAlignment="1" applyProtection="1">
      <alignment horizontal="justify" vertical="center" wrapText="1"/>
    </xf>
    <xf numFmtId="0" fontId="17" fillId="18" borderId="2" xfId="34" applyFont="1" applyFill="1" applyBorder="1" applyAlignment="1" applyProtection="1">
      <alignment horizontal="justify" vertical="center" wrapText="1"/>
    </xf>
    <xf numFmtId="9" fontId="35" fillId="18" borderId="3" xfId="5" applyNumberFormat="1" applyFont="1" applyFill="1" applyBorder="1" applyAlignment="1" applyProtection="1">
      <alignment horizontal="center" vertical="center" wrapText="1"/>
    </xf>
    <xf numFmtId="9" fontId="17" fillId="18" borderId="2" xfId="34" applyNumberFormat="1" applyFont="1" applyFill="1" applyBorder="1" applyAlignment="1" applyProtection="1">
      <alignment horizontal="center" vertical="center" wrapText="1"/>
    </xf>
    <xf numFmtId="0" fontId="17" fillId="18" borderId="2" xfId="9" applyFont="1" applyFill="1" applyBorder="1" applyAlignment="1" applyProtection="1">
      <alignment horizontal="justify" vertical="center" wrapText="1"/>
    </xf>
    <xf numFmtId="0" fontId="17" fillId="18" borderId="3" xfId="9" applyFont="1" applyFill="1" applyBorder="1" applyAlignment="1" applyProtection="1">
      <alignment horizontal="center" vertical="center" wrapText="1"/>
    </xf>
    <xf numFmtId="1" fontId="35" fillId="18" borderId="3" xfId="5" applyNumberFormat="1" applyFont="1" applyFill="1" applyBorder="1" applyAlignment="1" applyProtection="1">
      <alignment horizontal="center" vertical="center" wrapText="1"/>
    </xf>
    <xf numFmtId="10" fontId="17" fillId="0" borderId="3" xfId="0" applyNumberFormat="1" applyFont="1" applyBorder="1" applyAlignment="1" applyProtection="1">
      <alignment horizontal="center" vertical="center" wrapText="1"/>
    </xf>
    <xf numFmtId="0" fontId="17" fillId="0" borderId="3" xfId="0" applyFont="1" applyBorder="1" applyAlignment="1" applyProtection="1">
      <alignment horizontal="justify" vertical="center" wrapText="1"/>
    </xf>
    <xf numFmtId="0" fontId="17" fillId="0" borderId="3" xfId="32" applyFont="1" applyBorder="1" applyAlignment="1" applyProtection="1">
      <alignment horizontal="justify" vertical="center" wrapText="1"/>
    </xf>
    <xf numFmtId="1" fontId="38" fillId="0" borderId="3" xfId="36" applyNumberFormat="1" applyFont="1" applyFill="1" applyBorder="1" applyAlignment="1" applyProtection="1">
      <alignment horizontal="center" vertical="center" wrapText="1"/>
    </xf>
    <xf numFmtId="0" fontId="17" fillId="0" borderId="6" xfId="34" applyFont="1" applyBorder="1" applyAlignment="1" applyProtection="1">
      <alignment horizontal="justify" vertical="center" wrapText="1"/>
    </xf>
    <xf numFmtId="9" fontId="17" fillId="0" borderId="3" xfId="36" applyNumberFormat="1" applyFont="1" applyBorder="1" applyAlignment="1" applyProtection="1">
      <alignment horizontal="center" vertical="center" wrapText="1"/>
    </xf>
    <xf numFmtId="1" fontId="17" fillId="18" borderId="2" xfId="0" applyNumberFormat="1" applyFont="1" applyFill="1" applyBorder="1" applyAlignment="1" applyProtection="1">
      <alignment horizontal="center" vertical="center" wrapText="1"/>
    </xf>
    <xf numFmtId="167" fontId="17" fillId="18" borderId="3" xfId="36" applyNumberFormat="1" applyFont="1" applyFill="1" applyBorder="1" applyAlignment="1" applyProtection="1">
      <alignment horizontal="center" vertical="center" wrapText="1"/>
    </xf>
    <xf numFmtId="0" fontId="17" fillId="18" borderId="2" xfId="0" applyFont="1" applyFill="1" applyBorder="1" applyAlignment="1" applyProtection="1">
      <alignment horizontal="center" vertical="center" wrapText="1"/>
    </xf>
    <xf numFmtId="0" fontId="17" fillId="18" borderId="3" xfId="36" applyNumberFormat="1" applyFont="1" applyFill="1" applyBorder="1" applyAlignment="1" applyProtection="1">
      <alignment horizontal="center" vertical="center" wrapText="1"/>
    </xf>
    <xf numFmtId="0" fontId="17" fillId="0" borderId="3" xfId="34" applyFont="1" applyBorder="1" applyAlignment="1" applyProtection="1">
      <alignment horizontal="justify" vertical="center" wrapText="1"/>
    </xf>
    <xf numFmtId="0" fontId="35" fillId="18" borderId="2" xfId="0" applyFont="1" applyFill="1" applyBorder="1" applyAlignment="1" applyProtection="1">
      <alignment horizontal="justify" vertical="top" wrapText="1" readingOrder="1"/>
    </xf>
    <xf numFmtId="0" fontId="17" fillId="18" borderId="6" xfId="34" applyFont="1" applyFill="1" applyBorder="1" applyAlignment="1" applyProtection="1">
      <alignment horizontal="justify" vertical="center" wrapText="1"/>
    </xf>
    <xf numFmtId="1" fontId="17" fillId="18" borderId="3" xfId="5" applyNumberFormat="1" applyFont="1" applyFill="1" applyBorder="1" applyAlignment="1" applyProtection="1">
      <alignment horizontal="center" vertical="center" wrapText="1"/>
    </xf>
    <xf numFmtId="0" fontId="17" fillId="0" borderId="3" xfId="36" applyNumberFormat="1" applyFont="1" applyBorder="1" applyAlignment="1" applyProtection="1">
      <alignment horizontal="center" vertical="center" wrapText="1"/>
    </xf>
    <xf numFmtId="0" fontId="12" fillId="0" borderId="1" xfId="1" applyFont="1" applyBorder="1" applyAlignment="1" applyProtection="1">
      <alignment horizontal="center" vertical="center"/>
    </xf>
    <xf numFmtId="0" fontId="12" fillId="0" borderId="1" xfId="1" applyFont="1" applyBorder="1" applyAlignment="1" applyProtection="1">
      <alignment vertical="center"/>
    </xf>
    <xf numFmtId="0" fontId="22" fillId="3" borderId="32" xfId="0" applyFont="1" applyFill="1" applyBorder="1" applyAlignment="1" applyProtection="1"/>
    <xf numFmtId="0" fontId="21" fillId="3" borderId="17" xfId="0" applyFont="1" applyFill="1" applyBorder="1" applyAlignment="1" applyProtection="1"/>
    <xf numFmtId="0" fontId="22" fillId="3" borderId="31" xfId="0" applyFont="1" applyFill="1" applyBorder="1" applyAlignment="1" applyProtection="1">
      <alignment horizontal="left"/>
    </xf>
    <xf numFmtId="0" fontId="21" fillId="3" borderId="10" xfId="0" applyFont="1" applyFill="1" applyBorder="1" applyAlignment="1" applyProtection="1">
      <alignment horizontal="left"/>
    </xf>
    <xf numFmtId="0" fontId="22" fillId="3" borderId="33" xfId="0" applyFont="1" applyFill="1" applyBorder="1" applyAlignment="1" applyProtection="1"/>
    <xf numFmtId="0" fontId="21" fillId="3" borderId="21" xfId="0" applyFont="1" applyFill="1" applyBorder="1" applyAlignment="1" applyProtection="1"/>
    <xf numFmtId="0" fontId="34" fillId="0" borderId="2" xfId="0" applyFont="1" applyBorder="1" applyAlignment="1" applyProtection="1">
      <alignment vertical="center"/>
    </xf>
    <xf numFmtId="0" fontId="17" fillId="0" borderId="1" xfId="0" applyFont="1" applyBorder="1" applyAlignment="1" applyProtection="1">
      <alignment vertical="center"/>
    </xf>
    <xf numFmtId="0" fontId="17" fillId="2" borderId="2" xfId="1" applyFont="1" applyFill="1" applyBorder="1" applyAlignment="1" applyProtection="1">
      <alignment horizontal="center" vertical="center" wrapText="1"/>
    </xf>
    <xf numFmtId="0" fontId="17" fillId="0" borderId="2" xfId="20" applyNumberFormat="1" applyFont="1" applyBorder="1" applyAlignment="1" applyProtection="1">
      <alignment horizontal="left" vertical="center" wrapText="1"/>
    </xf>
    <xf numFmtId="0" fontId="17" fillId="0" borderId="6" xfId="20" applyFont="1" applyBorder="1" applyAlignment="1" applyProtection="1">
      <alignment horizontal="left" vertical="center" wrapText="1"/>
    </xf>
    <xf numFmtId="0" fontId="17" fillId="0" borderId="6" xfId="34" applyFont="1" applyBorder="1" applyAlignment="1" applyProtection="1">
      <alignment horizontal="left" vertical="center" wrapText="1"/>
    </xf>
    <xf numFmtId="9" fontId="18" fillId="0" borderId="3" xfId="6" applyFont="1" applyBorder="1" applyAlignment="1" applyProtection="1">
      <alignment horizontal="center" vertical="center" wrapText="1"/>
    </xf>
    <xf numFmtId="9" fontId="18" fillId="0" borderId="3" xfId="6" applyFont="1" applyFill="1" applyBorder="1" applyAlignment="1" applyProtection="1">
      <alignment horizontal="center" vertical="center" wrapText="1"/>
    </xf>
    <xf numFmtId="0" fontId="17" fillId="0" borderId="2" xfId="34" applyNumberFormat="1" applyFont="1" applyBorder="1" applyAlignment="1" applyProtection="1">
      <alignment horizontal="left" vertical="center" wrapText="1"/>
    </xf>
    <xf numFmtId="0" fontId="18" fillId="0" borderId="3" xfId="5" applyNumberFormat="1" applyFont="1" applyBorder="1" applyAlignment="1" applyProtection="1">
      <alignment horizontal="center" vertical="center" wrapText="1"/>
    </xf>
    <xf numFmtId="0" fontId="18" fillId="0" borderId="3" xfId="5" applyNumberFormat="1" applyFont="1" applyFill="1" applyBorder="1" applyAlignment="1" applyProtection="1">
      <alignment horizontal="center" vertical="center" wrapText="1"/>
    </xf>
    <xf numFmtId="0" fontId="18" fillId="0" borderId="3" xfId="7" applyNumberFormat="1" applyFont="1" applyBorder="1" applyAlignment="1" applyProtection="1">
      <alignment horizontal="center" vertical="center" wrapText="1"/>
    </xf>
    <xf numFmtId="0" fontId="18" fillId="0" borderId="3" xfId="7" applyNumberFormat="1" applyFont="1" applyFill="1" applyBorder="1" applyAlignment="1" applyProtection="1">
      <alignment horizontal="center" vertical="center" wrapText="1"/>
    </xf>
    <xf numFmtId="0" fontId="17" fillId="0" borderId="3" xfId="0" applyFont="1" applyBorder="1" applyAlignment="1" applyProtection="1">
      <alignment horizontal="left" vertical="center" wrapText="1"/>
    </xf>
    <xf numFmtId="14" fontId="17" fillId="0" borderId="1" xfId="1" applyNumberFormat="1" applyFont="1" applyBorder="1" applyAlignment="1" applyProtection="1">
      <alignment vertical="center"/>
    </xf>
    <xf numFmtId="0" fontId="8" fillId="0" borderId="1" xfId="1" applyFont="1" applyFill="1" applyBorder="1" applyAlignment="1" applyProtection="1">
      <alignment horizontal="center" vertical="center"/>
    </xf>
    <xf numFmtId="0" fontId="12" fillId="0" borderId="1" xfId="1" applyFont="1" applyFill="1" applyBorder="1" applyAlignment="1" applyProtection="1">
      <alignment vertical="center"/>
    </xf>
    <xf numFmtId="0" fontId="12" fillId="0" borderId="1" xfId="1" applyFont="1" applyBorder="1" applyAlignment="1" applyProtection="1">
      <alignment vertical="center" wrapText="1"/>
    </xf>
    <xf numFmtId="0" fontId="17" fillId="0" borderId="1" xfId="1" applyFont="1" applyAlignment="1" applyProtection="1">
      <alignment horizontal="left" vertical="center"/>
    </xf>
    <xf numFmtId="0" fontId="23" fillId="0" borderId="2" xfId="1" applyFont="1" applyBorder="1" applyAlignment="1" applyProtection="1">
      <alignment horizontal="center" vertical="top" wrapText="1"/>
    </xf>
    <xf numFmtId="0" fontId="24" fillId="0" borderId="2" xfId="1" applyFont="1" applyBorder="1" applyAlignment="1" applyProtection="1">
      <alignment horizontal="center" vertical="top" wrapText="1"/>
    </xf>
    <xf numFmtId="0" fontId="17" fillId="0" borderId="2" xfId="34" applyFont="1" applyBorder="1" applyAlignment="1" applyProtection="1">
      <alignment horizontal="left" vertical="center" wrapText="1"/>
    </xf>
    <xf numFmtId="0" fontId="17" fillId="0" borderId="6" xfId="34" applyFont="1" applyBorder="1" applyAlignment="1" applyProtection="1">
      <alignment horizontal="center" vertical="center" wrapText="1"/>
    </xf>
    <xf numFmtId="0" fontId="35" fillId="0" borderId="3" xfId="36" applyNumberFormat="1" applyFont="1" applyBorder="1" applyAlignment="1" applyProtection="1">
      <alignment horizontal="center" vertical="center" wrapText="1"/>
    </xf>
    <xf numFmtId="0" fontId="35" fillId="0" borderId="3" xfId="36" applyNumberFormat="1" applyFont="1" applyFill="1" applyBorder="1" applyAlignment="1" applyProtection="1">
      <alignment horizontal="center" vertical="center" wrapText="1"/>
    </xf>
    <xf numFmtId="3" fontId="35" fillId="7" borderId="3" xfId="0" applyNumberFormat="1" applyFont="1" applyFill="1" applyBorder="1" applyAlignment="1" applyProtection="1">
      <alignment horizontal="center" vertical="center"/>
    </xf>
    <xf numFmtId="0" fontId="17" fillId="0" borderId="2" xfId="1" applyFont="1" applyBorder="1" applyAlignment="1" applyProtection="1">
      <alignment horizontal="center" vertical="center" wrapText="1"/>
    </xf>
    <xf numFmtId="0" fontId="12" fillId="0" borderId="1" xfId="1" applyFont="1" applyAlignment="1" applyProtection="1">
      <alignment horizontal="center" vertical="center"/>
    </xf>
    <xf numFmtId="0" fontId="12" fillId="0" borderId="1" xfId="1" applyFont="1" applyAlignment="1" applyProtection="1">
      <alignment vertical="center"/>
    </xf>
    <xf numFmtId="165" fontId="8" fillId="0" borderId="2" xfId="1" applyNumberFormat="1" applyFont="1" applyBorder="1" applyAlignment="1" applyProtection="1">
      <alignment horizontal="center" vertical="center" wrapText="1"/>
    </xf>
    <xf numFmtId="14" fontId="17" fillId="0" borderId="1" xfId="1" applyNumberFormat="1" applyFont="1" applyAlignment="1" applyProtection="1">
      <alignment vertical="center"/>
    </xf>
    <xf numFmtId="0" fontId="8" fillId="0" borderId="1" xfId="1" applyFont="1" applyAlignment="1" applyProtection="1">
      <alignment horizontal="center" vertical="center"/>
    </xf>
    <xf numFmtId="0" fontId="6" fillId="0" borderId="1" xfId="1" applyFont="1" applyAlignment="1" applyProtection="1">
      <alignment horizontal="left" vertical="center"/>
    </xf>
    <xf numFmtId="0" fontId="12" fillId="0" borderId="1" xfId="1" applyFont="1" applyAlignment="1" applyProtection="1">
      <alignment vertical="center" wrapText="1"/>
    </xf>
    <xf numFmtId="0" fontId="17" fillId="0" borderId="2" xfId="34" applyFont="1" applyBorder="1" applyAlignment="1" applyProtection="1">
      <alignment horizontal="center" vertical="center" wrapText="1"/>
    </xf>
    <xf numFmtId="0" fontId="17" fillId="0" borderId="2" xfId="0" applyFont="1" applyBorder="1" applyAlignment="1" applyProtection="1">
      <alignment vertical="center" wrapText="1"/>
    </xf>
    <xf numFmtId="0" fontId="23" fillId="0" borderId="2" xfId="1" applyFont="1" applyBorder="1" applyAlignment="1" applyProtection="1">
      <alignment horizontal="center" vertical="center" wrapText="1"/>
    </xf>
    <xf numFmtId="0" fontId="24" fillId="0" borderId="2" xfId="1" applyFont="1" applyBorder="1" applyAlignment="1" applyProtection="1">
      <alignment horizontal="center" vertical="center" wrapText="1"/>
    </xf>
    <xf numFmtId="0" fontId="23" fillId="7" borderId="2" xfId="1" applyFont="1" applyFill="1" applyBorder="1" applyAlignment="1" applyProtection="1">
      <alignment horizontal="center" vertical="center" wrapText="1"/>
    </xf>
    <xf numFmtId="0" fontId="24" fillId="7" borderId="2" xfId="1" applyFont="1" applyFill="1" applyBorder="1" applyAlignment="1" applyProtection="1">
      <alignment horizontal="center" vertical="center" wrapText="1"/>
    </xf>
    <xf numFmtId="0" fontId="38" fillId="0" borderId="3" xfId="7" applyNumberFormat="1" applyFont="1" applyBorder="1" applyAlignment="1" applyProtection="1">
      <alignment horizontal="center" vertical="center" wrapText="1"/>
    </xf>
    <xf numFmtId="0" fontId="38" fillId="0" borderId="3" xfId="7" applyNumberFormat="1" applyFont="1" applyFill="1" applyBorder="1" applyAlignment="1" applyProtection="1">
      <alignment horizontal="center" vertical="center" wrapText="1"/>
    </xf>
    <xf numFmtId="3" fontId="38" fillId="7" borderId="3" xfId="0" applyNumberFormat="1" applyFont="1" applyFill="1" applyBorder="1" applyAlignment="1" applyProtection="1">
      <alignment horizontal="center" vertical="center"/>
    </xf>
    <xf numFmtId="9" fontId="38" fillId="0" borderId="3" xfId="8" applyFont="1" applyBorder="1" applyAlignment="1" applyProtection="1">
      <alignment horizontal="center" vertical="center" wrapText="1"/>
    </xf>
    <xf numFmtId="0" fontId="17" fillId="0" borderId="2" xfId="20" applyFont="1" applyBorder="1" applyAlignment="1" applyProtection="1">
      <alignment horizontal="left" vertical="center" wrapText="1"/>
    </xf>
    <xf numFmtId="0" fontId="20" fillId="0" borderId="6" xfId="20" applyFont="1" applyBorder="1" applyAlignment="1" applyProtection="1">
      <alignment horizontal="center" vertical="center" wrapText="1"/>
    </xf>
    <xf numFmtId="0" fontId="39" fillId="0" borderId="0" xfId="0" applyFont="1" applyAlignment="1" applyProtection="1">
      <alignment horizontal="center" vertical="center" wrapText="1"/>
    </xf>
    <xf numFmtId="4" fontId="35" fillId="7" borderId="3" xfId="7" applyNumberFormat="1" applyFont="1" applyFill="1" applyBorder="1" applyAlignment="1" applyProtection="1">
      <alignment horizontal="center" vertical="center"/>
    </xf>
    <xf numFmtId="3" fontId="17" fillId="0" borderId="3" xfId="0" applyNumberFormat="1" applyFont="1" applyBorder="1" applyAlignment="1" applyProtection="1">
      <alignment horizontal="center" vertical="center" wrapText="1"/>
    </xf>
    <xf numFmtId="0" fontId="35" fillId="0" borderId="3" xfId="7" applyNumberFormat="1" applyFont="1" applyBorder="1" applyAlignment="1" applyProtection="1">
      <alignment horizontal="center" vertical="center" wrapText="1"/>
    </xf>
    <xf numFmtId="0" fontId="35" fillId="0" borderId="3" xfId="7" applyNumberFormat="1" applyFont="1" applyFill="1" applyBorder="1" applyAlignment="1" applyProtection="1">
      <alignment horizontal="center" vertical="center" wrapText="1"/>
    </xf>
    <xf numFmtId="9" fontId="35" fillId="0" borderId="3" xfId="7" applyNumberFormat="1" applyFont="1" applyBorder="1" applyAlignment="1" applyProtection="1">
      <alignment horizontal="center" vertical="center" wrapText="1"/>
    </xf>
    <xf numFmtId="166" fontId="17" fillId="0" borderId="3" xfId="0" applyNumberFormat="1" applyFont="1" applyBorder="1" applyAlignment="1" applyProtection="1">
      <alignment horizontal="center" vertical="center" wrapText="1"/>
    </xf>
    <xf numFmtId="166" fontId="35" fillId="7" borderId="3" xfId="0" applyNumberFormat="1" applyFont="1" applyFill="1" applyBorder="1" applyAlignment="1" applyProtection="1">
      <alignment horizontal="center" vertical="center"/>
    </xf>
    <xf numFmtId="4" fontId="35" fillId="7" borderId="3" xfId="0" applyNumberFormat="1" applyFont="1" applyFill="1" applyBorder="1" applyAlignment="1" applyProtection="1">
      <alignment horizontal="center" vertical="center"/>
    </xf>
    <xf numFmtId="0" fontId="17" fillId="0" borderId="0" xfId="0" applyFont="1" applyAlignment="1" applyProtection="1">
      <alignment vertical="center"/>
    </xf>
    <xf numFmtId="0" fontId="17" fillId="0" borderId="0" xfId="0" applyFont="1" applyAlignment="1" applyProtection="1">
      <alignment horizontal="center" vertical="center"/>
    </xf>
    <xf numFmtId="0" fontId="17" fillId="0" borderId="1" xfId="0" applyFont="1" applyBorder="1" applyAlignment="1" applyProtection="1">
      <alignment horizontal="center" vertical="center"/>
    </xf>
    <xf numFmtId="0" fontId="8" fillId="0" borderId="2" xfId="0" applyFont="1" applyBorder="1" applyAlignment="1" applyProtection="1">
      <alignment vertical="center"/>
    </xf>
    <xf numFmtId="0" fontId="8" fillId="0" borderId="2" xfId="1" applyFont="1" applyBorder="1" applyAlignment="1" applyProtection="1">
      <alignment horizontal="center" vertical="top" wrapText="1"/>
    </xf>
    <xf numFmtId="0" fontId="8" fillId="7" borderId="2" xfId="1" applyFont="1" applyFill="1" applyBorder="1" applyAlignment="1" applyProtection="1">
      <alignment horizontal="center" vertical="top" wrapText="1"/>
    </xf>
    <xf numFmtId="0" fontId="17" fillId="0" borderId="3" xfId="35" applyFont="1" applyBorder="1" applyAlignment="1" applyProtection="1">
      <alignment horizontal="center" vertical="center" wrapText="1"/>
    </xf>
    <xf numFmtId="0" fontId="5" fillId="0" borderId="37" xfId="34" applyBorder="1" applyAlignment="1" applyProtection="1">
      <alignment horizontal="left" vertical="center" wrapText="1"/>
    </xf>
    <xf numFmtId="0" fontId="17" fillId="0" borderId="37" xfId="34" applyFont="1" applyBorder="1" applyAlignment="1" applyProtection="1">
      <alignment horizontal="left" vertical="center" wrapText="1"/>
    </xf>
    <xf numFmtId="0" fontId="17" fillId="0" borderId="2" xfId="23" applyFont="1" applyBorder="1" applyAlignment="1" applyProtection="1">
      <alignment horizontal="left" vertical="center" wrapText="1"/>
    </xf>
    <xf numFmtId="0" fontId="5" fillId="0" borderId="2" xfId="34" applyBorder="1" applyAlignment="1" applyProtection="1">
      <alignment horizontal="justify" vertical="center" wrapText="1"/>
    </xf>
    <xf numFmtId="0" fontId="17" fillId="0" borderId="2" xfId="34" applyFont="1" applyBorder="1" applyAlignment="1" applyProtection="1">
      <alignment horizontal="justify" vertical="center" wrapText="1"/>
    </xf>
    <xf numFmtId="0" fontId="17" fillId="0" borderId="2" xfId="9" applyFont="1" applyBorder="1" applyAlignment="1" applyProtection="1">
      <alignment horizontal="center" vertical="center" wrapText="1"/>
    </xf>
    <xf numFmtId="0" fontId="20" fillId="0" borderId="2" xfId="34" applyFont="1" applyBorder="1" applyAlignment="1" applyProtection="1">
      <alignment horizontal="left" vertical="center" wrapText="1"/>
    </xf>
    <xf numFmtId="0" fontId="5" fillId="0" borderId="2" xfId="34" applyBorder="1" applyAlignment="1" applyProtection="1">
      <alignment horizontal="left" vertical="center" wrapText="1"/>
    </xf>
    <xf numFmtId="0" fontId="35" fillId="0" borderId="3" xfId="37" applyNumberFormat="1" applyFont="1" applyBorder="1" applyAlignment="1" applyProtection="1">
      <alignment horizontal="center" vertical="center" wrapText="1"/>
    </xf>
    <xf numFmtId="0" fontId="35" fillId="0" borderId="3" xfId="38" applyNumberFormat="1" applyFont="1" applyBorder="1" applyAlignment="1" applyProtection="1">
      <alignment horizontal="center" vertical="center" wrapText="1"/>
    </xf>
    <xf numFmtId="0" fontId="35" fillId="0" borderId="3" xfId="39" applyNumberFormat="1" applyFont="1" applyBorder="1" applyAlignment="1" applyProtection="1">
      <alignment horizontal="center" vertical="center" wrapText="1"/>
    </xf>
    <xf numFmtId="0" fontId="35" fillId="0" borderId="3" xfId="39" applyNumberFormat="1" applyFont="1" applyFill="1" applyBorder="1" applyAlignment="1" applyProtection="1">
      <alignment horizontal="center" vertical="center" wrapText="1"/>
    </xf>
    <xf numFmtId="0" fontId="35" fillId="0" borderId="3" xfId="40" applyNumberFormat="1" applyFont="1" applyBorder="1" applyAlignment="1" applyProtection="1">
      <alignment horizontal="center" vertical="center" wrapText="1"/>
    </xf>
    <xf numFmtId="1" fontId="35" fillId="7" borderId="3" xfId="9" applyNumberFormat="1" applyFont="1" applyFill="1" applyBorder="1" applyAlignment="1" applyProtection="1">
      <alignment horizontal="center" vertical="center"/>
    </xf>
    <xf numFmtId="0" fontId="17" fillId="0" borderId="1" xfId="1" applyFont="1" applyAlignment="1" applyProtection="1">
      <alignment horizontal="center" vertical="center"/>
    </xf>
    <xf numFmtId="0" fontId="17" fillId="0" borderId="1" xfId="1" applyFont="1" applyAlignment="1" applyProtection="1">
      <alignment vertical="center"/>
    </xf>
    <xf numFmtId="0" fontId="17" fillId="0" borderId="1" xfId="1" applyFont="1" applyAlignment="1" applyProtection="1">
      <alignment vertical="center" wrapText="1"/>
    </xf>
    <xf numFmtId="0" fontId="17" fillId="0" borderId="1" xfId="0" applyFont="1" applyBorder="1" applyAlignment="1" applyProtection="1">
      <alignment vertical="center" wrapText="1"/>
    </xf>
    <xf numFmtId="10" fontId="17" fillId="0" borderId="2" xfId="0" applyNumberFormat="1" applyFont="1" applyBorder="1" applyAlignment="1" applyProtection="1">
      <alignment horizontal="center" vertical="center" wrapText="1"/>
    </xf>
    <xf numFmtId="0" fontId="17" fillId="0" borderId="2" xfId="32" applyFont="1" applyBorder="1" applyAlignment="1" applyProtection="1">
      <alignment vertical="center" wrapText="1"/>
    </xf>
    <xf numFmtId="0" fontId="17" fillId="0" borderId="3" xfId="34" applyFont="1" applyBorder="1" applyAlignment="1" applyProtection="1">
      <alignment vertical="center" wrapText="1"/>
    </xf>
    <xf numFmtId="9" fontId="35" fillId="0" borderId="2" xfId="36" applyNumberFormat="1" applyFont="1" applyFill="1" applyBorder="1" applyAlignment="1" applyProtection="1">
      <alignment vertical="center" wrapText="1"/>
    </xf>
    <xf numFmtId="0" fontId="35" fillId="0" borderId="2" xfId="36" applyNumberFormat="1" applyFont="1" applyBorder="1" applyAlignment="1" applyProtection="1">
      <alignment vertical="center" wrapText="1"/>
    </xf>
    <xf numFmtId="9" fontId="35" fillId="0" borderId="2" xfId="36" applyNumberFormat="1" applyFont="1" applyBorder="1" applyAlignment="1" applyProtection="1">
      <alignment vertical="center" wrapText="1"/>
    </xf>
    <xf numFmtId="0" fontId="35" fillId="0" borderId="2" xfId="36" applyNumberFormat="1" applyFont="1" applyFill="1" applyBorder="1" applyAlignment="1" applyProtection="1">
      <alignment vertical="center" wrapText="1"/>
    </xf>
    <xf numFmtId="0" fontId="6" fillId="0" borderId="0" xfId="0" applyFont="1" applyAlignment="1" applyProtection="1">
      <alignment horizontal="center" vertical="center"/>
    </xf>
    <xf numFmtId="0" fontId="17" fillId="2" borderId="2" xfId="1" applyFont="1" applyFill="1" applyBorder="1" applyAlignment="1" applyProtection="1">
      <alignment vertical="center" wrapText="1"/>
    </xf>
    <xf numFmtId="0" fontId="17" fillId="2" borderId="3" xfId="1" applyFont="1" applyFill="1" applyBorder="1" applyAlignment="1" applyProtection="1">
      <alignment horizontal="center" vertical="center" wrapText="1"/>
    </xf>
    <xf numFmtId="0" fontId="17" fillId="0" borderId="3" xfId="34" applyFont="1" applyBorder="1" applyAlignment="1" applyProtection="1">
      <alignment horizontal="center" vertical="center" wrapText="1"/>
    </xf>
    <xf numFmtId="9" fontId="35" fillId="0" borderId="3" xfId="8" applyFont="1" applyBorder="1" applyAlignment="1" applyProtection="1">
      <alignment horizontal="center" vertical="center" wrapText="1"/>
    </xf>
    <xf numFmtId="9" fontId="35" fillId="0" borderId="3" xfId="8" applyFont="1" applyFill="1" applyBorder="1" applyAlignment="1" applyProtection="1">
      <alignment horizontal="center" vertical="center" wrapText="1"/>
    </xf>
    <xf numFmtId="9" fontId="17" fillId="3" borderId="3" xfId="0" applyNumberFormat="1" applyFont="1" applyFill="1" applyBorder="1" applyAlignment="1" applyProtection="1">
      <alignment horizontal="center" vertical="center" wrapText="1"/>
    </xf>
    <xf numFmtId="0" fontId="17" fillId="3" borderId="6" xfId="34" applyFont="1" applyFill="1" applyBorder="1" applyAlignment="1" applyProtection="1">
      <alignment horizontal="left" vertical="center" wrapText="1"/>
    </xf>
    <xf numFmtId="0" fontId="17" fillId="3" borderId="6" xfId="34" applyFont="1" applyFill="1" applyBorder="1" applyAlignment="1" applyProtection="1">
      <alignment horizontal="center" vertical="center" wrapText="1"/>
    </xf>
    <xf numFmtId="0" fontId="12" fillId="0" borderId="0" xfId="0" applyFont="1" applyAlignment="1" applyProtection="1">
      <alignment horizontal="right" vertical="center"/>
    </xf>
    <xf numFmtId="0" fontId="12" fillId="0" borderId="1" xfId="1" applyFont="1" applyAlignment="1" applyProtection="1">
      <alignment horizontal="right" vertical="center"/>
    </xf>
    <xf numFmtId="0" fontId="12" fillId="0" borderId="1" xfId="1" applyFont="1" applyAlignment="1" applyProtection="1">
      <alignment horizontal="right" vertical="center" wrapText="1"/>
    </xf>
    <xf numFmtId="9" fontId="35" fillId="0" borderId="3" xfId="36" applyNumberFormat="1" applyFont="1" applyBorder="1" applyAlignment="1" applyProtection="1">
      <alignment horizontal="center" vertical="center" wrapText="1"/>
    </xf>
    <xf numFmtId="0" fontId="17" fillId="2" borderId="2" xfId="1" applyFont="1" applyFill="1" applyBorder="1" applyAlignment="1" applyProtection="1">
      <alignment horizontal="left" vertical="center" wrapText="1"/>
    </xf>
    <xf numFmtId="0" fontId="17" fillId="0" borderId="6" xfId="34" applyFont="1" applyBorder="1" applyAlignment="1" applyProtection="1">
      <alignment horizontal="left" vertical="center"/>
    </xf>
    <xf numFmtId="1" fontId="17" fillId="0" borderId="3" xfId="0" applyNumberFormat="1" applyFont="1" applyBorder="1" applyAlignment="1" applyProtection="1">
      <alignment horizontal="center" vertical="center" wrapText="1"/>
    </xf>
    <xf numFmtId="167" fontId="35" fillId="0" borderId="3" xfId="36" applyNumberFormat="1" applyFont="1" applyBorder="1" applyAlignment="1" applyProtection="1">
      <alignment horizontal="center" vertical="center" wrapText="1"/>
    </xf>
    <xf numFmtId="0" fontId="20" fillId="0" borderId="6" xfId="34" applyFont="1" applyBorder="1" applyAlignment="1" applyProtection="1">
      <alignment horizontal="center" vertical="center"/>
    </xf>
    <xf numFmtId="9" fontId="17" fillId="0" borderId="3" xfId="7" applyNumberFormat="1" applyFont="1" applyBorder="1" applyAlignment="1" applyProtection="1">
      <alignment horizontal="center" vertical="center" wrapText="1"/>
    </xf>
    <xf numFmtId="0" fontId="17" fillId="0" borderId="3" xfId="7" applyNumberFormat="1" applyFont="1" applyBorder="1" applyAlignment="1" applyProtection="1">
      <alignment horizontal="center" vertical="center" wrapText="1"/>
    </xf>
    <xf numFmtId="9" fontId="17" fillId="7" borderId="3" xfId="8" applyFont="1" applyFill="1" applyBorder="1" applyAlignment="1" applyProtection="1">
      <alignment horizontal="center" vertical="center"/>
    </xf>
    <xf numFmtId="3" fontId="17" fillId="7" borderId="3" xfId="7" applyNumberFormat="1" applyFont="1" applyFill="1" applyBorder="1" applyAlignment="1" applyProtection="1">
      <alignment horizontal="center" vertical="center"/>
    </xf>
    <xf numFmtId="0" fontId="17" fillId="0" borderId="3" xfId="7" applyNumberFormat="1" applyFont="1" applyFill="1" applyBorder="1" applyAlignment="1" applyProtection="1">
      <alignment horizontal="center" vertical="center" wrapText="1"/>
    </xf>
    <xf numFmtId="3" fontId="17" fillId="7" borderId="3" xfId="6" applyNumberFormat="1" applyFont="1" applyFill="1" applyBorder="1" applyAlignment="1" applyProtection="1">
      <alignment horizontal="center" vertical="center"/>
    </xf>
    <xf numFmtId="3" fontId="17" fillId="7" borderId="3" xfId="0" applyNumberFormat="1" applyFont="1" applyFill="1" applyBorder="1" applyAlignment="1" applyProtection="1">
      <alignment horizontal="center" vertical="center"/>
    </xf>
    <xf numFmtId="9" fontId="35" fillId="7" borderId="3" xfId="6" applyNumberFormat="1" applyFont="1" applyFill="1" applyBorder="1" applyAlignment="1" applyProtection="1">
      <alignment horizontal="center" vertical="center"/>
    </xf>
    <xf numFmtId="0" fontId="17" fillId="0" borderId="2" xfId="0" applyFont="1" applyFill="1" applyBorder="1" applyAlignment="1" applyProtection="1">
      <alignment horizontal="justify" vertical="center" wrapText="1"/>
    </xf>
    <xf numFmtId="0" fontId="45" fillId="9" borderId="2" xfId="0" applyFont="1" applyFill="1" applyBorder="1" applyAlignment="1" applyProtection="1">
      <alignment horizontal="center" vertical="center"/>
    </xf>
    <xf numFmtId="0" fontId="17" fillId="2" borderId="2" xfId="1" applyFont="1" applyFill="1" applyBorder="1" applyAlignment="1">
      <alignment horizontal="center" vertical="center" wrapText="1"/>
    </xf>
    <xf numFmtId="0" fontId="17" fillId="0" borderId="6" xfId="34" applyFont="1" applyBorder="1" applyAlignment="1">
      <alignment horizontal="left" vertical="center" wrapText="1"/>
    </xf>
    <xf numFmtId="0" fontId="5" fillId="0" borderId="1" xfId="23" applyAlignment="1">
      <alignment vertical="center"/>
    </xf>
    <xf numFmtId="0" fontId="22" fillId="3" borderId="3" xfId="23" applyFont="1" applyFill="1" applyBorder="1" applyAlignment="1">
      <alignment horizontal="left"/>
    </xf>
    <xf numFmtId="0" fontId="22" fillId="3" borderId="18" xfId="23" applyFont="1" applyFill="1" applyBorder="1" applyAlignment="1">
      <alignment horizontal="left"/>
    </xf>
    <xf numFmtId="0" fontId="21" fillId="3" borderId="5" xfId="23" applyFont="1" applyFill="1" applyBorder="1" applyAlignment="1">
      <alignment horizontal="left"/>
    </xf>
    <xf numFmtId="0" fontId="21" fillId="3" borderId="19" xfId="23" applyFont="1" applyFill="1" applyBorder="1" applyAlignment="1">
      <alignment horizontal="center"/>
    </xf>
    <xf numFmtId="0" fontId="8" fillId="7" borderId="2" xfId="23" applyFont="1" applyFill="1" applyBorder="1" applyAlignment="1">
      <alignment horizontal="left" vertical="center" wrapText="1"/>
    </xf>
    <xf numFmtId="0" fontId="8" fillId="7" borderId="2" xfId="23" applyFont="1" applyFill="1" applyBorder="1" applyAlignment="1">
      <alignment vertical="center" wrapText="1"/>
    </xf>
    <xf numFmtId="0" fontId="26" fillId="15" borderId="2" xfId="23" applyFont="1" applyFill="1" applyBorder="1" applyAlignment="1">
      <alignment horizontal="center" vertical="center"/>
    </xf>
    <xf numFmtId="0" fontId="8" fillId="7" borderId="2" xfId="9" applyFont="1" applyFill="1" applyBorder="1" applyAlignment="1">
      <alignment horizontal="left" vertical="center" wrapText="1"/>
    </xf>
    <xf numFmtId="0" fontId="8" fillId="7" borderId="2" xfId="9" applyFont="1" applyFill="1" applyBorder="1" applyAlignment="1">
      <alignment horizontal="left" vertical="center"/>
    </xf>
    <xf numFmtId="0" fontId="30" fillId="7" borderId="2" xfId="9" applyFont="1" applyFill="1" applyBorder="1" applyAlignment="1">
      <alignment horizontal="left" vertical="center" wrapText="1"/>
    </xf>
    <xf numFmtId="3" fontId="18" fillId="7" borderId="3" xfId="8" applyNumberFormat="1" applyFont="1" applyFill="1" applyBorder="1" applyAlignment="1" applyProtection="1">
      <alignment horizontal="center" vertical="center"/>
    </xf>
    <xf numFmtId="0" fontId="17" fillId="2" borderId="3" xfId="1" applyFont="1" applyFill="1" applyBorder="1" applyAlignment="1" applyProtection="1">
      <alignment horizontal="center" vertical="center" wrapText="1"/>
      <protection locked="0"/>
    </xf>
    <xf numFmtId="0" fontId="17" fillId="0" borderId="2" xfId="34" applyFont="1" applyBorder="1" applyAlignment="1" applyProtection="1">
      <alignment horizontal="justify" vertical="center" wrapText="1"/>
      <protection locked="0"/>
    </xf>
    <xf numFmtId="0" fontId="17" fillId="3" borderId="6" xfId="34" applyFont="1" applyFill="1" applyBorder="1" applyAlignment="1" applyProtection="1">
      <alignment horizontal="left" vertical="center" wrapText="1"/>
      <protection locked="0"/>
    </xf>
    <xf numFmtId="0" fontId="17" fillId="3" borderId="6" xfId="34" applyFont="1" applyFill="1" applyBorder="1" applyAlignment="1" applyProtection="1">
      <alignment horizontal="center" vertical="center" wrapText="1"/>
      <protection locked="0"/>
    </xf>
    <xf numFmtId="0" fontId="17" fillId="0" borderId="3" xfId="34" applyFont="1" applyBorder="1" applyAlignment="1" applyProtection="1">
      <alignment horizontal="center" vertical="center" wrapText="1"/>
      <protection locked="0"/>
    </xf>
    <xf numFmtId="0" fontId="5" fillId="0" borderId="1" xfId="23" applyAlignment="1">
      <alignment horizontal="center" vertical="center"/>
    </xf>
    <xf numFmtId="0" fontId="27" fillId="0" borderId="1" xfId="23" applyFont="1" applyAlignment="1">
      <alignment horizontal="center" vertical="center"/>
    </xf>
    <xf numFmtId="0" fontId="5" fillId="0" borderId="1" xfId="23"/>
    <xf numFmtId="10" fontId="35" fillId="0" borderId="3" xfId="8" applyNumberFormat="1" applyFont="1" applyBorder="1" applyAlignment="1" applyProtection="1">
      <alignment horizontal="center" vertical="center" wrapText="1"/>
    </xf>
    <xf numFmtId="0" fontId="38" fillId="0" borderId="3" xfId="7" applyNumberFormat="1" applyFont="1" applyBorder="1" applyAlignment="1" applyProtection="1">
      <alignment horizontal="center" vertical="center" wrapText="1"/>
      <protection locked="0"/>
    </xf>
    <xf numFmtId="0" fontId="48" fillId="0" borderId="0" xfId="0" applyFont="1"/>
    <xf numFmtId="0" fontId="38" fillId="0" borderId="3" xfId="7" applyNumberFormat="1" applyFont="1" applyFill="1" applyBorder="1" applyAlignment="1" applyProtection="1">
      <alignment horizontal="center" vertical="center" wrapText="1"/>
      <protection locked="0"/>
    </xf>
    <xf numFmtId="3" fontId="35" fillId="0" borderId="3" xfId="42" applyNumberFormat="1" applyFont="1" applyFill="1" applyBorder="1" applyAlignment="1" applyProtection="1">
      <alignment horizontal="center" vertical="center" wrapText="1"/>
      <protection locked="0"/>
    </xf>
    <xf numFmtId="3" fontId="35" fillId="0" borderId="2" xfId="5" applyNumberFormat="1" applyFont="1" applyFill="1" applyBorder="1" applyAlignment="1" applyProtection="1">
      <alignment horizontal="center" vertical="center" wrapText="1"/>
    </xf>
    <xf numFmtId="0" fontId="17" fillId="0" borderId="2" xfId="0" applyFont="1" applyBorder="1" applyAlignment="1" applyProtection="1">
      <alignment horizontal="justify" vertical="center" wrapText="1"/>
    </xf>
    <xf numFmtId="0" fontId="17" fillId="0" borderId="3" xfId="0" applyFont="1" applyBorder="1" applyAlignment="1" applyProtection="1">
      <alignment horizontal="center" vertical="center" wrapText="1"/>
    </xf>
    <xf numFmtId="0" fontId="18" fillId="0" borderId="3" xfId="42" applyNumberFormat="1" applyFont="1" applyBorder="1" applyAlignment="1" applyProtection="1">
      <alignment horizontal="center" vertical="center" wrapText="1"/>
      <protection locked="0"/>
    </xf>
    <xf numFmtId="0" fontId="18" fillId="0" borderId="3" xfId="42" applyNumberFormat="1" applyFont="1" applyFill="1" applyBorder="1" applyAlignment="1" applyProtection="1">
      <alignment horizontal="center" vertical="center" wrapText="1"/>
      <protection locked="0"/>
    </xf>
    <xf numFmtId="164" fontId="17" fillId="18" borderId="2" xfId="8" applyNumberFormat="1" applyFont="1" applyFill="1" applyBorder="1" applyAlignment="1" applyProtection="1">
      <alignment horizontal="center" vertical="center" wrapText="1"/>
    </xf>
    <xf numFmtId="0" fontId="18" fillId="0" borderId="3" xfId="0" applyFont="1" applyBorder="1" applyAlignment="1">
      <alignment horizontal="center" vertical="center" wrapText="1"/>
    </xf>
    <xf numFmtId="9" fontId="17" fillId="0" borderId="3" xfId="8" applyFont="1" applyBorder="1" applyAlignment="1" applyProtection="1">
      <alignment horizontal="center" vertical="center" wrapText="1"/>
    </xf>
    <xf numFmtId="0" fontId="8" fillId="7" borderId="2" xfId="1" applyFont="1" applyFill="1" applyBorder="1" applyAlignment="1" applyProtection="1">
      <alignment horizontal="center" vertical="center" wrapText="1"/>
    </xf>
    <xf numFmtId="0" fontId="17" fillId="0" borderId="1" xfId="1" applyFont="1" applyAlignment="1" applyProtection="1">
      <alignment vertical="center"/>
    </xf>
    <xf numFmtId="0" fontId="17" fillId="0" borderId="2" xfId="34" applyFont="1" applyBorder="1" applyAlignment="1">
      <alignment horizontal="left" vertical="center" wrapText="1"/>
    </xf>
    <xf numFmtId="10" fontId="35" fillId="0" borderId="3" xfId="7" applyNumberFormat="1" applyFont="1" applyBorder="1" applyAlignment="1" applyProtection="1">
      <alignment horizontal="center" vertical="center" wrapText="1"/>
    </xf>
    <xf numFmtId="164" fontId="35" fillId="0" borderId="3" xfId="8" applyNumberFormat="1" applyFont="1" applyBorder="1" applyAlignment="1" applyProtection="1">
      <alignment horizontal="center" vertical="center" wrapText="1"/>
    </xf>
    <xf numFmtId="164" fontId="37" fillId="0" borderId="3" xfId="8" applyNumberFormat="1" applyFont="1" applyBorder="1" applyAlignment="1" applyProtection="1">
      <alignment horizontal="center" vertical="center" wrapText="1"/>
    </xf>
    <xf numFmtId="9" fontId="37" fillId="0" borderId="3" xfId="8" applyFont="1" applyBorder="1" applyAlignment="1" applyProtection="1">
      <alignment horizontal="center" vertical="center" wrapText="1"/>
    </xf>
    <xf numFmtId="9" fontId="49" fillId="0" borderId="3" xfId="8" applyFont="1" applyBorder="1" applyAlignment="1" applyProtection="1">
      <alignment horizontal="center" vertical="center" wrapText="1"/>
    </xf>
    <xf numFmtId="164" fontId="35" fillId="0" borderId="3" xfId="8" applyNumberFormat="1" applyFont="1" applyFill="1" applyBorder="1" applyAlignment="1" applyProtection="1">
      <alignment horizontal="center" vertical="center" wrapText="1"/>
    </xf>
    <xf numFmtId="10" fontId="18" fillId="0" borderId="3" xfId="8" applyNumberFormat="1" applyFont="1" applyBorder="1" applyAlignment="1" applyProtection="1">
      <alignment horizontal="center" vertical="center" wrapText="1"/>
    </xf>
    <xf numFmtId="10" fontId="18" fillId="7" borderId="3" xfId="8" applyNumberFormat="1" applyFont="1" applyFill="1" applyBorder="1" applyAlignment="1" applyProtection="1">
      <alignment horizontal="center" vertical="center" wrapText="1"/>
    </xf>
    <xf numFmtId="10" fontId="18" fillId="0" borderId="3" xfId="8" applyNumberFormat="1" applyFont="1" applyFill="1" applyBorder="1" applyAlignment="1" applyProtection="1">
      <alignment horizontal="center" vertical="center" wrapText="1"/>
    </xf>
    <xf numFmtId="10" fontId="18" fillId="7" borderId="3" xfId="6" applyNumberFormat="1" applyFont="1" applyFill="1" applyBorder="1" applyAlignment="1" applyProtection="1">
      <alignment horizontal="center" vertical="center"/>
    </xf>
    <xf numFmtId="164" fontId="18" fillId="7" borderId="3" xfId="6" applyNumberFormat="1" applyFont="1" applyFill="1" applyBorder="1" applyAlignment="1" applyProtection="1">
      <alignment horizontal="center" vertical="center"/>
    </xf>
    <xf numFmtId="164" fontId="18" fillId="0" borderId="3" xfId="6" applyNumberFormat="1" applyFont="1" applyBorder="1" applyAlignment="1" applyProtection="1">
      <alignment horizontal="center" vertical="center" wrapText="1"/>
    </xf>
    <xf numFmtId="164" fontId="18" fillId="0" borderId="3" xfId="6" applyNumberFormat="1" applyFont="1" applyFill="1" applyBorder="1" applyAlignment="1" applyProtection="1">
      <alignment horizontal="center" vertical="center" wrapText="1"/>
    </xf>
    <xf numFmtId="0" fontId="17" fillId="0" borderId="3" xfId="0" applyFont="1" applyBorder="1" applyAlignment="1" applyProtection="1">
      <alignment horizontal="center" vertical="center" wrapText="1"/>
    </xf>
    <xf numFmtId="164" fontId="35" fillId="7" borderId="3" xfId="8" applyNumberFormat="1" applyFont="1" applyFill="1" applyBorder="1" applyAlignment="1" applyProtection="1">
      <alignment horizontal="center" vertical="center"/>
    </xf>
    <xf numFmtId="0" fontId="17" fillId="0" borderId="6" xfId="34" applyFont="1" applyBorder="1" applyAlignment="1">
      <alignment horizontal="center" vertical="center" wrapText="1"/>
    </xf>
    <xf numFmtId="3" fontId="17" fillId="0" borderId="6" xfId="34" applyNumberFormat="1" applyFont="1" applyBorder="1" applyAlignment="1">
      <alignment horizontal="center" vertical="center" wrapText="1"/>
    </xf>
    <xf numFmtId="0" fontId="17" fillId="0" borderId="6" xfId="34" applyFont="1" applyBorder="1" applyAlignment="1">
      <alignment horizontal="justify" vertical="center" wrapText="1"/>
    </xf>
    <xf numFmtId="164" fontId="38" fillId="0" borderId="3" xfId="8" applyNumberFormat="1" applyFont="1" applyBorder="1" applyAlignment="1" applyProtection="1">
      <alignment horizontal="center" vertical="center" wrapText="1"/>
    </xf>
    <xf numFmtId="0" fontId="17" fillId="0" borderId="2" xfId="0" applyFont="1" applyBorder="1" applyAlignment="1" applyProtection="1">
      <alignment horizontal="justify" vertical="center" wrapText="1"/>
    </xf>
    <xf numFmtId="0" fontId="6" fillId="0" borderId="1" xfId="1" applyFont="1" applyBorder="1" applyAlignment="1" applyProtection="1">
      <alignment horizontal="left" vertical="center"/>
    </xf>
    <xf numFmtId="0" fontId="17" fillId="0" borderId="1" xfId="1" applyFont="1" applyBorder="1" applyAlignment="1" applyProtection="1">
      <alignment horizontal="left" vertical="center"/>
    </xf>
    <xf numFmtId="165" fontId="8" fillId="0" borderId="1" xfId="1" applyNumberFormat="1" applyFont="1" applyFill="1" applyBorder="1" applyAlignment="1" applyProtection="1">
      <alignment horizontal="center" vertical="center" wrapText="1"/>
    </xf>
    <xf numFmtId="0" fontId="8" fillId="0" borderId="1" xfId="1" applyFont="1" applyFill="1" applyBorder="1" applyAlignment="1" applyProtection="1">
      <alignment vertical="center" wrapText="1"/>
    </xf>
    <xf numFmtId="164" fontId="17" fillId="0" borderId="2" xfId="8" applyNumberFormat="1" applyFont="1" applyBorder="1" applyAlignment="1" applyProtection="1">
      <alignment horizontal="center" vertical="center" wrapText="1"/>
    </xf>
    <xf numFmtId="10" fontId="35" fillId="3" borderId="3" xfId="36" applyNumberFormat="1" applyFont="1" applyFill="1" applyBorder="1" applyAlignment="1" applyProtection="1">
      <alignment horizontal="center" vertical="center" wrapText="1"/>
    </xf>
    <xf numFmtId="10" fontId="35" fillId="0" borderId="3" xfId="36" applyNumberFormat="1" applyFont="1" applyBorder="1" applyAlignment="1" applyProtection="1">
      <alignment horizontal="center" vertical="center" wrapText="1"/>
    </xf>
    <xf numFmtId="10" fontId="35" fillId="0" borderId="3" xfId="36" applyNumberFormat="1" applyFont="1" applyFill="1" applyBorder="1" applyAlignment="1" applyProtection="1">
      <alignment horizontal="center" vertical="center" wrapText="1"/>
    </xf>
    <xf numFmtId="0" fontId="17" fillId="0" borderId="2" xfId="34" applyFont="1" applyBorder="1" applyAlignment="1">
      <alignment horizontal="justify" vertical="center" wrapText="1"/>
    </xf>
    <xf numFmtId="0" fontId="5" fillId="0" borderId="1" xfId="1" applyFont="1" applyBorder="1" applyAlignment="1" applyProtection="1">
      <alignment vertical="center"/>
    </xf>
    <xf numFmtId="0" fontId="17" fillId="0" borderId="2" xfId="0" applyFont="1" applyBorder="1" applyAlignment="1" applyProtection="1">
      <alignment horizontal="justify" vertical="center" wrapText="1"/>
    </xf>
    <xf numFmtId="9" fontId="17" fillId="0" borderId="3" xfId="8" applyFont="1" applyBorder="1" applyAlignment="1" applyProtection="1">
      <alignment horizontal="center" vertical="center" wrapText="1"/>
    </xf>
    <xf numFmtId="9" fontId="17" fillId="0" borderId="5" xfId="8" applyFont="1" applyBorder="1" applyAlignment="1" applyProtection="1">
      <alignment horizontal="center" vertical="center" wrapText="1"/>
    </xf>
    <xf numFmtId="0" fontId="17" fillId="0" borderId="3" xfId="0" applyFont="1" applyBorder="1" applyAlignment="1" applyProtection="1">
      <alignment horizontal="justify" vertical="center" wrapText="1"/>
    </xf>
    <xf numFmtId="0" fontId="6" fillId="0" borderId="1" xfId="1" applyFont="1" applyBorder="1" applyAlignment="1" applyProtection="1">
      <alignment horizontal="left" vertical="center"/>
    </xf>
    <xf numFmtId="0" fontId="17" fillId="0" borderId="3" xfId="0" applyFont="1" applyBorder="1" applyAlignment="1" applyProtection="1">
      <alignment horizontal="center" vertical="center" wrapText="1"/>
    </xf>
    <xf numFmtId="0" fontId="8" fillId="9" borderId="2" xfId="1" applyFont="1" applyFill="1" applyBorder="1" applyAlignment="1" applyProtection="1">
      <alignment horizontal="center" vertical="center" wrapText="1"/>
    </xf>
    <xf numFmtId="0" fontId="8" fillId="3" borderId="3" xfId="0" applyFont="1" applyFill="1" applyBorder="1" applyAlignment="1" applyProtection="1">
      <alignment horizontal="left"/>
    </xf>
    <xf numFmtId="0" fontId="8" fillId="3" borderId="18" xfId="0" applyFont="1" applyFill="1" applyBorder="1" applyAlignment="1" applyProtection="1">
      <alignment horizontal="left"/>
    </xf>
    <xf numFmtId="0" fontId="17" fillId="3" borderId="5" xfId="0" applyFont="1" applyFill="1" applyBorder="1" applyAlignment="1" applyProtection="1">
      <alignment horizontal="left"/>
    </xf>
    <xf numFmtId="0" fontId="17" fillId="3" borderId="19" xfId="0" applyFont="1" applyFill="1" applyBorder="1" applyAlignment="1" applyProtection="1">
      <alignment horizontal="center"/>
    </xf>
    <xf numFmtId="0" fontId="8" fillId="0" borderId="2" xfId="1" applyFont="1" applyFill="1" applyBorder="1" applyAlignment="1" applyProtection="1">
      <alignment horizontal="center" vertical="center" wrapText="1"/>
    </xf>
    <xf numFmtId="9" fontId="35" fillId="0" borderId="2" xfId="0" applyNumberFormat="1" applyFont="1" applyBorder="1" applyAlignment="1" applyProtection="1">
      <alignment horizontal="center" vertical="center" wrapText="1" readingOrder="1"/>
    </xf>
    <xf numFmtId="0" fontId="35" fillId="0" borderId="2" xfId="0" applyFont="1" applyBorder="1" applyAlignment="1" applyProtection="1">
      <alignment horizontal="center" vertical="center" wrapText="1" readingOrder="1"/>
    </xf>
    <xf numFmtId="164" fontId="17" fillId="18" borderId="2" xfId="0" applyNumberFormat="1" applyFont="1" applyFill="1" applyBorder="1" applyAlignment="1" applyProtection="1">
      <alignment horizontal="center" vertical="center" wrapText="1"/>
    </xf>
    <xf numFmtId="164" fontId="35" fillId="18" borderId="3" xfId="6" applyNumberFormat="1" applyFont="1" applyFill="1" applyBorder="1" applyAlignment="1" applyProtection="1">
      <alignment horizontal="center" vertical="center"/>
    </xf>
    <xf numFmtId="0" fontId="17" fillId="18" borderId="2" xfId="9" applyFont="1" applyFill="1" applyBorder="1" applyAlignment="1" applyProtection="1">
      <alignment horizontal="center" vertical="center" wrapText="1"/>
    </xf>
    <xf numFmtId="0" fontId="8" fillId="18" borderId="2" xfId="0" applyFont="1" applyFill="1" applyBorder="1" applyAlignment="1" applyProtection="1">
      <alignment horizontal="justify" vertical="center" wrapText="1"/>
    </xf>
    <xf numFmtId="0" fontId="8" fillId="18" borderId="2" xfId="0" applyFont="1" applyFill="1" applyBorder="1" applyAlignment="1" applyProtection="1">
      <alignment horizontal="center" vertical="center" wrapText="1"/>
    </xf>
    <xf numFmtId="0" fontId="8" fillId="18" borderId="3" xfId="36" applyNumberFormat="1" applyFont="1" applyFill="1" applyBorder="1" applyAlignment="1" applyProtection="1">
      <alignment horizontal="center" vertical="center" wrapText="1"/>
    </xf>
    <xf numFmtId="9" fontId="8" fillId="0" borderId="2" xfId="8" applyFont="1" applyBorder="1" applyAlignment="1" applyProtection="1">
      <alignment horizontal="center" vertical="center" wrapText="1"/>
    </xf>
    <xf numFmtId="0" fontId="8" fillId="0" borderId="3" xfId="36" applyNumberFormat="1" applyFont="1" applyBorder="1" applyAlignment="1" applyProtection="1">
      <alignment horizontal="center" vertical="center" wrapText="1"/>
    </xf>
    <xf numFmtId="0" fontId="35" fillId="0" borderId="2" xfId="0" applyFont="1" applyBorder="1" applyAlignment="1" applyProtection="1">
      <alignment horizontal="justify" vertical="top" wrapText="1"/>
    </xf>
    <xf numFmtId="0" fontId="35" fillId="3" borderId="2" xfId="0" applyFont="1" applyFill="1" applyBorder="1" applyAlignment="1" applyProtection="1">
      <alignment horizontal="justify" vertical="top" wrapText="1"/>
    </xf>
    <xf numFmtId="0" fontId="17" fillId="0" borderId="2" xfId="0" applyFont="1" applyBorder="1" applyAlignment="1" applyProtection="1">
      <alignment horizontal="justify" vertical="center" wrapText="1"/>
    </xf>
    <xf numFmtId="0" fontId="17" fillId="0" borderId="3" xfId="0" applyFont="1" applyBorder="1" applyAlignment="1" applyProtection="1">
      <alignment horizontal="justify" vertical="center" wrapText="1"/>
    </xf>
    <xf numFmtId="0" fontId="17" fillId="0" borderId="3" xfId="0" applyFont="1" applyBorder="1" applyAlignment="1" applyProtection="1">
      <alignment horizontal="center" vertical="center" wrapText="1"/>
    </xf>
    <xf numFmtId="0" fontId="46" fillId="0" borderId="38" xfId="0" applyFont="1" applyBorder="1" applyAlignment="1" applyProtection="1">
      <alignment horizontal="center" vertical="center" wrapText="1"/>
    </xf>
    <xf numFmtId="0" fontId="46" fillId="0" borderId="37" xfId="0" applyFont="1" applyBorder="1" applyAlignment="1" applyProtection="1">
      <alignment horizontal="center" vertical="center"/>
    </xf>
    <xf numFmtId="0" fontId="46" fillId="0" borderId="40" xfId="0" applyFont="1" applyBorder="1" applyAlignment="1" applyProtection="1">
      <alignment horizontal="center" vertical="center"/>
    </xf>
    <xf numFmtId="0" fontId="46" fillId="0" borderId="2" xfId="0" applyFont="1" applyBorder="1" applyAlignment="1" applyProtection="1">
      <alignment horizontal="center" vertical="center"/>
    </xf>
    <xf numFmtId="0" fontId="8" fillId="0" borderId="37"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32" fillId="0" borderId="37" xfId="0" applyFont="1" applyBorder="1" applyAlignment="1" applyProtection="1">
      <alignment horizontal="left" vertical="center"/>
    </xf>
    <xf numFmtId="0" fontId="32" fillId="0" borderId="39" xfId="0" applyFont="1" applyBorder="1" applyAlignment="1" applyProtection="1">
      <alignment horizontal="left" vertical="center"/>
    </xf>
    <xf numFmtId="0" fontId="32" fillId="0" borderId="2" xfId="0" applyFont="1" applyBorder="1" applyAlignment="1" applyProtection="1">
      <alignment horizontal="left" vertical="center" wrapText="1"/>
    </xf>
    <xf numFmtId="0" fontId="32" fillId="0" borderId="41" xfId="0" applyFont="1" applyBorder="1" applyAlignment="1" applyProtection="1">
      <alignment horizontal="left" vertical="center" wrapText="1"/>
    </xf>
    <xf numFmtId="0" fontId="36" fillId="0" borderId="34" xfId="0" applyFont="1" applyBorder="1" applyAlignment="1" applyProtection="1">
      <alignment horizontal="center" wrapText="1"/>
    </xf>
    <xf numFmtId="0" fontId="36" fillId="0" borderId="1" xfId="0" applyFont="1" applyBorder="1" applyAlignment="1" applyProtection="1">
      <alignment horizontal="center" wrapText="1"/>
    </xf>
    <xf numFmtId="0" fontId="36" fillId="0" borderId="36" xfId="0" applyFont="1" applyBorder="1" applyAlignment="1" applyProtection="1">
      <alignment horizontal="center" wrapText="1"/>
    </xf>
    <xf numFmtId="0" fontId="30" fillId="19" borderId="2" xfId="0" applyFont="1" applyFill="1" applyBorder="1" applyAlignment="1" applyProtection="1">
      <alignment horizontal="center" vertical="center" wrapText="1"/>
    </xf>
    <xf numFmtId="0" fontId="17" fillId="0" borderId="2" xfId="0" applyFont="1" applyBorder="1" applyAlignment="1" applyProtection="1">
      <alignment horizontal="left" vertical="center" wrapText="1"/>
    </xf>
    <xf numFmtId="0" fontId="17" fillId="0" borderId="7" xfId="0" applyFont="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21" fillId="0" borderId="43" xfId="0" applyFont="1" applyBorder="1" applyAlignment="1" applyProtection="1">
      <alignment horizontal="center" vertical="center" wrapText="1"/>
    </xf>
    <xf numFmtId="0" fontId="21" fillId="0" borderId="11" xfId="0" applyFont="1" applyBorder="1" applyAlignment="1" applyProtection="1">
      <alignment horizontal="center" vertical="center"/>
    </xf>
    <xf numFmtId="0" fontId="21" fillId="0" borderId="6" xfId="0" applyFont="1" applyBorder="1" applyAlignment="1" applyProtection="1">
      <alignment horizontal="center" vertical="center"/>
    </xf>
    <xf numFmtId="0" fontId="11" fillId="9" borderId="7" xfId="0" applyFont="1" applyFill="1" applyBorder="1" applyAlignment="1" applyProtection="1">
      <alignment horizontal="center" vertical="center"/>
    </xf>
    <xf numFmtId="0" fontId="11" fillId="9" borderId="42" xfId="0" applyFont="1" applyFill="1" applyBorder="1" applyAlignment="1" applyProtection="1">
      <alignment horizontal="center" vertical="center"/>
    </xf>
    <xf numFmtId="0" fontId="11" fillId="9" borderId="43" xfId="0" applyFont="1" applyFill="1" applyBorder="1" applyAlignment="1" applyProtection="1">
      <alignment horizontal="center" wrapText="1"/>
    </xf>
    <xf numFmtId="0" fontId="11" fillId="9" borderId="11" xfId="0" applyFont="1" applyFill="1" applyBorder="1" applyAlignment="1" applyProtection="1">
      <alignment horizontal="center" wrapText="1"/>
    </xf>
    <xf numFmtId="0" fontId="11" fillId="9" borderId="6" xfId="0" applyFont="1" applyFill="1" applyBorder="1" applyAlignment="1" applyProtection="1">
      <alignment horizontal="center" wrapText="1"/>
    </xf>
    <xf numFmtId="0" fontId="17" fillId="0" borderId="2" xfId="0" applyFont="1" applyBorder="1" applyAlignment="1" applyProtection="1">
      <alignment horizontal="justify" vertical="center" wrapText="1"/>
    </xf>
    <xf numFmtId="0" fontId="11" fillId="0" borderId="34" xfId="0" applyFont="1" applyFill="1" applyBorder="1" applyAlignment="1" applyProtection="1">
      <alignment horizontal="center" wrapText="1"/>
    </xf>
    <xf numFmtId="0" fontId="11" fillId="0" borderId="1" xfId="0" applyFont="1" applyFill="1" applyBorder="1" applyAlignment="1" applyProtection="1">
      <alignment horizontal="center" wrapText="1"/>
    </xf>
    <xf numFmtId="0" fontId="11" fillId="0" borderId="1" xfId="0" applyFont="1" applyFill="1" applyBorder="1" applyAlignment="1" applyProtection="1">
      <alignment horizontal="center" vertical="center"/>
    </xf>
    <xf numFmtId="0" fontId="11" fillId="0" borderId="36" xfId="0" applyFont="1" applyFill="1" applyBorder="1" applyAlignment="1" applyProtection="1">
      <alignment horizontal="center" vertical="center"/>
    </xf>
    <xf numFmtId="0" fontId="21" fillId="0" borderId="34" xfId="0"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xf>
    <xf numFmtId="0" fontId="17" fillId="0" borderId="1" xfId="0" applyFont="1" applyFill="1" applyBorder="1" applyAlignment="1" applyProtection="1">
      <alignment horizontal="center" vertical="center" wrapText="1"/>
    </xf>
    <xf numFmtId="0" fontId="17" fillId="0" borderId="36" xfId="0" applyFont="1" applyFill="1" applyBorder="1" applyAlignment="1" applyProtection="1">
      <alignment horizontal="center" vertical="center" wrapText="1"/>
    </xf>
    <xf numFmtId="0" fontId="36" fillId="0" borderId="35" xfId="0" applyFont="1" applyBorder="1" applyAlignment="1" applyProtection="1">
      <alignment horizontal="center" wrapText="1"/>
    </xf>
    <xf numFmtId="0" fontId="36" fillId="0" borderId="27" xfId="0" applyFont="1" applyBorder="1" applyAlignment="1" applyProtection="1">
      <alignment horizontal="center" wrapText="1"/>
    </xf>
    <xf numFmtId="0" fontId="36" fillId="0" borderId="23" xfId="0" applyFont="1" applyBorder="1" applyAlignment="1" applyProtection="1">
      <alignment horizontal="center" wrapText="1"/>
    </xf>
    <xf numFmtId="0" fontId="22" fillId="0" borderId="34" xfId="0" applyFont="1" applyBorder="1" applyAlignment="1" applyProtection="1">
      <alignment horizontal="justify" vertical="top" wrapText="1"/>
    </xf>
    <xf numFmtId="0" fontId="22" fillId="0" borderId="1" xfId="0" applyFont="1" applyBorder="1" applyAlignment="1" applyProtection="1">
      <alignment horizontal="justify" vertical="top"/>
    </xf>
    <xf numFmtId="0" fontId="22" fillId="0" borderId="36" xfId="0" applyFont="1" applyBorder="1" applyAlignment="1" applyProtection="1">
      <alignment horizontal="justify" vertical="top"/>
    </xf>
    <xf numFmtId="0" fontId="22" fillId="0" borderId="34" xfId="0" applyFont="1" applyBorder="1" applyAlignment="1" applyProtection="1">
      <alignment horizontal="justify" vertical="top"/>
    </xf>
    <xf numFmtId="0" fontId="35" fillId="18" borderId="3" xfId="0" applyFont="1" applyFill="1" applyBorder="1" applyAlignment="1" applyProtection="1">
      <alignment horizontal="justify" vertical="top" wrapText="1" readingOrder="1"/>
    </xf>
    <xf numFmtId="0" fontId="35" fillId="18" borderId="5" xfId="0" applyFont="1" applyFill="1" applyBorder="1" applyAlignment="1" applyProtection="1">
      <alignment horizontal="justify" vertical="top" wrapText="1" readingOrder="1"/>
    </xf>
    <xf numFmtId="0" fontId="35" fillId="18" borderId="4" xfId="0" applyFont="1" applyFill="1" applyBorder="1" applyAlignment="1" applyProtection="1">
      <alignment horizontal="justify" vertical="top" wrapText="1" readingOrder="1"/>
    </xf>
    <xf numFmtId="0" fontId="38" fillId="18" borderId="3" xfId="0" applyFont="1" applyFill="1" applyBorder="1" applyAlignment="1" applyProtection="1">
      <alignment horizontal="justify" vertical="top" wrapText="1"/>
    </xf>
    <xf numFmtId="0" fontId="38" fillId="18" borderId="4" xfId="0" applyFont="1" applyFill="1" applyBorder="1" applyAlignment="1" applyProtection="1">
      <alignment horizontal="justify" vertical="top" wrapText="1"/>
    </xf>
    <xf numFmtId="0" fontId="38" fillId="18" borderId="5" xfId="0" applyFont="1" applyFill="1" applyBorder="1" applyAlignment="1" applyProtection="1">
      <alignment horizontal="justify" vertical="top" wrapText="1"/>
    </xf>
    <xf numFmtId="0" fontId="12" fillId="0" borderId="33" xfId="1" applyFont="1" applyBorder="1" applyAlignment="1" applyProtection="1">
      <alignment horizontal="center" vertical="center"/>
    </xf>
    <xf numFmtId="0" fontId="35" fillId="0" borderId="3" xfId="0" applyFont="1" applyBorder="1" applyAlignment="1" applyProtection="1">
      <alignment horizontal="justify" vertical="top" wrapText="1" readingOrder="1"/>
    </xf>
    <xf numFmtId="0" fontId="35" fillId="0" borderId="5" xfId="0" applyFont="1" applyBorder="1" applyAlignment="1" applyProtection="1">
      <alignment horizontal="justify" vertical="top" wrapText="1" readingOrder="1"/>
    </xf>
    <xf numFmtId="0" fontId="35" fillId="0" borderId="4" xfId="0" applyFont="1" applyBorder="1" applyAlignment="1" applyProtection="1">
      <alignment horizontal="justify" vertical="top" wrapText="1" readingOrder="1"/>
    </xf>
    <xf numFmtId="0" fontId="38" fillId="0" borderId="3" xfId="0" applyFont="1" applyBorder="1" applyAlignment="1" applyProtection="1">
      <alignment horizontal="justify" vertical="top" wrapText="1"/>
    </xf>
    <xf numFmtId="0" fontId="38" fillId="0" borderId="4" xfId="0" applyFont="1" applyBorder="1" applyAlignment="1" applyProtection="1">
      <alignment horizontal="justify" vertical="top" wrapText="1"/>
    </xf>
    <xf numFmtId="0" fontId="38" fillId="0" borderId="5" xfId="0" applyFont="1" applyBorder="1" applyAlignment="1" applyProtection="1">
      <alignment horizontal="justify" vertical="top" wrapText="1"/>
    </xf>
    <xf numFmtId="9" fontId="17" fillId="0" borderId="3" xfId="8" applyFont="1" applyBorder="1" applyAlignment="1" applyProtection="1">
      <alignment horizontal="center" vertical="center" wrapText="1"/>
    </xf>
    <xf numFmtId="9" fontId="17" fillId="0" borderId="5" xfId="8" applyFont="1" applyBorder="1" applyAlignment="1" applyProtection="1">
      <alignment horizontal="center" vertical="center" wrapText="1"/>
    </xf>
    <xf numFmtId="0" fontId="17" fillId="0" borderId="3" xfId="0" applyFont="1" applyBorder="1" applyAlignment="1" applyProtection="1">
      <alignment horizontal="justify" vertical="center" wrapText="1"/>
    </xf>
    <xf numFmtId="0" fontId="17" fillId="0" borderId="5" xfId="0" applyFont="1" applyBorder="1" applyAlignment="1" applyProtection="1">
      <alignment horizontal="justify" vertical="center" wrapText="1"/>
    </xf>
    <xf numFmtId="0" fontId="35" fillId="0" borderId="3" xfId="0" applyFont="1" applyFill="1" applyBorder="1" applyAlignment="1" applyProtection="1">
      <alignment horizontal="justify" vertical="top" wrapText="1" readingOrder="1"/>
    </xf>
    <xf numFmtId="0" fontId="35" fillId="0" borderId="5" xfId="0" applyFont="1" applyFill="1" applyBorder="1" applyAlignment="1" applyProtection="1">
      <alignment horizontal="justify" vertical="top" wrapText="1" readingOrder="1"/>
    </xf>
    <xf numFmtId="0" fontId="17" fillId="0" borderId="3" xfId="0" applyFont="1" applyFill="1" applyBorder="1" applyAlignment="1" applyProtection="1">
      <alignment horizontal="justify" vertical="center" wrapText="1"/>
    </xf>
    <xf numFmtId="0" fontId="17" fillId="0" borderId="4" xfId="0" applyFont="1" applyFill="1" applyBorder="1" applyAlignment="1" applyProtection="1">
      <alignment horizontal="justify" vertical="center" wrapText="1"/>
    </xf>
    <xf numFmtId="0" fontId="17" fillId="0" borderId="5" xfId="0" applyFont="1" applyFill="1" applyBorder="1" applyAlignment="1" applyProtection="1">
      <alignment horizontal="justify" vertical="center" wrapText="1"/>
    </xf>
    <xf numFmtId="0" fontId="8" fillId="3" borderId="16" xfId="0" applyFont="1" applyFill="1" applyBorder="1" applyAlignment="1" applyProtection="1">
      <alignment horizontal="left"/>
    </xf>
    <xf numFmtId="0" fontId="17" fillId="3" borderId="17" xfId="0" applyFont="1" applyFill="1" applyBorder="1" applyAlignment="1" applyProtection="1">
      <alignment horizontal="left"/>
    </xf>
    <xf numFmtId="0" fontId="8" fillId="3" borderId="20" xfId="0" applyFont="1" applyFill="1" applyBorder="1" applyAlignment="1" applyProtection="1">
      <alignment horizontal="left"/>
    </xf>
    <xf numFmtId="0" fontId="17" fillId="3" borderId="21" xfId="0" applyFont="1" applyFill="1" applyBorder="1" applyAlignment="1" applyProtection="1">
      <alignment horizontal="left"/>
    </xf>
    <xf numFmtId="165" fontId="17" fillId="3" borderId="22" xfId="0" quotePrefix="1" applyNumberFormat="1" applyFont="1" applyFill="1" applyBorder="1" applyAlignment="1" applyProtection="1">
      <alignment horizontal="left"/>
    </xf>
    <xf numFmtId="165" fontId="17" fillId="3" borderId="23" xfId="0" applyNumberFormat="1" applyFont="1" applyFill="1" applyBorder="1" applyAlignment="1" applyProtection="1">
      <alignment horizontal="left"/>
    </xf>
    <xf numFmtId="0" fontId="29" fillId="0" borderId="1" xfId="0" applyFont="1" applyBorder="1" applyAlignment="1" applyProtection="1">
      <alignment horizontal="left" vertical="center"/>
    </xf>
    <xf numFmtId="0" fontId="8" fillId="8" borderId="3" xfId="0" applyFont="1" applyFill="1" applyBorder="1" applyAlignment="1" applyProtection="1">
      <alignment horizontal="center" vertical="center" wrapText="1"/>
    </xf>
    <xf numFmtId="0" fontId="8" fillId="8" borderId="4" xfId="0" applyFont="1" applyFill="1" applyBorder="1" applyAlignment="1" applyProtection="1">
      <alignment horizontal="center" vertical="center" wrapText="1"/>
    </xf>
    <xf numFmtId="0" fontId="8" fillId="8" borderId="5" xfId="0" applyFont="1" applyFill="1" applyBorder="1" applyAlignment="1" applyProtection="1">
      <alignment horizontal="center" vertical="center" wrapText="1"/>
    </xf>
    <xf numFmtId="0" fontId="25" fillId="0" borderId="24" xfId="0" applyFont="1" applyBorder="1" applyAlignment="1" applyProtection="1">
      <alignment horizontal="center" vertical="center" wrapText="1"/>
    </xf>
    <xf numFmtId="0" fontId="25" fillId="0" borderId="25" xfId="0" applyFont="1" applyBorder="1" applyAlignment="1" applyProtection="1">
      <alignment horizontal="center" vertical="center" wrapText="1"/>
    </xf>
    <xf numFmtId="0" fontId="25" fillId="0" borderId="26" xfId="0" applyFont="1" applyBorder="1" applyAlignment="1" applyProtection="1">
      <alignment horizontal="center" vertical="center" wrapText="1"/>
    </xf>
    <xf numFmtId="0" fontId="25" fillId="0" borderId="8" xfId="0" applyFont="1" applyBorder="1" applyAlignment="1" applyProtection="1">
      <alignment horizontal="center" vertical="center" wrapText="1"/>
    </xf>
    <xf numFmtId="0" fontId="25" fillId="0" borderId="1" xfId="0" applyFont="1" applyBorder="1" applyAlignment="1" applyProtection="1">
      <alignment horizontal="center" vertical="center" wrapText="1"/>
    </xf>
    <xf numFmtId="0" fontId="25" fillId="0" borderId="12" xfId="0" applyFont="1" applyBorder="1" applyAlignment="1" applyProtection="1">
      <alignment horizontal="center" vertical="center" wrapText="1"/>
    </xf>
    <xf numFmtId="0" fontId="25" fillId="0" borderId="22" xfId="0" applyFont="1" applyBorder="1" applyAlignment="1" applyProtection="1">
      <alignment horizontal="center" vertical="center" wrapText="1"/>
    </xf>
    <xf numFmtId="0" fontId="25" fillId="0" borderId="27" xfId="0" applyFont="1" applyBorder="1" applyAlignment="1" applyProtection="1">
      <alignment horizontal="center" vertical="center" wrapText="1"/>
    </xf>
    <xf numFmtId="0" fontId="25" fillId="0" borderId="28" xfId="0" applyFont="1" applyBorder="1" applyAlignment="1" applyProtection="1">
      <alignment horizontal="center" vertical="center" wrapText="1"/>
    </xf>
    <xf numFmtId="0" fontId="8" fillId="8" borderId="2" xfId="0" applyFont="1" applyFill="1" applyBorder="1" applyAlignment="1" applyProtection="1">
      <alignment horizontal="center" vertical="center" wrapText="1"/>
    </xf>
    <xf numFmtId="0" fontId="47" fillId="0" borderId="13" xfId="0" applyFont="1" applyFill="1" applyBorder="1" applyAlignment="1" applyProtection="1">
      <alignment horizontal="center" vertical="center" wrapText="1"/>
    </xf>
    <xf numFmtId="0" fontId="47" fillId="0" borderId="14" xfId="0" applyFont="1" applyFill="1" applyBorder="1" applyAlignment="1" applyProtection="1">
      <alignment horizontal="center" vertical="center"/>
    </xf>
    <xf numFmtId="0" fontId="47" fillId="0" borderId="15" xfId="0" applyFont="1" applyFill="1" applyBorder="1" applyAlignment="1" applyProtection="1">
      <alignment horizontal="center" vertical="center"/>
    </xf>
    <xf numFmtId="0" fontId="35" fillId="0" borderId="3" xfId="0" applyFont="1" applyBorder="1" applyAlignment="1" applyProtection="1">
      <alignment horizontal="justify" vertical="center" wrapText="1"/>
    </xf>
    <xf numFmtId="0" fontId="35" fillId="0" borderId="5" xfId="0" applyFont="1" applyBorder="1" applyAlignment="1" applyProtection="1">
      <alignment horizontal="justify" vertical="center" wrapText="1"/>
    </xf>
    <xf numFmtId="9" fontId="17" fillId="0" borderId="4" xfId="8" applyFont="1" applyBorder="1" applyAlignment="1" applyProtection="1">
      <alignment horizontal="center" vertical="center" wrapText="1"/>
    </xf>
    <xf numFmtId="0" fontId="35" fillId="0" borderId="4" xfId="0" applyFont="1" applyFill="1" applyBorder="1" applyAlignment="1" applyProtection="1">
      <alignment horizontal="justify" vertical="top" wrapText="1" readingOrder="1"/>
    </xf>
    <xf numFmtId="0" fontId="11" fillId="12" borderId="7" xfId="1" applyFont="1" applyFill="1" applyBorder="1" applyAlignment="1" applyProtection="1">
      <alignment horizontal="right" vertical="center"/>
    </xf>
    <xf numFmtId="0" fontId="11" fillId="12" borderId="11" xfId="1" applyFont="1" applyFill="1" applyBorder="1" applyAlignment="1" applyProtection="1">
      <alignment horizontal="right" vertical="center"/>
    </xf>
    <xf numFmtId="0" fontId="32" fillId="10" borderId="2" xfId="1" applyFont="1" applyFill="1" applyBorder="1" applyAlignment="1" applyProtection="1">
      <alignment horizontal="center" vertical="center" wrapText="1"/>
    </xf>
    <xf numFmtId="0" fontId="8" fillId="9" borderId="2" xfId="1" applyFont="1" applyFill="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8" fillId="10" borderId="7" xfId="1" applyFont="1" applyFill="1" applyBorder="1" applyAlignment="1">
      <alignment horizontal="center" vertical="center" wrapText="1"/>
    </xf>
    <xf numFmtId="0" fontId="8" fillId="10" borderId="11" xfId="1" applyFont="1" applyFill="1" applyBorder="1" applyAlignment="1">
      <alignment horizontal="center" vertical="center" wrapText="1"/>
    </xf>
    <xf numFmtId="0" fontId="8" fillId="10" borderId="6" xfId="1" applyFont="1" applyFill="1" applyBorder="1" applyAlignment="1">
      <alignment horizontal="center" vertical="center" wrapText="1"/>
    </xf>
    <xf numFmtId="0" fontId="30" fillId="10" borderId="3" xfId="1" applyFont="1" applyFill="1" applyBorder="1" applyAlignment="1" applyProtection="1">
      <alignment horizontal="center" vertical="center" wrapText="1"/>
    </xf>
    <xf numFmtId="0" fontId="30" fillId="10" borderId="4" xfId="1" applyFont="1" applyFill="1" applyBorder="1" applyAlignment="1" applyProtection="1">
      <alignment horizontal="center" vertical="center" wrapText="1"/>
    </xf>
    <xf numFmtId="0" fontId="30" fillId="10" borderId="5" xfId="1" applyFont="1" applyFill="1" applyBorder="1" applyAlignment="1" applyProtection="1">
      <alignment horizontal="center" vertical="center" wrapText="1"/>
    </xf>
    <xf numFmtId="0" fontId="8" fillId="14" borderId="7" xfId="1" applyFont="1" applyFill="1" applyBorder="1" applyAlignment="1">
      <alignment horizontal="center" vertical="center" wrapText="1"/>
    </xf>
    <xf numFmtId="0" fontId="8" fillId="14" borderId="11" xfId="1" applyFont="1" applyFill="1" applyBorder="1" applyAlignment="1">
      <alignment horizontal="center" vertical="center" wrapText="1"/>
    </xf>
    <xf numFmtId="0" fontId="8" fillId="14" borderId="6" xfId="1" applyFont="1" applyFill="1" applyBorder="1" applyAlignment="1">
      <alignment horizontal="center" vertical="center" wrapText="1"/>
    </xf>
    <xf numFmtId="0" fontId="30" fillId="14" borderId="3" xfId="1" applyFont="1" applyFill="1" applyBorder="1" applyAlignment="1" applyProtection="1">
      <alignment horizontal="center" vertical="center" wrapText="1"/>
    </xf>
    <xf numFmtId="0" fontId="30" fillId="14" borderId="4" xfId="1" applyFont="1" applyFill="1" applyBorder="1" applyAlignment="1" applyProtection="1">
      <alignment horizontal="center" vertical="center" wrapText="1"/>
    </xf>
    <xf numFmtId="0" fontId="30" fillId="14" borderId="5" xfId="1" applyFont="1" applyFill="1" applyBorder="1" applyAlignment="1" applyProtection="1">
      <alignment horizontal="center" vertical="center" wrapText="1"/>
    </xf>
    <xf numFmtId="0" fontId="17" fillId="0" borderId="7" xfId="0" applyFont="1" applyBorder="1" applyAlignment="1" applyProtection="1">
      <alignment horizontal="justify" vertical="center"/>
    </xf>
    <xf numFmtId="0" fontId="17" fillId="0" borderId="6" xfId="0" applyFont="1" applyBorder="1" applyAlignment="1" applyProtection="1">
      <alignment horizontal="justify" vertical="center"/>
    </xf>
    <xf numFmtId="0" fontId="33" fillId="0" borderId="7" xfId="0" applyFont="1" applyBorder="1" applyAlignment="1" applyProtection="1">
      <alignment horizontal="left" vertical="center"/>
    </xf>
    <xf numFmtId="0" fontId="33" fillId="0" borderId="6" xfId="0" applyFont="1" applyBorder="1" applyAlignment="1" applyProtection="1">
      <alignment horizontal="left" vertical="center"/>
    </xf>
    <xf numFmtId="0" fontId="11" fillId="6" borderId="8" xfId="1" applyFont="1" applyFill="1" applyBorder="1" applyAlignment="1" applyProtection="1">
      <alignment horizontal="right" vertical="center"/>
    </xf>
    <xf numFmtId="0" fontId="11" fillId="6" borderId="1" xfId="1" applyFont="1" applyFill="1" applyBorder="1" applyAlignment="1" applyProtection="1">
      <alignment horizontal="right" vertical="center"/>
    </xf>
    <xf numFmtId="0" fontId="26" fillId="13" borderId="7" xfId="1" applyFont="1" applyFill="1" applyBorder="1" applyAlignment="1">
      <alignment horizontal="center" vertical="center" wrapText="1"/>
    </xf>
    <xf numFmtId="0" fontId="26" fillId="13" borderId="11" xfId="1" applyFont="1" applyFill="1" applyBorder="1" applyAlignment="1">
      <alignment horizontal="center" vertical="center" wrapText="1"/>
    </xf>
    <xf numFmtId="0" fontId="26" fillId="13" borderId="6" xfId="1" applyFont="1" applyFill="1" applyBorder="1" applyAlignment="1">
      <alignment horizontal="center" vertical="center" wrapText="1"/>
    </xf>
    <xf numFmtId="0" fontId="31" fillId="13" borderId="3" xfId="1" applyFont="1" applyFill="1" applyBorder="1" applyAlignment="1" applyProtection="1">
      <alignment horizontal="center" vertical="center" wrapText="1"/>
    </xf>
    <xf numFmtId="0" fontId="31" fillId="13" borderId="4" xfId="1" applyFont="1" applyFill="1" applyBorder="1" applyAlignment="1" applyProtection="1">
      <alignment horizontal="center" vertical="center" wrapText="1"/>
    </xf>
    <xf numFmtId="0" fontId="31" fillId="13" borderId="5" xfId="1" applyFont="1" applyFill="1" applyBorder="1" applyAlignment="1" applyProtection="1">
      <alignment horizontal="center" vertical="center" wrapText="1"/>
    </xf>
    <xf numFmtId="0" fontId="8" fillId="8" borderId="2" xfId="9" applyFont="1" applyFill="1" applyBorder="1" applyAlignment="1">
      <alignment horizontal="center" vertical="center" wrapText="1"/>
    </xf>
    <xf numFmtId="0" fontId="8" fillId="8" borderId="2" xfId="0" applyFont="1" applyFill="1" applyBorder="1" applyAlignment="1">
      <alignment horizontal="center" vertical="center" wrapText="1"/>
    </xf>
    <xf numFmtId="0" fontId="17" fillId="0" borderId="12" xfId="1" applyFont="1" applyBorder="1" applyAlignment="1" applyProtection="1">
      <alignment horizontal="left" vertical="center"/>
    </xf>
    <xf numFmtId="0" fontId="17" fillId="0" borderId="1" xfId="1" applyFont="1" applyBorder="1" applyAlignment="1" applyProtection="1">
      <alignment horizontal="left" vertical="center"/>
    </xf>
    <xf numFmtId="0" fontId="17" fillId="0" borderId="8" xfId="1" applyFont="1" applyBorder="1" applyAlignment="1" applyProtection="1">
      <alignment horizontal="left" vertical="center"/>
    </xf>
    <xf numFmtId="0" fontId="10" fillId="10" borderId="2" xfId="1" applyFont="1" applyFill="1" applyBorder="1" applyAlignment="1" applyProtection="1">
      <alignment horizontal="center" vertical="center" wrapText="1"/>
    </xf>
    <xf numFmtId="0" fontId="9" fillId="7" borderId="2" xfId="1" applyFont="1" applyFill="1" applyBorder="1" applyAlignment="1" applyProtection="1">
      <alignment horizontal="center" vertical="center" wrapText="1"/>
    </xf>
    <xf numFmtId="0" fontId="9" fillId="9" borderId="2" xfId="1" applyFont="1" applyFill="1" applyBorder="1" applyAlignment="1" applyProtection="1">
      <alignment horizontal="center" vertical="center" wrapText="1"/>
    </xf>
    <xf numFmtId="0" fontId="25" fillId="0" borderId="29" xfId="0" applyFont="1" applyBorder="1" applyAlignment="1" applyProtection="1">
      <alignment horizontal="center" vertical="center" wrapText="1"/>
    </xf>
    <xf numFmtId="0" fontId="25" fillId="0" borderId="25" xfId="0" applyFont="1" applyBorder="1" applyAlignment="1" applyProtection="1">
      <alignment horizontal="center" vertical="center"/>
    </xf>
    <xf numFmtId="0" fontId="25" fillId="0" borderId="30" xfId="0" applyFont="1" applyBorder="1" applyAlignment="1" applyProtection="1">
      <alignment horizontal="center" vertical="center"/>
    </xf>
    <xf numFmtId="0" fontId="25" fillId="0" borderId="34" xfId="0" applyFont="1" applyBorder="1" applyAlignment="1" applyProtection="1">
      <alignment horizontal="center" vertical="center"/>
    </xf>
    <xf numFmtId="0" fontId="25" fillId="0" borderId="1" xfId="0" applyFont="1" applyBorder="1" applyAlignment="1" applyProtection="1">
      <alignment horizontal="center" vertical="center"/>
    </xf>
    <xf numFmtId="0" fontId="25" fillId="0" borderId="36" xfId="0" applyFont="1" applyBorder="1" applyAlignment="1" applyProtection="1">
      <alignment horizontal="center" vertical="center"/>
    </xf>
    <xf numFmtId="0" fontId="25" fillId="0" borderId="35" xfId="0" applyFont="1" applyBorder="1" applyAlignment="1" applyProtection="1">
      <alignment horizontal="center" vertical="center"/>
    </xf>
    <xf numFmtId="0" fontId="25" fillId="0" borderId="27" xfId="0" applyFont="1" applyBorder="1" applyAlignment="1" applyProtection="1">
      <alignment horizontal="center" vertical="center"/>
    </xf>
    <xf numFmtId="0" fontId="25" fillId="0" borderId="23" xfId="0" applyFont="1" applyBorder="1" applyAlignment="1" applyProtection="1">
      <alignment horizontal="center" vertical="center"/>
    </xf>
    <xf numFmtId="0" fontId="9" fillId="0" borderId="2" xfId="1" applyFont="1" applyFill="1" applyBorder="1" applyAlignment="1" applyProtection="1">
      <alignment horizontal="center" vertical="center" wrapText="1"/>
    </xf>
    <xf numFmtId="0" fontId="33" fillId="0" borderId="2" xfId="0" applyFont="1" applyBorder="1" applyAlignment="1" applyProtection="1">
      <alignment horizontal="left" vertical="center"/>
    </xf>
    <xf numFmtId="0" fontId="6" fillId="0" borderId="1" xfId="1" applyFont="1" applyBorder="1" applyAlignment="1" applyProtection="1">
      <alignment horizontal="left" vertical="center"/>
    </xf>
    <xf numFmtId="0" fontId="17" fillId="0" borderId="1" xfId="1" applyFont="1" applyFill="1" applyBorder="1" applyAlignment="1" applyProtection="1">
      <alignment horizontal="left" vertical="center"/>
    </xf>
    <xf numFmtId="0" fontId="8" fillId="0" borderId="1" xfId="1" applyFont="1" applyFill="1" applyBorder="1" applyAlignment="1" applyProtection="1">
      <alignment horizontal="left" vertical="center"/>
    </xf>
    <xf numFmtId="0" fontId="11" fillId="12" borderId="6" xfId="1" applyFont="1" applyFill="1" applyBorder="1" applyAlignment="1" applyProtection="1">
      <alignment horizontal="right" vertical="center"/>
    </xf>
    <xf numFmtId="0" fontId="6" fillId="0" borderId="1" xfId="1" applyFont="1" applyAlignment="1" applyProtection="1">
      <alignment vertical="center"/>
    </xf>
    <xf numFmtId="0" fontId="17" fillId="0" borderId="20" xfId="1" applyFont="1" applyBorder="1" applyAlignment="1" applyProtection="1">
      <alignment horizontal="left" vertical="center" wrapText="1"/>
    </xf>
    <xf numFmtId="0" fontId="17" fillId="0" borderId="33" xfId="1" applyFont="1" applyBorder="1" applyAlignment="1" applyProtection="1">
      <alignment horizontal="left" vertical="center" wrapText="1"/>
    </xf>
    <xf numFmtId="0" fontId="17" fillId="0" borderId="31" xfId="1" applyFont="1" applyBorder="1" applyAlignment="1" applyProtection="1">
      <alignment horizontal="left" vertical="center" wrapText="1"/>
    </xf>
    <xf numFmtId="0" fontId="17" fillId="0" borderId="44" xfId="1" applyFont="1" applyBorder="1" applyAlignment="1" applyProtection="1">
      <alignment horizontal="left" vertical="center" wrapText="1"/>
    </xf>
    <xf numFmtId="0" fontId="17" fillId="0" borderId="45" xfId="1" applyFont="1" applyBorder="1" applyAlignment="1" applyProtection="1">
      <alignment horizontal="left" vertical="center" wrapText="1"/>
    </xf>
    <xf numFmtId="0" fontId="17" fillId="0" borderId="10" xfId="1" applyFont="1" applyBorder="1" applyAlignment="1" applyProtection="1">
      <alignment horizontal="left" vertical="center" wrapText="1"/>
    </xf>
    <xf numFmtId="165" fontId="21" fillId="3" borderId="22" xfId="0" quotePrefix="1" applyNumberFormat="1" applyFont="1" applyFill="1" applyBorder="1" applyAlignment="1" applyProtection="1">
      <alignment horizontal="left"/>
    </xf>
    <xf numFmtId="165" fontId="21" fillId="3" borderId="23" xfId="0" applyNumberFormat="1" applyFont="1" applyFill="1" applyBorder="1" applyAlignment="1" applyProtection="1">
      <alignment horizontal="left"/>
    </xf>
    <xf numFmtId="0" fontId="8" fillId="7" borderId="2" xfId="1" applyFont="1" applyFill="1" applyBorder="1" applyAlignment="1" applyProtection="1">
      <alignment horizontal="center" vertical="center" wrapText="1"/>
    </xf>
    <xf numFmtId="0" fontId="17" fillId="0" borderId="1" xfId="1" applyFont="1" applyAlignment="1" applyProtection="1">
      <alignment horizontal="left" vertical="center"/>
    </xf>
    <xf numFmtId="0" fontId="8" fillId="0" borderId="1" xfId="1" applyFont="1" applyAlignment="1" applyProtection="1">
      <alignment horizontal="left" vertical="center"/>
    </xf>
    <xf numFmtId="0" fontId="8" fillId="0" borderId="20" xfId="1" applyFont="1" applyBorder="1" applyAlignment="1" applyProtection="1">
      <alignment horizontal="left" vertical="center" wrapText="1"/>
    </xf>
    <xf numFmtId="0" fontId="8" fillId="0" borderId="33" xfId="1" applyFont="1" applyBorder="1" applyAlignment="1" applyProtection="1">
      <alignment horizontal="left" vertical="center" wrapText="1"/>
    </xf>
    <xf numFmtId="0" fontId="8" fillId="0" borderId="31" xfId="1" applyFont="1" applyBorder="1" applyAlignment="1" applyProtection="1">
      <alignment horizontal="left" vertical="center" wrapText="1"/>
    </xf>
    <xf numFmtId="0" fontId="8" fillId="0" borderId="44" xfId="1" applyFont="1" applyBorder="1" applyAlignment="1" applyProtection="1">
      <alignment horizontal="left" vertical="center" wrapText="1"/>
    </xf>
    <xf numFmtId="0" fontId="8" fillId="0" borderId="45" xfId="1" applyFont="1" applyBorder="1" applyAlignment="1" applyProtection="1">
      <alignment horizontal="left" vertical="center" wrapText="1"/>
    </xf>
    <xf numFmtId="0" fontId="8" fillId="0" borderId="10" xfId="1" applyFont="1" applyBorder="1" applyAlignment="1" applyProtection="1">
      <alignment horizontal="left" vertical="center" wrapText="1"/>
    </xf>
    <xf numFmtId="0" fontId="17" fillId="0" borderId="5" xfId="0" applyFont="1" applyBorder="1" applyAlignment="1" applyProtection="1">
      <alignment horizontal="center" vertical="center" wrapText="1"/>
    </xf>
    <xf numFmtId="0" fontId="17" fillId="0" borderId="3" xfId="0" applyFont="1" applyBorder="1" applyAlignment="1" applyProtection="1">
      <alignment horizontal="left" vertical="center" wrapText="1"/>
    </xf>
    <xf numFmtId="0" fontId="17" fillId="0" borderId="5" xfId="0" applyFont="1" applyBorder="1" applyAlignment="1" applyProtection="1">
      <alignment horizontal="left" vertical="center" wrapText="1"/>
    </xf>
    <xf numFmtId="0" fontId="11" fillId="6" borderId="1" xfId="1" applyFont="1" applyFill="1" applyAlignment="1" applyProtection="1">
      <alignment horizontal="right" vertical="center"/>
    </xf>
    <xf numFmtId="0" fontId="9" fillId="0" borderId="2" xfId="1" applyFont="1" applyBorder="1" applyAlignment="1" applyProtection="1">
      <alignment horizontal="center" vertical="center" wrapText="1"/>
    </xf>
    <xf numFmtId="0" fontId="35" fillId="0" borderId="7" xfId="0" applyFont="1" applyBorder="1" applyAlignment="1" applyProtection="1">
      <alignment horizontal="justify" vertical="center"/>
    </xf>
    <xf numFmtId="0" fontId="35" fillId="0" borderId="6" xfId="0" applyFont="1" applyBorder="1" applyAlignment="1" applyProtection="1">
      <alignment horizontal="justify" vertical="center"/>
    </xf>
    <xf numFmtId="0" fontId="35" fillId="0" borderId="2" xfId="0" applyFont="1" applyBorder="1" applyAlignment="1" applyProtection="1">
      <alignment horizontal="left" vertical="center"/>
    </xf>
    <xf numFmtId="0" fontId="6" fillId="0" borderId="1" xfId="1" applyFont="1" applyAlignment="1" applyProtection="1">
      <alignment horizontal="left" vertical="center"/>
    </xf>
    <xf numFmtId="0" fontId="38" fillId="0" borderId="2" xfId="0" applyFont="1" applyBorder="1" applyAlignment="1" applyProtection="1">
      <alignment horizontal="left" vertical="center"/>
    </xf>
    <xf numFmtId="0" fontId="6" fillId="0" borderId="1" xfId="1" applyFont="1" applyAlignment="1">
      <alignment horizontal="left" vertical="center"/>
    </xf>
    <xf numFmtId="0" fontId="12" fillId="0" borderId="33" xfId="1" applyFont="1" applyBorder="1" applyAlignment="1">
      <alignment horizontal="center" vertical="center"/>
    </xf>
    <xf numFmtId="0" fontId="11" fillId="12" borderId="7" xfId="1" applyFont="1" applyFill="1" applyBorder="1" applyAlignment="1">
      <alignment horizontal="right" vertical="center"/>
    </xf>
    <xf numFmtId="0" fontId="11" fillId="12" borderId="11" xfId="1" applyFont="1" applyFill="1" applyBorder="1" applyAlignment="1">
      <alignment horizontal="right" vertical="center"/>
    </xf>
    <xf numFmtId="0" fontId="11" fillId="12" borderId="6" xfId="1" applyFont="1" applyFill="1" applyBorder="1" applyAlignment="1">
      <alignment horizontal="right" vertical="center"/>
    </xf>
    <xf numFmtId="0" fontId="11" fillId="6" borderId="8" xfId="1" applyFont="1" applyFill="1" applyBorder="1" applyAlignment="1">
      <alignment horizontal="right" vertical="center"/>
    </xf>
    <xf numFmtId="0" fontId="11" fillId="6" borderId="1" xfId="1" applyFont="1" applyFill="1" applyAlignment="1">
      <alignment horizontal="right" vertical="center"/>
    </xf>
    <xf numFmtId="0" fontId="6" fillId="0" borderId="1" xfId="1" applyFont="1" applyAlignment="1">
      <alignment vertical="center"/>
    </xf>
    <xf numFmtId="0" fontId="8" fillId="7" borderId="2" xfId="1" applyFont="1" applyFill="1" applyBorder="1" applyAlignment="1">
      <alignment horizontal="center" vertical="center" wrapText="1"/>
    </xf>
    <xf numFmtId="0" fontId="17" fillId="0" borderId="1" xfId="1" applyFont="1" applyAlignment="1" applyProtection="1">
      <alignment horizontal="left" vertical="center"/>
      <protection locked="0"/>
    </xf>
    <xf numFmtId="0" fontId="8" fillId="0" borderId="1" xfId="1" applyFont="1" applyAlignment="1" applyProtection="1">
      <alignment horizontal="left" vertical="center"/>
      <protection locked="0"/>
    </xf>
    <xf numFmtId="0" fontId="17" fillId="0" borderId="20" xfId="1" applyFont="1" applyBorder="1" applyAlignment="1" applyProtection="1">
      <alignment horizontal="left" vertical="center" wrapText="1"/>
      <protection locked="0"/>
    </xf>
    <xf numFmtId="0" fontId="17" fillId="0" borderId="33" xfId="1" applyFont="1" applyBorder="1" applyAlignment="1" applyProtection="1">
      <alignment horizontal="left" vertical="center" wrapText="1"/>
      <protection locked="0"/>
    </xf>
    <xf numFmtId="0" fontId="17" fillId="0" borderId="31" xfId="1" applyFont="1" applyBorder="1" applyAlignment="1" applyProtection="1">
      <alignment horizontal="left" vertical="center" wrapText="1"/>
      <protection locked="0"/>
    </xf>
    <xf numFmtId="0" fontId="17" fillId="0" borderId="44" xfId="1" applyFont="1" applyBorder="1" applyAlignment="1" applyProtection="1">
      <alignment horizontal="left" vertical="center" wrapText="1"/>
      <protection locked="0"/>
    </xf>
    <xf numFmtId="0" fontId="17" fillId="0" borderId="45" xfId="1" applyFont="1" applyBorder="1" applyAlignment="1" applyProtection="1">
      <alignment horizontal="left" vertical="center" wrapText="1"/>
      <protection locked="0"/>
    </xf>
    <xf numFmtId="0" fontId="17" fillId="0" borderId="10" xfId="1" applyFont="1" applyBorder="1" applyAlignment="1" applyProtection="1">
      <alignment horizontal="left" vertical="center" wrapText="1"/>
      <protection locked="0"/>
    </xf>
    <xf numFmtId="0" fontId="17" fillId="0" borderId="3" xfId="0" applyFont="1" applyBorder="1" applyAlignment="1">
      <alignment horizontal="justify" vertical="center" wrapText="1"/>
    </xf>
    <xf numFmtId="0" fontId="17" fillId="0" borderId="5" xfId="0" applyFont="1" applyBorder="1" applyAlignment="1">
      <alignment horizontal="justify" vertical="center" wrapText="1"/>
    </xf>
    <xf numFmtId="0" fontId="9" fillId="0" borderId="2" xfId="1" applyFont="1" applyBorder="1" applyAlignment="1">
      <alignment horizontal="center" vertical="center" wrapText="1"/>
    </xf>
    <xf numFmtId="0" fontId="9" fillId="9" borderId="2" xfId="1" applyFont="1" applyFill="1" applyBorder="1" applyAlignment="1">
      <alignment horizontal="center" vertical="center" wrapText="1"/>
    </xf>
    <xf numFmtId="0" fontId="30" fillId="10" borderId="3" xfId="1" applyFont="1" applyFill="1" applyBorder="1" applyAlignment="1">
      <alignment horizontal="center" vertical="center" wrapText="1"/>
    </xf>
    <xf numFmtId="0" fontId="30" fillId="10" borderId="4" xfId="1" applyFont="1" applyFill="1" applyBorder="1" applyAlignment="1">
      <alignment horizontal="center" vertical="center" wrapText="1"/>
    </xf>
    <xf numFmtId="0" fontId="30" fillId="10" borderId="5" xfId="1" applyFont="1" applyFill="1" applyBorder="1" applyAlignment="1">
      <alignment horizontal="center" vertical="center" wrapText="1"/>
    </xf>
    <xf numFmtId="0" fontId="31" fillId="13" borderId="3" xfId="1" applyFont="1" applyFill="1" applyBorder="1" applyAlignment="1">
      <alignment horizontal="center" vertical="center" wrapText="1"/>
    </xf>
    <xf numFmtId="0" fontId="31" fillId="13" borderId="4" xfId="1" applyFont="1" applyFill="1" applyBorder="1" applyAlignment="1">
      <alignment horizontal="center" vertical="center" wrapText="1"/>
    </xf>
    <xf numFmtId="0" fontId="31" fillId="13" borderId="5" xfId="1" applyFont="1" applyFill="1" applyBorder="1" applyAlignment="1">
      <alignment horizontal="center" vertical="center" wrapText="1"/>
    </xf>
    <xf numFmtId="0" fontId="30" fillId="14" borderId="3" xfId="1" applyFont="1" applyFill="1" applyBorder="1" applyAlignment="1">
      <alignment horizontal="center" vertical="center" wrapText="1"/>
    </xf>
    <xf numFmtId="0" fontId="30" fillId="14" borderId="4" xfId="1" applyFont="1" applyFill="1" applyBorder="1" applyAlignment="1">
      <alignment horizontal="center" vertical="center" wrapText="1"/>
    </xf>
    <xf numFmtId="0" fontId="30" fillId="14" borderId="5" xfId="1" applyFont="1" applyFill="1" applyBorder="1" applyAlignment="1">
      <alignment horizontal="center" vertical="center" wrapText="1"/>
    </xf>
    <xf numFmtId="0" fontId="17" fillId="0" borderId="12" xfId="1" applyFont="1" applyBorder="1" applyAlignment="1">
      <alignment horizontal="left" vertical="center"/>
    </xf>
    <xf numFmtId="0" fontId="17" fillId="0" borderId="1" xfId="1" applyFont="1" applyAlignment="1">
      <alignment horizontal="left" vertical="center"/>
    </xf>
    <xf numFmtId="0" fontId="17" fillId="0" borderId="8" xfId="1" applyFont="1" applyBorder="1" applyAlignment="1">
      <alignment horizontal="left" vertical="center"/>
    </xf>
    <xf numFmtId="0" fontId="33" fillId="0" borderId="2" xfId="0" applyFont="1" applyBorder="1" applyAlignment="1" applyProtection="1">
      <alignment horizontal="left" vertical="center"/>
      <protection locked="0"/>
    </xf>
    <xf numFmtId="0" fontId="17" fillId="0" borderId="7" xfId="0" applyFont="1" applyBorder="1" applyAlignment="1" applyProtection="1">
      <alignment horizontal="justify" vertical="center"/>
      <protection locked="0"/>
    </xf>
    <xf numFmtId="0" fontId="17" fillId="0" borderId="6" xfId="0" applyFont="1" applyBorder="1" applyAlignment="1" applyProtection="1">
      <alignment horizontal="justify" vertical="center"/>
      <protection locked="0"/>
    </xf>
    <xf numFmtId="0" fontId="9" fillId="7" borderId="2" xfId="1" applyFont="1" applyFill="1" applyBorder="1" applyAlignment="1">
      <alignment horizontal="center" vertical="center" wrapText="1"/>
    </xf>
    <xf numFmtId="0" fontId="10" fillId="10" borderId="2" xfId="1" applyFont="1" applyFill="1" applyBorder="1" applyAlignment="1">
      <alignment horizontal="center" vertical="center" wrapText="1"/>
    </xf>
    <xf numFmtId="0" fontId="33" fillId="0" borderId="7" xfId="0" applyFont="1" applyBorder="1" applyAlignment="1" applyProtection="1">
      <alignment horizontal="left" vertical="center"/>
      <protection locked="0"/>
    </xf>
    <xf numFmtId="0" fontId="33" fillId="0" borderId="6" xfId="0" applyFont="1" applyBorder="1" applyAlignment="1" applyProtection="1">
      <alignment horizontal="left" vertical="center"/>
      <protection locked="0"/>
    </xf>
    <xf numFmtId="0" fontId="11" fillId="6" borderId="2" xfId="1" applyFont="1" applyFill="1" applyBorder="1" applyAlignment="1" applyProtection="1">
      <alignment horizontal="right" vertical="center"/>
    </xf>
    <xf numFmtId="0" fontId="8" fillId="0" borderId="3" xfId="0" applyFont="1" applyBorder="1" applyAlignment="1" applyProtection="1">
      <alignment horizontal="justify" vertical="center" wrapText="1"/>
    </xf>
    <xf numFmtId="0" fontId="8" fillId="0" borderId="4" xfId="0" applyFont="1" applyBorder="1" applyAlignment="1" applyProtection="1">
      <alignment horizontal="justify" vertical="center" wrapText="1"/>
    </xf>
    <xf numFmtId="0" fontId="17" fillId="0" borderId="4" xfId="0" applyFont="1" applyBorder="1" applyAlignment="1" applyProtection="1">
      <alignment horizontal="justify" vertical="center" wrapText="1"/>
    </xf>
    <xf numFmtId="0" fontId="18" fillId="0" borderId="2" xfId="0" applyFont="1" applyBorder="1" applyAlignment="1" applyProtection="1">
      <alignment horizontal="left" vertical="center"/>
    </xf>
    <xf numFmtId="0" fontId="8" fillId="0" borderId="2" xfId="1" applyFont="1" applyBorder="1" applyAlignment="1" applyProtection="1">
      <alignment horizontal="center" vertical="center" wrapText="1"/>
    </xf>
    <xf numFmtId="0" fontId="8" fillId="12" borderId="7" xfId="1" applyFont="1" applyFill="1" applyBorder="1" applyAlignment="1" applyProtection="1">
      <alignment horizontal="right" vertical="center"/>
    </xf>
    <xf numFmtId="0" fontId="8" fillId="12" borderId="11" xfId="1" applyFont="1" applyFill="1" applyBorder="1" applyAlignment="1" applyProtection="1">
      <alignment horizontal="right" vertical="center"/>
    </xf>
    <xf numFmtId="0" fontId="8" fillId="12" borderId="6" xfId="1" applyFont="1" applyFill="1" applyBorder="1" applyAlignment="1" applyProtection="1">
      <alignment horizontal="right" vertical="center"/>
    </xf>
    <xf numFmtId="0" fontId="8" fillId="6" borderId="8" xfId="1" applyFont="1" applyFill="1" applyBorder="1" applyAlignment="1" applyProtection="1">
      <alignment horizontal="right" vertical="center"/>
    </xf>
    <xf numFmtId="0" fontId="8" fillId="6" borderId="1" xfId="1" applyFont="1" applyFill="1" applyAlignment="1" applyProtection="1">
      <alignment horizontal="right" vertical="center"/>
    </xf>
    <xf numFmtId="0" fontId="17" fillId="0" borderId="1" xfId="1" applyFont="1" applyAlignment="1" applyProtection="1">
      <alignment vertical="center"/>
    </xf>
    <xf numFmtId="0" fontId="38" fillId="0" borderId="3" xfId="0" applyFont="1" applyBorder="1" applyAlignment="1" applyProtection="1">
      <alignment horizontal="center" vertical="top" wrapText="1"/>
    </xf>
    <xf numFmtId="0" fontId="38" fillId="0" borderId="4" xfId="0" applyFont="1" applyBorder="1" applyAlignment="1" applyProtection="1">
      <alignment horizontal="center" vertical="top" wrapText="1"/>
    </xf>
    <xf numFmtId="0" fontId="38" fillId="0" borderId="5" xfId="0" applyFont="1" applyBorder="1" applyAlignment="1" applyProtection="1">
      <alignment horizontal="center" vertical="top" wrapText="1"/>
    </xf>
    <xf numFmtId="0" fontId="8" fillId="10" borderId="3" xfId="1" applyFont="1" applyFill="1" applyBorder="1" applyAlignment="1" applyProtection="1">
      <alignment horizontal="center" vertical="center" wrapText="1"/>
    </xf>
    <xf numFmtId="0" fontId="8" fillId="10" borderId="4" xfId="1" applyFont="1" applyFill="1" applyBorder="1" applyAlignment="1" applyProtection="1">
      <alignment horizontal="center" vertical="center" wrapText="1"/>
    </xf>
    <xf numFmtId="0" fontId="8" fillId="10" borderId="5" xfId="1" applyFont="1" applyFill="1" applyBorder="1" applyAlignment="1" applyProtection="1">
      <alignment horizontal="center" vertical="center" wrapText="1"/>
    </xf>
    <xf numFmtId="0" fontId="8" fillId="14" borderId="3" xfId="1" applyFont="1" applyFill="1" applyBorder="1" applyAlignment="1" applyProtection="1">
      <alignment horizontal="center" vertical="center" wrapText="1"/>
    </xf>
    <xf numFmtId="0" fontId="8" fillId="14" borderId="4" xfId="1" applyFont="1" applyFill="1" applyBorder="1" applyAlignment="1" applyProtection="1">
      <alignment horizontal="center" vertical="center" wrapText="1"/>
    </xf>
    <xf numFmtId="0" fontId="8" fillId="14" borderId="5" xfId="1" applyFont="1" applyFill="1" applyBorder="1" applyAlignment="1" applyProtection="1">
      <alignment horizontal="center" vertical="center" wrapText="1"/>
    </xf>
    <xf numFmtId="0" fontId="8" fillId="13" borderId="3" xfId="1" applyFont="1" applyFill="1" applyBorder="1" applyAlignment="1" applyProtection="1">
      <alignment horizontal="center" vertical="center" wrapText="1"/>
    </xf>
    <xf numFmtId="0" fontId="8" fillId="13" borderId="4" xfId="1" applyFont="1" applyFill="1" applyBorder="1" applyAlignment="1" applyProtection="1">
      <alignment horizontal="center" vertical="center" wrapText="1"/>
    </xf>
    <xf numFmtId="0" fontId="8" fillId="13" borderId="5" xfId="1" applyFont="1" applyFill="1" applyBorder="1" applyAlignment="1" applyProtection="1">
      <alignment horizontal="center" vertical="center" wrapText="1"/>
    </xf>
    <xf numFmtId="0" fontId="8" fillId="10" borderId="2" xfId="1" applyFont="1" applyFill="1" applyBorder="1" applyAlignment="1" applyProtection="1">
      <alignment horizontal="center" vertical="center" wrapText="1"/>
    </xf>
    <xf numFmtId="0" fontId="17" fillId="0" borderId="7" xfId="0" applyFont="1" applyBorder="1" applyAlignment="1" applyProtection="1">
      <alignment horizontal="left" vertical="center"/>
    </xf>
    <xf numFmtId="0" fontId="17" fillId="0" borderId="6" xfId="0" applyFont="1" applyBorder="1" applyAlignment="1" applyProtection="1">
      <alignment horizontal="left" vertical="center"/>
    </xf>
    <xf numFmtId="0" fontId="17" fillId="0" borderId="7" xfId="0" applyFont="1" applyBorder="1" applyAlignment="1" applyProtection="1">
      <alignment horizontal="justify" vertical="center" wrapText="1"/>
    </xf>
    <xf numFmtId="0" fontId="17" fillId="0" borderId="2" xfId="0" applyFont="1" applyBorder="1" applyAlignment="1" applyProtection="1">
      <alignment horizontal="left" vertical="center"/>
    </xf>
    <xf numFmtId="0" fontId="17" fillId="0" borderId="8" xfId="0" applyFont="1" applyBorder="1" applyAlignment="1" applyProtection="1">
      <alignment horizontal="center" vertical="center" wrapText="1"/>
    </xf>
    <xf numFmtId="0" fontId="17" fillId="0" borderId="1" xfId="0" applyFont="1" applyBorder="1" applyAlignment="1" applyProtection="1">
      <alignment horizontal="center" vertical="center" wrapText="1"/>
    </xf>
    <xf numFmtId="0" fontId="6" fillId="0" borderId="1" xfId="1" applyFont="1" applyAlignment="1" applyProtection="1">
      <alignment horizontal="right" vertical="center"/>
    </xf>
    <xf numFmtId="0" fontId="17" fillId="0" borderId="2" xfId="1" applyFont="1" applyBorder="1" applyAlignment="1" applyProtection="1">
      <alignment horizontal="left" vertical="center" wrapText="1"/>
    </xf>
    <xf numFmtId="0" fontId="26" fillId="16" borderId="2" xfId="23" applyFont="1" applyFill="1" applyBorder="1" applyAlignment="1">
      <alignment horizontal="center" vertical="center"/>
    </xf>
    <xf numFmtId="0" fontId="34" fillId="0" borderId="13"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15" xfId="0" applyFont="1" applyBorder="1" applyAlignment="1">
      <alignment horizontal="center" vertical="center" wrapText="1"/>
    </xf>
    <xf numFmtId="0" fontId="11" fillId="0" borderId="24" xfId="23" applyFont="1" applyBorder="1" applyAlignment="1">
      <alignment horizontal="center" vertical="center"/>
    </xf>
    <xf numFmtId="0" fontId="11" fillId="0" borderId="25" xfId="23" applyFont="1" applyBorder="1" applyAlignment="1">
      <alignment horizontal="center" vertical="center"/>
    </xf>
    <xf numFmtId="0" fontId="11" fillId="0" borderId="8" xfId="23" applyFont="1" applyBorder="1" applyAlignment="1">
      <alignment horizontal="center" vertical="center"/>
    </xf>
    <xf numFmtId="0" fontId="11" fillId="0" borderId="1" xfId="23" applyFont="1" applyAlignment="1">
      <alignment horizontal="center" vertical="center"/>
    </xf>
    <xf numFmtId="0" fontId="11" fillId="0" borderId="22" xfId="23" applyFont="1" applyBorder="1" applyAlignment="1">
      <alignment horizontal="center" vertical="center"/>
    </xf>
    <xf numFmtId="0" fontId="11" fillId="0" borderId="27" xfId="23" applyFont="1" applyBorder="1" applyAlignment="1">
      <alignment horizontal="center" vertical="center"/>
    </xf>
    <xf numFmtId="0" fontId="22" fillId="3" borderId="16" xfId="23" applyFont="1" applyFill="1" applyBorder="1" applyAlignment="1">
      <alignment horizontal="left"/>
    </xf>
    <xf numFmtId="0" fontId="21" fillId="3" borderId="17" xfId="23" applyFont="1" applyFill="1" applyBorder="1" applyAlignment="1">
      <alignment horizontal="left"/>
    </xf>
    <xf numFmtId="0" fontId="22" fillId="3" borderId="20" xfId="23" applyFont="1" applyFill="1" applyBorder="1" applyAlignment="1">
      <alignment horizontal="left"/>
    </xf>
    <xf numFmtId="0" fontId="21" fillId="3" borderId="21" xfId="23" applyFont="1" applyFill="1" applyBorder="1" applyAlignment="1">
      <alignment horizontal="left"/>
    </xf>
    <xf numFmtId="165" fontId="21" fillId="3" borderId="22" xfId="23" quotePrefix="1" applyNumberFormat="1" applyFont="1" applyFill="1" applyBorder="1" applyAlignment="1">
      <alignment horizontal="left"/>
    </xf>
    <xf numFmtId="165" fontId="21" fillId="3" borderId="23" xfId="23" applyNumberFormat="1" applyFont="1" applyFill="1" applyBorder="1" applyAlignment="1">
      <alignment horizontal="left"/>
    </xf>
    <xf numFmtId="0" fontId="17" fillId="0" borderId="2" xfId="23" applyFont="1" applyBorder="1" applyAlignment="1">
      <alignment horizontal="justify" vertical="center" wrapText="1"/>
    </xf>
    <xf numFmtId="0" fontId="26" fillId="17" borderId="2" xfId="23" applyFont="1" applyFill="1" applyBorder="1" applyAlignment="1">
      <alignment horizontal="center" vertical="center"/>
    </xf>
    <xf numFmtId="0" fontId="26" fillId="15" borderId="2" xfId="23" applyFont="1" applyFill="1" applyBorder="1" applyAlignment="1">
      <alignment horizontal="center" vertical="center"/>
    </xf>
    <xf numFmtId="0" fontId="28" fillId="0" borderId="2" xfId="23" applyFont="1" applyBorder="1" applyAlignment="1">
      <alignment horizontal="justify" vertical="center" wrapText="1"/>
    </xf>
  </cellXfs>
  <cellStyles count="49">
    <cellStyle name="Excel_BuiltIn_Percent" xfId="16" xr:uid="{00000000-0005-0000-0000-000000000000}"/>
    <cellStyle name="Millares" xfId="5" builtinId="3"/>
    <cellStyle name="Millares 10" xfId="42" xr:uid="{8CD6C2B2-C036-4E13-BEEA-221F2CB2B076}"/>
    <cellStyle name="Millares 11" xfId="36" xr:uid="{2A2818BD-E2CC-4ABB-A4F1-EE19CAF210E2}"/>
    <cellStyle name="Millares 2" xfId="7" xr:uid="{00000000-0005-0000-0000-000002000000}"/>
    <cellStyle name="Millares 2 2" xfId="25" xr:uid="{ED0C9F2B-C07A-4A36-82EA-4C6E135C2504}"/>
    <cellStyle name="Millares 2 3" xfId="43" xr:uid="{E0806C84-EDDB-4C6E-8902-2F18A45EF721}"/>
    <cellStyle name="Millares 3" xfId="22" xr:uid="{00000000-0005-0000-0000-000003000000}"/>
    <cellStyle name="Millares 3 2" xfId="31" xr:uid="{D685CCA6-91D5-4F15-A524-DB9E846517E7}"/>
    <cellStyle name="Millares 3 3" xfId="48" xr:uid="{99C08781-1081-4303-B805-D030549EA8CE}"/>
    <cellStyle name="Millares 4" xfId="24" xr:uid="{212C8432-7C0C-4EC4-B146-A56E0F93FDEC}"/>
    <cellStyle name="Millares 5" xfId="41" xr:uid="{02D8791E-E9C2-4087-8360-91E0991A99E2}"/>
    <cellStyle name="Millares 6" xfId="38" xr:uid="{69D14102-8C40-40D4-A173-2F0F64995176}"/>
    <cellStyle name="Millares 7" xfId="37" xr:uid="{15B0A603-82E9-4E1E-A069-A80EC24E80CF}"/>
    <cellStyle name="Millares 8" xfId="39" xr:uid="{AA5BFB14-0BEB-4B05-A332-2A0EAEA03B0C}"/>
    <cellStyle name="Millares 9" xfId="40" xr:uid="{84959260-AC56-4340-A3F2-6B397601BD00}"/>
    <cellStyle name="Normal" xfId="0" builtinId="0"/>
    <cellStyle name="Normal 10" xfId="9" xr:uid="{00000000-0005-0000-0000-000005000000}"/>
    <cellStyle name="Normal 11" xfId="15" xr:uid="{00000000-0005-0000-0000-000006000000}"/>
    <cellStyle name="Normal 11 2" xfId="26" xr:uid="{D29DF0C9-81D6-4AC5-ACEF-5C55C9BBC12B}"/>
    <cellStyle name="Normal 11 3" xfId="44" xr:uid="{487DAEE1-D53D-420F-AFF0-A883F1ED21D8}"/>
    <cellStyle name="Normal 12" xfId="20" xr:uid="{00000000-0005-0000-0000-000007000000}"/>
    <cellStyle name="Normal 12 2" xfId="34" xr:uid="{D31E7EAB-013D-4093-82D6-E50E4FD0A828}"/>
    <cellStyle name="Normal 12 3" xfId="29" xr:uid="{DE3AD3E0-A318-4B66-AD8E-DE6BAD03478A}"/>
    <cellStyle name="Normal 13" xfId="21" xr:uid="{00000000-0005-0000-0000-000008000000}"/>
    <cellStyle name="Normal 13 2" xfId="30" xr:uid="{32DBC334-27B3-4648-B619-B674F3029E24}"/>
    <cellStyle name="Normal 13 3" xfId="47" xr:uid="{73897334-E4D7-4EB1-A2D4-23745FB7BA90}"/>
    <cellStyle name="Normal 14" xfId="32" xr:uid="{BD0564A9-6799-4BCD-AB63-2EE2F9644A39}"/>
    <cellStyle name="Normal 17" xfId="35" xr:uid="{03D619DE-42E5-4CB7-BB12-202EA5C3ADEC}"/>
    <cellStyle name="Normal 2" xfId="2" xr:uid="{00000000-0005-0000-0000-000009000000}"/>
    <cellStyle name="Normal 2 2" xfId="17" xr:uid="{00000000-0005-0000-0000-00000A000000}"/>
    <cellStyle name="Normal 2 3" xfId="23" xr:uid="{00000000-0005-0000-0000-00000B000000}"/>
    <cellStyle name="Normal 3" xfId="1" xr:uid="{00000000-0005-0000-0000-00000C000000}"/>
    <cellStyle name="Normal 3 2" xfId="18" xr:uid="{00000000-0005-0000-0000-00000D000000}"/>
    <cellStyle name="Normal 3 2 2" xfId="27" xr:uid="{EFCD654C-012F-401F-8AAD-E7189628970A}"/>
    <cellStyle name="Normal 3 2 3" xfId="45" xr:uid="{4884D5D6-C98D-417F-9767-6EEB4A115723}"/>
    <cellStyle name="Normal 4" xfId="4" xr:uid="{00000000-0005-0000-0000-00000E000000}"/>
    <cellStyle name="Normal 4 2" xfId="19" xr:uid="{00000000-0005-0000-0000-00000F000000}"/>
    <cellStyle name="Normal 4 2 2" xfId="28" xr:uid="{79E3C445-0623-4247-BFF4-172B271E034F}"/>
    <cellStyle name="Normal 4 2 3" xfId="46" xr:uid="{30F75A10-24A7-458E-B403-F79C478E7522}"/>
    <cellStyle name="Normal 5" xfId="10" xr:uid="{00000000-0005-0000-0000-000010000000}"/>
    <cellStyle name="Normal 6" xfId="11" xr:uid="{00000000-0005-0000-0000-000011000000}"/>
    <cellStyle name="Normal 7" xfId="12" xr:uid="{00000000-0005-0000-0000-000012000000}"/>
    <cellStyle name="Normal 8" xfId="13" xr:uid="{00000000-0005-0000-0000-000013000000}"/>
    <cellStyle name="Normal 9" xfId="14" xr:uid="{00000000-0005-0000-0000-000014000000}"/>
    <cellStyle name="Porcentaje" xfId="6" builtinId="5"/>
    <cellStyle name="Porcentaje 2" xfId="3" xr:uid="{00000000-0005-0000-0000-000016000000}"/>
    <cellStyle name="Porcentaje 3" xfId="8" xr:uid="{00000000-0005-0000-0000-000017000000}"/>
    <cellStyle name="Porcentaje 4" xfId="33" xr:uid="{32C8F8EB-879C-441D-AC96-E488061195C7}"/>
  </cellStyles>
  <dxfs count="177">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s>
  <tableStyles count="0" defaultTableStyle="TableStyleMedium9" defaultPivotStyle="PivotStyleMedium4"/>
  <colors>
    <mruColors>
      <color rgb="FFED720D"/>
      <color rgb="FFE67300"/>
      <color rgb="FFF67B00"/>
      <color rgb="FFFF7D00"/>
      <color rgb="FFFA7D00"/>
      <color rgb="FFFF6600"/>
      <color rgb="FFFF990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sharedStrings" Target="sharedString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styles" Target="style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0</xdr:rowOff>
    </xdr:from>
    <xdr:to>
      <xdr:col>10</xdr:col>
      <xdr:colOff>0</xdr:colOff>
      <xdr:row>99</xdr:row>
      <xdr:rowOff>0</xdr:rowOff>
    </xdr:to>
    <xdr:sp macro="" textlink="">
      <xdr:nvSpPr>
        <xdr:cNvPr id="2" name="AutoShape 23">
          <a:extLst>
            <a:ext uri="{FF2B5EF4-FFF2-40B4-BE49-F238E27FC236}">
              <a16:creationId xmlns:a16="http://schemas.microsoft.com/office/drawing/2014/main" id="{43624B26-D309-43E8-AB6C-716DE5315BE6}"/>
            </a:ext>
          </a:extLst>
        </xdr:cNvPr>
        <xdr:cNvSpPr>
          <a:spLocks noChangeArrowheads="1"/>
        </xdr:cNvSpPr>
      </xdr:nvSpPr>
      <xdr:spPr bwMode="auto">
        <a:xfrm>
          <a:off x="285750" y="2466975"/>
          <a:ext cx="28498800" cy="104775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19</xdr:row>
      <xdr:rowOff>0</xdr:rowOff>
    </xdr:to>
    <xdr:sp macro="" textlink="">
      <xdr:nvSpPr>
        <xdr:cNvPr id="2" name="AutoShape 23">
          <a:extLst>
            <a:ext uri="{FF2B5EF4-FFF2-40B4-BE49-F238E27FC236}">
              <a16:creationId xmlns:a16="http://schemas.microsoft.com/office/drawing/2014/main" id="{376C5C69-1355-45C7-801A-D2D83D303018}"/>
            </a:ext>
          </a:extLst>
        </xdr:cNvPr>
        <xdr:cNvSpPr>
          <a:spLocks noChangeArrowheads="1"/>
        </xdr:cNvSpPr>
      </xdr:nvSpPr>
      <xdr:spPr bwMode="auto">
        <a:xfrm>
          <a:off x="285750" y="1419225"/>
          <a:ext cx="16659225" cy="104775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19</xdr:row>
      <xdr:rowOff>0</xdr:rowOff>
    </xdr:to>
    <xdr:sp macro="" textlink="">
      <xdr:nvSpPr>
        <xdr:cNvPr id="2" name="AutoShape 23">
          <a:extLst>
            <a:ext uri="{FF2B5EF4-FFF2-40B4-BE49-F238E27FC236}">
              <a16:creationId xmlns:a16="http://schemas.microsoft.com/office/drawing/2014/main" id="{F011ED11-92A7-4511-8B26-1DEFEE58F356}"/>
            </a:ext>
          </a:extLst>
        </xdr:cNvPr>
        <xdr:cNvSpPr>
          <a:spLocks noChangeArrowheads="1"/>
        </xdr:cNvSpPr>
      </xdr:nvSpPr>
      <xdr:spPr bwMode="auto">
        <a:xfrm>
          <a:off x="285750" y="3286125"/>
          <a:ext cx="32470725" cy="94869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22</xdr:row>
      <xdr:rowOff>0</xdr:rowOff>
    </xdr:to>
    <xdr:sp macro="" textlink="">
      <xdr:nvSpPr>
        <xdr:cNvPr id="2" name="AutoShape 23">
          <a:extLst>
            <a:ext uri="{FF2B5EF4-FFF2-40B4-BE49-F238E27FC236}">
              <a16:creationId xmlns:a16="http://schemas.microsoft.com/office/drawing/2014/main" id="{8DFF5D04-40A7-4BC4-8946-D7C53DF447B0}"/>
            </a:ext>
          </a:extLst>
        </xdr:cNvPr>
        <xdr:cNvSpPr>
          <a:spLocks noChangeArrowheads="1"/>
        </xdr:cNvSpPr>
      </xdr:nvSpPr>
      <xdr:spPr bwMode="auto">
        <a:xfrm>
          <a:off x="285750" y="3657600"/>
          <a:ext cx="33166050" cy="111252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17</xdr:row>
      <xdr:rowOff>0</xdr:rowOff>
    </xdr:to>
    <xdr:sp macro="" textlink="">
      <xdr:nvSpPr>
        <xdr:cNvPr id="4" name="AutoShape 23">
          <a:extLst>
            <a:ext uri="{FF2B5EF4-FFF2-40B4-BE49-F238E27FC236}">
              <a16:creationId xmlns:a16="http://schemas.microsoft.com/office/drawing/2014/main" id="{EB3DB6B0-623E-4218-9C4B-1633C1FB9673}"/>
            </a:ext>
          </a:extLst>
        </xdr:cNvPr>
        <xdr:cNvSpPr>
          <a:spLocks noChangeArrowheads="1"/>
        </xdr:cNvSpPr>
      </xdr:nvSpPr>
      <xdr:spPr bwMode="auto">
        <a:xfrm>
          <a:off x="285750" y="3657600"/>
          <a:ext cx="32556450" cy="47625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35</xdr:row>
      <xdr:rowOff>0</xdr:rowOff>
    </xdr:to>
    <xdr:sp macro="" textlink="">
      <xdr:nvSpPr>
        <xdr:cNvPr id="2" name="AutoShape 23">
          <a:extLst>
            <a:ext uri="{FF2B5EF4-FFF2-40B4-BE49-F238E27FC236}">
              <a16:creationId xmlns:a16="http://schemas.microsoft.com/office/drawing/2014/main" id="{A4D544FA-FDE4-4E1E-84AF-4B44FE661078}"/>
            </a:ext>
          </a:extLst>
        </xdr:cNvPr>
        <xdr:cNvSpPr>
          <a:spLocks noChangeArrowheads="1"/>
        </xdr:cNvSpPr>
      </xdr:nvSpPr>
      <xdr:spPr bwMode="auto">
        <a:xfrm>
          <a:off x="285750" y="3657600"/>
          <a:ext cx="37890450" cy="361473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9</xdr:row>
      <xdr:rowOff>0</xdr:rowOff>
    </xdr:from>
    <xdr:to>
      <xdr:col>11</xdr:col>
      <xdr:colOff>0</xdr:colOff>
      <xdr:row>19</xdr:row>
      <xdr:rowOff>0</xdr:rowOff>
    </xdr:to>
    <xdr:sp macro="" textlink="">
      <xdr:nvSpPr>
        <xdr:cNvPr id="2" name="AutoShape 23">
          <a:extLst>
            <a:ext uri="{FF2B5EF4-FFF2-40B4-BE49-F238E27FC236}">
              <a16:creationId xmlns:a16="http://schemas.microsoft.com/office/drawing/2014/main" id="{BEEF41DB-9FCF-4425-8858-7FD0B86C507F}"/>
            </a:ext>
          </a:extLst>
        </xdr:cNvPr>
        <xdr:cNvSpPr>
          <a:spLocks noChangeArrowheads="1"/>
        </xdr:cNvSpPr>
      </xdr:nvSpPr>
      <xdr:spPr bwMode="auto">
        <a:xfrm>
          <a:off x="285750" y="1828800"/>
          <a:ext cx="20974050" cy="8686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11</xdr:row>
      <xdr:rowOff>0</xdr:rowOff>
    </xdr:from>
    <xdr:to>
      <xdr:col>15</xdr:col>
      <xdr:colOff>0</xdr:colOff>
      <xdr:row>22</xdr:row>
      <xdr:rowOff>0</xdr:rowOff>
    </xdr:to>
    <xdr:sp macro="" textlink="">
      <xdr:nvSpPr>
        <xdr:cNvPr id="4" name="AutoShape 23">
          <a:extLst>
            <a:ext uri="{FF2B5EF4-FFF2-40B4-BE49-F238E27FC236}">
              <a16:creationId xmlns:a16="http://schemas.microsoft.com/office/drawing/2014/main" id="{1C5A1E08-4D68-48DB-A433-BE1CC8FE7E65}"/>
            </a:ext>
          </a:extLst>
        </xdr:cNvPr>
        <xdr:cNvSpPr>
          <a:spLocks noChangeArrowheads="1"/>
        </xdr:cNvSpPr>
      </xdr:nvSpPr>
      <xdr:spPr bwMode="auto">
        <a:xfrm>
          <a:off x="285750" y="3657600"/>
          <a:ext cx="32518350" cy="1532572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23</xdr:row>
      <xdr:rowOff>0</xdr:rowOff>
    </xdr:to>
    <xdr:sp macro="" textlink="">
      <xdr:nvSpPr>
        <xdr:cNvPr id="2" name="AutoShape 23">
          <a:extLst>
            <a:ext uri="{FF2B5EF4-FFF2-40B4-BE49-F238E27FC236}">
              <a16:creationId xmlns:a16="http://schemas.microsoft.com/office/drawing/2014/main" id="{9F560E0F-31EA-4A35-A351-F1301A4F4785}"/>
            </a:ext>
          </a:extLst>
        </xdr:cNvPr>
        <xdr:cNvSpPr>
          <a:spLocks noChangeArrowheads="1"/>
        </xdr:cNvSpPr>
      </xdr:nvSpPr>
      <xdr:spPr bwMode="auto">
        <a:xfrm>
          <a:off x="285750" y="3657600"/>
          <a:ext cx="33166050" cy="102393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23</xdr:row>
      <xdr:rowOff>0</xdr:rowOff>
    </xdr:to>
    <xdr:sp macro="" textlink="">
      <xdr:nvSpPr>
        <xdr:cNvPr id="2" name="AutoShape 23">
          <a:extLst>
            <a:ext uri="{FF2B5EF4-FFF2-40B4-BE49-F238E27FC236}">
              <a16:creationId xmlns:a16="http://schemas.microsoft.com/office/drawing/2014/main" id="{DC82016B-DEE4-428E-9349-543D2D015116}"/>
            </a:ext>
          </a:extLst>
        </xdr:cNvPr>
        <xdr:cNvSpPr>
          <a:spLocks noChangeArrowheads="1"/>
        </xdr:cNvSpPr>
      </xdr:nvSpPr>
      <xdr:spPr bwMode="auto">
        <a:xfrm>
          <a:off x="285750" y="3657600"/>
          <a:ext cx="32699325" cy="233362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17</xdr:row>
      <xdr:rowOff>0</xdr:rowOff>
    </xdr:to>
    <xdr:sp macro="" textlink="">
      <xdr:nvSpPr>
        <xdr:cNvPr id="2" name="AutoShape 23">
          <a:extLst>
            <a:ext uri="{FF2B5EF4-FFF2-40B4-BE49-F238E27FC236}">
              <a16:creationId xmlns:a16="http://schemas.microsoft.com/office/drawing/2014/main" id="{07406378-B4FF-4250-847B-D7C0F38E9E00}"/>
            </a:ext>
          </a:extLst>
        </xdr:cNvPr>
        <xdr:cNvSpPr>
          <a:spLocks noChangeArrowheads="1"/>
        </xdr:cNvSpPr>
      </xdr:nvSpPr>
      <xdr:spPr bwMode="auto">
        <a:xfrm>
          <a:off x="285750" y="3657600"/>
          <a:ext cx="32499300" cy="53149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2214AAC7-FB3D-4094-A9ED-F23C7D51726B}"/>
            </a:ext>
          </a:extLst>
        </xdr:cNvPr>
        <xdr:cNvSpPr>
          <a:spLocks noChangeArrowheads="1"/>
        </xdr:cNvSpPr>
      </xdr:nvSpPr>
      <xdr:spPr bwMode="auto">
        <a:xfrm>
          <a:off x="285750" y="3657600"/>
          <a:ext cx="34690050" cy="68103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16</xdr:row>
      <xdr:rowOff>0</xdr:rowOff>
    </xdr:to>
    <xdr:sp macro="" textlink="">
      <xdr:nvSpPr>
        <xdr:cNvPr id="2" name="AutoShape 23">
          <a:extLst>
            <a:ext uri="{FF2B5EF4-FFF2-40B4-BE49-F238E27FC236}">
              <a16:creationId xmlns:a16="http://schemas.microsoft.com/office/drawing/2014/main" id="{6277A48F-A8B5-46A7-BB78-9731DEE64195}"/>
            </a:ext>
          </a:extLst>
        </xdr:cNvPr>
        <xdr:cNvSpPr>
          <a:spLocks noChangeArrowheads="1"/>
        </xdr:cNvSpPr>
      </xdr:nvSpPr>
      <xdr:spPr bwMode="auto">
        <a:xfrm>
          <a:off x="285750" y="3657600"/>
          <a:ext cx="32165925" cy="45339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19</xdr:row>
      <xdr:rowOff>0</xdr:rowOff>
    </xdr:to>
    <xdr:sp macro="" textlink="">
      <xdr:nvSpPr>
        <xdr:cNvPr id="2" name="AutoShape 23">
          <a:extLst>
            <a:ext uri="{FF2B5EF4-FFF2-40B4-BE49-F238E27FC236}">
              <a16:creationId xmlns:a16="http://schemas.microsoft.com/office/drawing/2014/main" id="{8F2562E2-E33F-4923-B90E-C1AF74391AC9}"/>
            </a:ext>
          </a:extLst>
        </xdr:cNvPr>
        <xdr:cNvSpPr>
          <a:spLocks noChangeArrowheads="1"/>
        </xdr:cNvSpPr>
      </xdr:nvSpPr>
      <xdr:spPr bwMode="auto">
        <a:xfrm>
          <a:off x="285750" y="3657600"/>
          <a:ext cx="32337375" cy="137922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20</xdr:row>
      <xdr:rowOff>0</xdr:rowOff>
    </xdr:to>
    <xdr:sp macro="" textlink="">
      <xdr:nvSpPr>
        <xdr:cNvPr id="2" name="AutoShape 23">
          <a:extLst>
            <a:ext uri="{FF2B5EF4-FFF2-40B4-BE49-F238E27FC236}">
              <a16:creationId xmlns:a16="http://schemas.microsoft.com/office/drawing/2014/main" id="{E34BB64A-5837-43B8-A529-73CD609B8BF5}"/>
            </a:ext>
          </a:extLst>
        </xdr:cNvPr>
        <xdr:cNvSpPr>
          <a:spLocks noChangeArrowheads="1"/>
        </xdr:cNvSpPr>
      </xdr:nvSpPr>
      <xdr:spPr bwMode="auto">
        <a:xfrm>
          <a:off x="285750" y="3657600"/>
          <a:ext cx="33775650" cy="95154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CEE50C0C-0DC4-466D-9599-9C4EB615C65B}"/>
            </a:ext>
          </a:extLst>
        </xdr:cNvPr>
        <xdr:cNvSpPr>
          <a:spLocks noChangeArrowheads="1"/>
        </xdr:cNvSpPr>
      </xdr:nvSpPr>
      <xdr:spPr bwMode="auto">
        <a:xfrm>
          <a:off x="285750" y="3657600"/>
          <a:ext cx="32527875" cy="99726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AE5F3BAC-1B8A-4089-BE13-357C7F423495}"/>
            </a:ext>
          </a:extLst>
        </xdr:cNvPr>
        <xdr:cNvSpPr>
          <a:spLocks noChangeArrowheads="1"/>
        </xdr:cNvSpPr>
      </xdr:nvSpPr>
      <xdr:spPr bwMode="auto">
        <a:xfrm>
          <a:off x="285750" y="3657600"/>
          <a:ext cx="32165925" cy="95440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FBB37770-6EC6-4D5C-B175-AA013127669E}"/>
            </a:ext>
          </a:extLst>
        </xdr:cNvPr>
        <xdr:cNvSpPr>
          <a:spLocks noChangeArrowheads="1"/>
        </xdr:cNvSpPr>
      </xdr:nvSpPr>
      <xdr:spPr bwMode="auto">
        <a:xfrm>
          <a:off x="285750" y="3657600"/>
          <a:ext cx="32165925" cy="6657975"/>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morales/Downloads/Users/njarias/Documents/COMITE%20DIRECTIVO/POA_DISCIPLINARIOS_2014(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morales/Downloads/Users/DANIEL/Desktop/CESAR/temporal/2.%20documentos%201%20(FORMATO%20PO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ayis/0-PlanEstrategica/PEI-POA2021/Dependecias-trazab/RE__Plan_Operativo_Anual_DTIC/dtic-v2/01-FR-03%20Plan%20Operativo%20Anual%20-%20V4-SP_DTIC_26ENE2021v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ayis/0-PlanEstrategica/PEI-POA2021/POA%202021/Comunicaci&#243;n%20Estrat&#233;gica/POA%20OAC%202021%20-%20202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ayis/0-PlanEstrategica/PEI-POA2021/POA%202021/Promoci&#243;n%20Defensa%20Derechos/01-FR-03%20Plan%20Operativo%20Anu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ayis/0-PlanEstrategica/PEI-POA2021/Dependecias-trazab/Plan_Operativo_Anual_08-GTH/_ALCANCE_PROCESO_08-GTHfin/01-FR-03%20Plan%20Operativo%20Anual%20-%20V4-Proceso%20GTH%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ayis/0-PlanEstrategica/PEI-POA2021/POA%202021/G%20Administrativa/01-FR-03%20Plan%20Operativo%20Anual%20-%20GESTI&#211;N%20ADMINISTRATIVA-RevDLC28012020_V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ayis/0-PlanEstrategica/PEI-POA2021/Dependecias-trazab/12-GESTI&#211;N_DOCUMENTALV1/ROCESO_GESTI&#211;N_DOCUMENTAL_2021-_AJUSTAR/2021-01-26-POA-G-DOCUMENTAL-AjstesJCHD2701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ayis/0-PlanEstrategica/PEI-POA2021/POA%202021/Evaluaci&#243;n%20y%20Sgto/01-FR-03%20Plan%20Operativo%20Anual%20-Ajustado%20EvalySgto-%202701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
      <sheetName val="Hoja2"/>
    </sheetNames>
    <sheetDataSet>
      <sheetData sheetId="0">
        <row r="3">
          <cell r="B3" t="str">
            <v>1.1. Efectuar seguimiento y control efectivo a los requerimientos ciudadanos para que conduzcan a la materialización de los derechos.</v>
          </cell>
        </row>
        <row r="4">
          <cell r="B4" t="str">
            <v>1.2. Fortalecer el esquema de gestión de Requerimientos Ciudadanos con criterio de Personería 24 horas.</v>
          </cell>
        </row>
        <row r="5">
          <cell r="B5" t="str">
            <v>1.3. Radar: Leer la ciudad, las necesidades de los ciudadanos, el estado de respeto a los derechos humanos, a través de los requerimientos ciudadanos.</v>
          </cell>
        </row>
        <row r="6">
          <cell r="B6" t="str">
            <v>2.1. Generar mecanismos de priorización temática, para ejecución ágil y efectiva, y divulgación oportuna de los resultados de la revisión a la Gestión Pública.</v>
          </cell>
        </row>
        <row r="7">
          <cell r="B7" t="str">
            <v>2.2. Establecer impacto.</v>
          </cell>
        </row>
        <row r="8">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sheetName val="Hoja1"/>
    </sheetNames>
    <sheetDataSet>
      <sheetData sheetId="0"/>
      <sheetData sheetId="1">
        <row r="3">
          <cell r="A3" t="str">
            <v>1. Prestar asistencia efectiva a los ciudadanos.</v>
          </cell>
          <cell r="B3" t="str">
            <v>1.1. Efectuar seguimiento y control efectivo a los requerimientos ciudadanos para que conduzcan a la materialización de los derechos.</v>
          </cell>
        </row>
        <row r="4">
          <cell r="A4" t="str">
            <v>2. Alertar oportunamente sobre riesgos y hechos que se consideren irregulares en la gestión pública Distrital, para que se salvaguarden el interés público y los derechos ciudadanos.</v>
          </cell>
          <cell r="B4" t="str">
            <v>1.2.  Fortalecer el esquema de gestión de los Requerimientos Ciudadanos en función de la materialización de los derechos con criterio de expansión de cobertura.</v>
          </cell>
        </row>
        <row r="5">
          <cell r="A5" t="str">
            <v>3. Investigar y juzgar oportuna y consistentemente las conductas de los servidores públicos distritales.</v>
          </cell>
          <cell r="B5" t="str">
            <v>1.3. Radar: Leer la ciudad, las necesidades de los ciudadanos, el estado de respeto a los derechos humanos, a través de los requerimientos ciudadanos.</v>
          </cell>
        </row>
        <row r="6">
          <cell r="A6" t="str">
            <v>4. Visibilizar la gestión para preservar la legitimidad institucional.</v>
          </cell>
          <cell r="B6" t="str">
            <v>2.1. Generar mecanismos de priorización temática, para ejecución ágil y efectiva, y divulgación oportuna de los resultados de la revisión a la Gestión Pública.</v>
          </cell>
        </row>
        <row r="7">
          <cell r="A7" t="str">
            <v>5. Gestionar la apropiación y cumplimiento de deberes de todos, como garantía de realización de los Derechos.</v>
          </cell>
          <cell r="B7" t="str">
            <v>2.2. Establecer impacto.</v>
          </cell>
        </row>
        <row r="8">
          <cell r="A8" t="str">
            <v>6. Modernizar y fortalecer la institución para mejorar el servicio al ciudadano.</v>
          </cell>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y/o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J13" t="str">
            <v>Dirección de Tecnologías de la  Información y las Comunicaciones</v>
          </cell>
        </row>
        <row r="19">
          <cell r="J19" t="str">
            <v>Dirección de Tecnologías de la  Información y las Comunicaciones</v>
          </cell>
        </row>
      </sheetData>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J13" t="str">
            <v>Oficina Asesora de Comunicaciones</v>
          </cell>
        </row>
        <row r="14">
          <cell r="J14" t="str">
            <v>Oficina Asesora de Comunicaciones</v>
          </cell>
        </row>
      </sheetData>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B13" t="str">
            <v>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ell>
        </row>
      </sheetData>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J13" t="str">
            <v xml:space="preserve">
Dirección de Talento Humano
</v>
          </cell>
        </row>
        <row r="14">
          <cell r="J14" t="str">
            <v>Dependencia Líder: 
Dirección de Talento Humano
Dependencia Operativa:
Subdirección de Gestión del Talento Humano</v>
          </cell>
        </row>
        <row r="15">
          <cell r="J15" t="str">
            <v>Dependencia Líder: 
Dirección de Talento Humano
Dependencia Operativa:
Subdirección de Gestión del Talento Humano</v>
          </cell>
        </row>
        <row r="20">
          <cell r="J20" t="str">
            <v>Dirección de Talento Humano</v>
          </cell>
        </row>
      </sheetData>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H13" t="str">
            <v>Porcentaje de servicios atendidos</v>
          </cell>
        </row>
        <row r="14">
          <cell r="H14" t="str">
            <v>Porcentaje de actividades del PESV ejecutadas</v>
          </cell>
        </row>
      </sheetData>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J13" t="str">
            <v>Oficina de Control Interno</v>
          </cell>
        </row>
        <row r="14">
          <cell r="J14" t="str">
            <v>Oficina de Control Interno</v>
          </cell>
        </row>
        <row r="15">
          <cell r="J15" t="str">
            <v>Oficina de Control Interno</v>
          </cell>
        </row>
      </sheetData>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6B54B-4C91-45B7-AC06-B5163719E6C9}">
  <dimension ref="A1:F41"/>
  <sheetViews>
    <sheetView showGridLines="0" tabSelected="1" topLeftCell="A4" zoomScale="70" zoomScaleNormal="70" workbookViewId="0">
      <selection activeCell="D4" sqref="D4"/>
    </sheetView>
  </sheetViews>
  <sheetFormatPr baseColWidth="10" defaultColWidth="12.5546875" defaultRowHeight="13.2"/>
  <cols>
    <col min="1" max="1" width="4.33203125" style="85" customWidth="1"/>
    <col min="2" max="2" width="13.6640625" style="85" customWidth="1"/>
    <col min="3" max="3" width="16.44140625" style="85" customWidth="1"/>
    <col min="4" max="4" width="52.44140625" style="85" customWidth="1"/>
    <col min="5" max="5" width="16.44140625" style="85" customWidth="1"/>
    <col min="6" max="6" width="13.6640625" style="85" customWidth="1"/>
    <col min="7" max="16384" width="12.5546875" style="85"/>
  </cols>
  <sheetData>
    <row r="1" spans="1:6" ht="19.5" customHeight="1">
      <c r="A1" s="406" t="s">
        <v>671</v>
      </c>
      <c r="B1" s="407"/>
      <c r="C1" s="407"/>
      <c r="D1" s="410" t="s">
        <v>776</v>
      </c>
      <c r="E1" s="412" t="s">
        <v>598</v>
      </c>
      <c r="F1" s="413"/>
    </row>
    <row r="2" spans="1:6" ht="23.25" customHeight="1">
      <c r="A2" s="408"/>
      <c r="B2" s="409"/>
      <c r="C2" s="409"/>
      <c r="D2" s="411"/>
      <c r="E2" s="86" t="s">
        <v>777</v>
      </c>
      <c r="F2" s="87" t="s">
        <v>599</v>
      </c>
    </row>
    <row r="3" spans="1:6" ht="30" customHeight="1">
      <c r="A3" s="408"/>
      <c r="B3" s="409"/>
      <c r="C3" s="409"/>
      <c r="D3" s="411"/>
      <c r="E3" s="414" t="s">
        <v>779</v>
      </c>
      <c r="F3" s="415"/>
    </row>
    <row r="4" spans="1:6" ht="9" customHeight="1">
      <c r="A4" s="88"/>
      <c r="B4" s="89"/>
      <c r="C4" s="89"/>
      <c r="D4" s="89"/>
      <c r="E4" s="89"/>
      <c r="F4" s="90"/>
    </row>
    <row r="5" spans="1:6" ht="17.850000000000001" customHeight="1">
      <c r="A5" s="91"/>
      <c r="B5" s="92"/>
      <c r="C5" s="92"/>
      <c r="D5" s="92"/>
      <c r="E5" s="92"/>
      <c r="F5" s="93"/>
    </row>
    <row r="6" spans="1:6" ht="30" customHeight="1">
      <c r="A6" s="94"/>
      <c r="B6" s="419" t="s">
        <v>600</v>
      </c>
      <c r="C6" s="419"/>
      <c r="D6" s="419"/>
      <c r="E6" s="419"/>
      <c r="F6" s="95"/>
    </row>
    <row r="7" spans="1:6" ht="19.5" customHeight="1">
      <c r="A7" s="94"/>
      <c r="B7" s="55" t="s">
        <v>601</v>
      </c>
      <c r="C7" s="55" t="s">
        <v>602</v>
      </c>
      <c r="D7" s="411" t="s">
        <v>603</v>
      </c>
      <c r="E7" s="411"/>
      <c r="F7" s="96"/>
    </row>
    <row r="8" spans="1:6" ht="15">
      <c r="A8" s="97"/>
      <c r="B8" s="54">
        <v>1</v>
      </c>
      <c r="C8" s="98">
        <v>44226</v>
      </c>
      <c r="D8" s="420" t="s">
        <v>604</v>
      </c>
      <c r="E8" s="420"/>
      <c r="F8" s="90"/>
    </row>
    <row r="9" spans="1:6" ht="45" customHeight="1">
      <c r="A9" s="88"/>
      <c r="B9" s="54">
        <v>2</v>
      </c>
      <c r="C9" s="98">
        <v>44369</v>
      </c>
      <c r="D9" s="420" t="s">
        <v>708</v>
      </c>
      <c r="E9" s="420"/>
      <c r="F9" s="90"/>
    </row>
    <row r="10" spans="1:6" ht="66" customHeight="1">
      <c r="A10" s="99"/>
      <c r="B10" s="54">
        <v>3</v>
      </c>
      <c r="C10" s="98">
        <v>44433</v>
      </c>
      <c r="D10" s="431" t="s">
        <v>714</v>
      </c>
      <c r="E10" s="431"/>
      <c r="F10" s="102"/>
    </row>
    <row r="11" spans="1:6" ht="81" customHeight="1">
      <c r="A11" s="88"/>
      <c r="B11" s="54">
        <v>4</v>
      </c>
      <c r="C11" s="98">
        <v>44470</v>
      </c>
      <c r="D11" s="431" t="s">
        <v>715</v>
      </c>
      <c r="E11" s="431"/>
      <c r="F11" s="103"/>
    </row>
    <row r="12" spans="1:6" ht="164.4" customHeight="1">
      <c r="A12" s="104"/>
      <c r="B12" s="54">
        <v>5</v>
      </c>
      <c r="C12" s="98">
        <v>44581</v>
      </c>
      <c r="D12" s="431" t="s">
        <v>794</v>
      </c>
      <c r="E12" s="431"/>
      <c r="F12" s="90"/>
    </row>
    <row r="13" spans="1:6" ht="19.5" customHeight="1">
      <c r="A13" s="104"/>
      <c r="B13" s="100"/>
      <c r="C13" s="105"/>
      <c r="D13" s="100"/>
      <c r="E13" s="100"/>
      <c r="F13" s="102"/>
    </row>
    <row r="14" spans="1:6" ht="19.5" customHeight="1">
      <c r="A14" s="106"/>
      <c r="B14" s="101"/>
      <c r="C14" s="101"/>
      <c r="D14" s="335"/>
      <c r="E14" s="101"/>
      <c r="F14" s="107"/>
    </row>
    <row r="15" spans="1:6" ht="16.350000000000001" customHeight="1">
      <c r="A15" s="106"/>
      <c r="B15" s="101"/>
      <c r="C15" s="101"/>
      <c r="D15" s="101"/>
      <c r="E15" s="100"/>
      <c r="F15" s="102"/>
    </row>
    <row r="16" spans="1:6" ht="16.350000000000001" customHeight="1">
      <c r="A16" s="104"/>
      <c r="B16" s="100"/>
      <c r="C16" s="105"/>
      <c r="D16" s="105"/>
      <c r="E16" s="105"/>
      <c r="F16" s="108"/>
    </row>
    <row r="17" spans="1:6" ht="16.350000000000001" customHeight="1">
      <c r="A17" s="104"/>
      <c r="B17" s="100"/>
      <c r="C17" s="105"/>
      <c r="D17" s="105"/>
      <c r="E17" s="105"/>
      <c r="F17" s="108"/>
    </row>
    <row r="18" spans="1:6" ht="16.350000000000001" customHeight="1">
      <c r="A18" s="109"/>
      <c r="B18" s="110"/>
      <c r="C18" s="110"/>
      <c r="D18" s="110"/>
      <c r="E18" s="105"/>
      <c r="F18" s="108"/>
    </row>
    <row r="19" spans="1:6" ht="16.350000000000001" customHeight="1">
      <c r="A19" s="111"/>
      <c r="B19" s="105"/>
      <c r="C19" s="105"/>
      <c r="D19" s="105"/>
      <c r="E19" s="105"/>
      <c r="F19" s="108"/>
    </row>
    <row r="20" spans="1:6" ht="16.350000000000001" customHeight="1">
      <c r="A20" s="106"/>
      <c r="B20" s="101"/>
      <c r="C20" s="101"/>
      <c r="D20" s="100"/>
      <c r="E20" s="100"/>
      <c r="F20" s="102"/>
    </row>
    <row r="21" spans="1:6" ht="16.350000000000001" customHeight="1">
      <c r="A21" s="106"/>
      <c r="B21" s="101"/>
      <c r="C21" s="101"/>
      <c r="D21" s="100"/>
      <c r="E21" s="100"/>
      <c r="F21" s="102"/>
    </row>
    <row r="22" spans="1:6" ht="16.350000000000001" customHeight="1">
      <c r="A22" s="111"/>
      <c r="B22" s="105"/>
      <c r="C22" s="105"/>
      <c r="D22" s="105"/>
      <c r="E22" s="105"/>
      <c r="F22" s="108"/>
    </row>
    <row r="23" spans="1:6" ht="16.350000000000001" customHeight="1">
      <c r="A23" s="111"/>
      <c r="B23" s="105"/>
      <c r="C23" s="105"/>
      <c r="D23" s="105"/>
      <c r="E23" s="105"/>
      <c r="F23" s="108"/>
    </row>
    <row r="24" spans="1:6" ht="16.350000000000001" customHeight="1">
      <c r="A24" s="111"/>
      <c r="B24" s="105"/>
      <c r="C24" s="105"/>
      <c r="D24" s="105"/>
      <c r="E24" s="105"/>
      <c r="F24" s="108"/>
    </row>
    <row r="25" spans="1:6" ht="25.5" customHeight="1">
      <c r="A25" s="428" t="s">
        <v>606</v>
      </c>
      <c r="B25" s="429"/>
      <c r="C25" s="430"/>
      <c r="D25" s="310" t="s">
        <v>607</v>
      </c>
      <c r="E25" s="426" t="s">
        <v>608</v>
      </c>
      <c r="F25" s="427"/>
    </row>
    <row r="26" spans="1:6" ht="65.25" customHeight="1">
      <c r="A26" s="423" t="s">
        <v>605</v>
      </c>
      <c r="B26" s="424"/>
      <c r="C26" s="425"/>
      <c r="D26" s="112" t="s">
        <v>672</v>
      </c>
      <c r="E26" s="421" t="s">
        <v>609</v>
      </c>
      <c r="F26" s="422"/>
    </row>
    <row r="27" spans="1:6" ht="21" customHeight="1">
      <c r="A27" s="111"/>
      <c r="B27" s="105"/>
      <c r="C27" s="105"/>
      <c r="D27" s="105"/>
      <c r="E27" s="105"/>
      <c r="F27" s="108"/>
    </row>
    <row r="28" spans="1:6" ht="39.75" customHeight="1">
      <c r="A28" s="416" t="s">
        <v>673</v>
      </c>
      <c r="B28" s="417"/>
      <c r="C28" s="417"/>
      <c r="D28" s="417"/>
      <c r="E28" s="417"/>
      <c r="F28" s="418"/>
    </row>
    <row r="29" spans="1:6" ht="17.25" customHeight="1" thickBot="1">
      <c r="A29" s="113"/>
      <c r="B29" s="114"/>
      <c r="C29" s="114"/>
      <c r="D29" s="114"/>
      <c r="E29" s="114"/>
      <c r="F29" s="115"/>
    </row>
    <row r="30" spans="1:6" ht="27" customHeight="1"/>
    <row r="31" spans="1:6" ht="15.6" customHeight="1">
      <c r="A31" s="116"/>
      <c r="B31" s="116"/>
      <c r="C31" s="116"/>
      <c r="D31" s="116"/>
      <c r="E31" s="116"/>
      <c r="F31" s="116"/>
    </row>
    <row r="32" spans="1:6" ht="13.5" customHeight="1">
      <c r="A32" s="117"/>
      <c r="B32" s="89"/>
      <c r="C32" s="89"/>
      <c r="D32" s="89"/>
      <c r="E32" s="89"/>
      <c r="F32" s="89"/>
    </row>
    <row r="33" spans="1:6" ht="18" customHeight="1">
      <c r="A33" s="89"/>
      <c r="B33" s="118"/>
      <c r="C33" s="89"/>
      <c r="D33" s="89"/>
      <c r="E33" s="89"/>
      <c r="F33" s="89"/>
    </row>
    <row r="34" spans="1:6" ht="13.5" customHeight="1">
      <c r="A34" s="116"/>
      <c r="B34" s="116"/>
      <c r="C34" s="116"/>
      <c r="D34" s="116"/>
      <c r="E34" s="105"/>
      <c r="F34" s="105"/>
    </row>
    <row r="35" spans="1:6" ht="15.6" customHeight="1">
      <c r="A35" s="116"/>
      <c r="B35" s="116"/>
      <c r="C35" s="116"/>
      <c r="D35" s="116"/>
      <c r="E35" s="116"/>
      <c r="F35" s="116"/>
    </row>
    <row r="36" spans="1:6" ht="15.6" customHeight="1">
      <c r="A36" s="116"/>
      <c r="B36" s="116"/>
      <c r="C36" s="116"/>
      <c r="D36" s="116"/>
      <c r="E36" s="116"/>
      <c r="F36" s="116"/>
    </row>
    <row r="37" spans="1:6" ht="11.1" customHeight="1">
      <c r="A37" s="89"/>
      <c r="B37" s="89"/>
      <c r="C37" s="89"/>
      <c r="D37" s="89"/>
      <c r="E37" s="89"/>
      <c r="F37" s="89"/>
    </row>
    <row r="38" spans="1:6" ht="11.25" customHeight="1">
      <c r="A38" s="119"/>
      <c r="B38" s="119"/>
      <c r="C38" s="119"/>
      <c r="D38" s="119"/>
      <c r="E38" s="119"/>
      <c r="F38" s="119"/>
    </row>
    <row r="39" spans="1:6" ht="7.5" customHeight="1">
      <c r="A39" s="89"/>
      <c r="B39" s="89"/>
      <c r="C39" s="89"/>
      <c r="D39" s="89"/>
      <c r="E39" s="89"/>
      <c r="F39" s="89"/>
    </row>
    <row r="40" spans="1:6" ht="16.5" customHeight="1">
      <c r="A40" s="100"/>
      <c r="B40" s="100"/>
      <c r="C40" s="100"/>
      <c r="D40" s="100"/>
      <c r="E40" s="100"/>
      <c r="F40" s="100"/>
    </row>
    <row r="41" spans="1:6" ht="24.75" customHeight="1"/>
  </sheetData>
  <sheetProtection algorithmName="SHA-512" hashValue="Z2qC2fiRcOK3t4igpWfLGbHeIe7sXgJRN66a5WN79PJcGw7+6H/rLH75Oj2U99AfCrvmqjuR5Yli+JBfJRhSVg==" saltValue="u8N2CRfHrXvTJmnNieJcRw==" spinCount="100000" sheet="1" selectLockedCells="1"/>
  <mergeCells count="16">
    <mergeCell ref="A1:C3"/>
    <mergeCell ref="D1:D3"/>
    <mergeCell ref="E1:F1"/>
    <mergeCell ref="E3:F3"/>
    <mergeCell ref="A28:F28"/>
    <mergeCell ref="B6:E6"/>
    <mergeCell ref="D7:E7"/>
    <mergeCell ref="D8:E8"/>
    <mergeCell ref="E26:F26"/>
    <mergeCell ref="A26:C26"/>
    <mergeCell ref="E25:F25"/>
    <mergeCell ref="A25:C25"/>
    <mergeCell ref="D9:E9"/>
    <mergeCell ref="D10:E10"/>
    <mergeCell ref="D11:E11"/>
    <mergeCell ref="D12:E12"/>
  </mergeCells>
  <pageMargins left="0.7" right="0.7" top="0.75" bottom="0.75" header="0.3" footer="0.3"/>
  <pageSetup paperSize="9" scale="75"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F117F-E8C7-4944-8A84-0879E6866BD8}">
  <dimension ref="A1:F40"/>
  <sheetViews>
    <sheetView showGridLines="0" workbookViewId="0">
      <selection activeCell="A5" sqref="A5:F24"/>
    </sheetView>
  </sheetViews>
  <sheetFormatPr baseColWidth="10" defaultColWidth="12.5546875" defaultRowHeight="13.2"/>
  <cols>
    <col min="1" max="1" width="4.33203125" style="85" customWidth="1"/>
    <col min="2" max="2" width="13.6640625" style="85" customWidth="1"/>
    <col min="3" max="3" width="16.44140625" style="85" customWidth="1"/>
    <col min="4" max="4" width="52.44140625" style="85" customWidth="1"/>
    <col min="5" max="5" width="16.44140625" style="85" customWidth="1"/>
    <col min="6" max="6" width="13.6640625" style="85" customWidth="1"/>
    <col min="7" max="16384" width="12.5546875" style="85"/>
  </cols>
  <sheetData>
    <row r="1" spans="1:6" ht="19.5" customHeight="1">
      <c r="A1" s="406" t="s">
        <v>671</v>
      </c>
      <c r="B1" s="407"/>
      <c r="C1" s="407"/>
      <c r="D1" s="410" t="s">
        <v>4</v>
      </c>
      <c r="E1" s="412" t="s">
        <v>598</v>
      </c>
      <c r="F1" s="413"/>
    </row>
    <row r="2" spans="1:6" ht="23.25" customHeight="1">
      <c r="A2" s="408"/>
      <c r="B2" s="409"/>
      <c r="C2" s="409"/>
      <c r="D2" s="411"/>
      <c r="E2" s="86" t="s">
        <v>778</v>
      </c>
      <c r="F2" s="87" t="s">
        <v>610</v>
      </c>
    </row>
    <row r="3" spans="1:6" ht="28.5" customHeight="1">
      <c r="A3" s="408"/>
      <c r="B3" s="409"/>
      <c r="C3" s="409"/>
      <c r="D3" s="411"/>
      <c r="E3" s="414" t="s">
        <v>779</v>
      </c>
      <c r="F3" s="415"/>
    </row>
    <row r="4" spans="1:6" ht="9" customHeight="1">
      <c r="A4" s="88"/>
      <c r="B4" s="89"/>
      <c r="C4" s="89"/>
      <c r="D4" s="89"/>
      <c r="E4" s="89"/>
      <c r="F4" s="90"/>
    </row>
    <row r="5" spans="1:6" ht="17.850000000000001" customHeight="1">
      <c r="A5" s="443" t="s">
        <v>611</v>
      </c>
      <c r="B5" s="444"/>
      <c r="C5" s="444"/>
      <c r="D5" s="444"/>
      <c r="E5" s="444"/>
      <c r="F5" s="445"/>
    </row>
    <row r="6" spans="1:6" ht="30" customHeight="1">
      <c r="A6" s="446"/>
      <c r="B6" s="444"/>
      <c r="C6" s="444"/>
      <c r="D6" s="444"/>
      <c r="E6" s="444"/>
      <c r="F6" s="445"/>
    </row>
    <row r="7" spans="1:6" ht="19.5" customHeight="1">
      <c r="A7" s="446"/>
      <c r="B7" s="444"/>
      <c r="C7" s="444"/>
      <c r="D7" s="444"/>
      <c r="E7" s="444"/>
      <c r="F7" s="445"/>
    </row>
    <row r="8" spans="1:6" ht="15" customHeight="1">
      <c r="A8" s="446"/>
      <c r="B8" s="444"/>
      <c r="C8" s="444"/>
      <c r="D8" s="444"/>
      <c r="E8" s="444"/>
      <c r="F8" s="445"/>
    </row>
    <row r="9" spans="1:6">
      <c r="A9" s="446"/>
      <c r="B9" s="444"/>
      <c r="C9" s="444"/>
      <c r="D9" s="444"/>
      <c r="E9" s="444"/>
      <c r="F9" s="445"/>
    </row>
    <row r="10" spans="1:6" ht="19.5" customHeight="1">
      <c r="A10" s="446"/>
      <c r="B10" s="444"/>
      <c r="C10" s="444"/>
      <c r="D10" s="444"/>
      <c r="E10" s="444"/>
      <c r="F10" s="445"/>
    </row>
    <row r="11" spans="1:6" ht="19.5" customHeight="1">
      <c r="A11" s="446"/>
      <c r="B11" s="444"/>
      <c r="C11" s="444"/>
      <c r="D11" s="444"/>
      <c r="E11" s="444"/>
      <c r="F11" s="445"/>
    </row>
    <row r="12" spans="1:6" ht="19.5" customHeight="1">
      <c r="A12" s="446"/>
      <c r="B12" s="444"/>
      <c r="C12" s="444"/>
      <c r="D12" s="444"/>
      <c r="E12" s="444"/>
      <c r="F12" s="445"/>
    </row>
    <row r="13" spans="1:6" ht="19.5" customHeight="1">
      <c r="A13" s="446"/>
      <c r="B13" s="444"/>
      <c r="C13" s="444"/>
      <c r="D13" s="444"/>
      <c r="E13" s="444"/>
      <c r="F13" s="445"/>
    </row>
    <row r="14" spans="1:6" ht="19.5" customHeight="1">
      <c r="A14" s="446"/>
      <c r="B14" s="444"/>
      <c r="C14" s="444"/>
      <c r="D14" s="444"/>
      <c r="E14" s="444"/>
      <c r="F14" s="445"/>
    </row>
    <row r="15" spans="1:6" ht="16.350000000000001" customHeight="1">
      <c r="A15" s="446"/>
      <c r="B15" s="444"/>
      <c r="C15" s="444"/>
      <c r="D15" s="444"/>
      <c r="E15" s="444"/>
      <c r="F15" s="445"/>
    </row>
    <row r="16" spans="1:6" ht="16.350000000000001" customHeight="1">
      <c r="A16" s="446"/>
      <c r="B16" s="444"/>
      <c r="C16" s="444"/>
      <c r="D16" s="444"/>
      <c r="E16" s="444"/>
      <c r="F16" s="445"/>
    </row>
    <row r="17" spans="1:6" ht="16.350000000000001" customHeight="1">
      <c r="A17" s="446"/>
      <c r="B17" s="444"/>
      <c r="C17" s="444"/>
      <c r="D17" s="444"/>
      <c r="E17" s="444"/>
      <c r="F17" s="445"/>
    </row>
    <row r="18" spans="1:6" ht="16.350000000000001" customHeight="1">
      <c r="A18" s="446"/>
      <c r="B18" s="444"/>
      <c r="C18" s="444"/>
      <c r="D18" s="444"/>
      <c r="E18" s="444"/>
      <c r="F18" s="445"/>
    </row>
    <row r="19" spans="1:6" ht="16.350000000000001" customHeight="1">
      <c r="A19" s="446"/>
      <c r="B19" s="444"/>
      <c r="C19" s="444"/>
      <c r="D19" s="444"/>
      <c r="E19" s="444"/>
      <c r="F19" s="445"/>
    </row>
    <row r="20" spans="1:6" ht="16.350000000000001" customHeight="1">
      <c r="A20" s="446"/>
      <c r="B20" s="444"/>
      <c r="C20" s="444"/>
      <c r="D20" s="444"/>
      <c r="E20" s="444"/>
      <c r="F20" s="445"/>
    </row>
    <row r="21" spans="1:6" ht="16.350000000000001" customHeight="1">
      <c r="A21" s="446"/>
      <c r="B21" s="444"/>
      <c r="C21" s="444"/>
      <c r="D21" s="444"/>
      <c r="E21" s="444"/>
      <c r="F21" s="445"/>
    </row>
    <row r="22" spans="1:6" ht="16.350000000000001" customHeight="1">
      <c r="A22" s="446"/>
      <c r="B22" s="444"/>
      <c r="C22" s="444"/>
      <c r="D22" s="444"/>
      <c r="E22" s="444"/>
      <c r="F22" s="445"/>
    </row>
    <row r="23" spans="1:6" ht="16.350000000000001" customHeight="1">
      <c r="A23" s="446"/>
      <c r="B23" s="444"/>
      <c r="C23" s="444"/>
      <c r="D23" s="444"/>
      <c r="E23" s="444"/>
      <c r="F23" s="445"/>
    </row>
    <row r="24" spans="1:6" ht="16.350000000000001" customHeight="1">
      <c r="A24" s="446"/>
      <c r="B24" s="444"/>
      <c r="C24" s="444"/>
      <c r="D24" s="444"/>
      <c r="E24" s="444"/>
      <c r="F24" s="445"/>
    </row>
    <row r="25" spans="1:6" ht="25.5" customHeight="1">
      <c r="A25" s="432"/>
      <c r="B25" s="433"/>
      <c r="C25" s="433"/>
      <c r="D25" s="120"/>
      <c r="E25" s="434"/>
      <c r="F25" s="435"/>
    </row>
    <row r="26" spans="1:6" ht="65.25" customHeight="1">
      <c r="A26" s="436"/>
      <c r="B26" s="437"/>
      <c r="C26" s="437"/>
      <c r="D26" s="121"/>
      <c r="E26" s="438"/>
      <c r="F26" s="439"/>
    </row>
    <row r="27" spans="1:6" ht="21" customHeight="1">
      <c r="A27" s="111"/>
      <c r="B27" s="105"/>
      <c r="C27" s="105"/>
      <c r="D27" s="105"/>
      <c r="E27" s="105"/>
      <c r="F27" s="108"/>
    </row>
    <row r="28" spans="1:6" ht="39.75" customHeight="1" thickBot="1">
      <c r="A28" s="440" t="s">
        <v>673</v>
      </c>
      <c r="B28" s="441"/>
      <c r="C28" s="441"/>
      <c r="D28" s="441"/>
      <c r="E28" s="441"/>
      <c r="F28" s="442"/>
    </row>
    <row r="29" spans="1:6" ht="27" customHeight="1"/>
    <row r="30" spans="1:6" ht="15.6" customHeight="1">
      <c r="A30" s="116"/>
      <c r="B30" s="116"/>
      <c r="C30" s="116"/>
      <c r="D30" s="116"/>
      <c r="E30" s="116"/>
      <c r="F30" s="116"/>
    </row>
    <row r="31" spans="1:6" ht="13.5" customHeight="1">
      <c r="A31" s="117"/>
      <c r="B31" s="89"/>
      <c r="C31" s="89"/>
      <c r="D31" s="89"/>
      <c r="E31" s="89"/>
      <c r="F31" s="89"/>
    </row>
    <row r="32" spans="1:6" ht="18" customHeight="1">
      <c r="A32" s="89"/>
      <c r="B32" s="118"/>
      <c r="C32" s="89"/>
      <c r="D32" s="89"/>
      <c r="E32" s="89"/>
      <c r="F32" s="89"/>
    </row>
    <row r="33" spans="1:6" ht="13.5" customHeight="1">
      <c r="A33" s="116"/>
      <c r="B33" s="116"/>
      <c r="C33" s="116"/>
      <c r="D33" s="116"/>
      <c r="E33" s="105"/>
      <c r="F33" s="105"/>
    </row>
    <row r="34" spans="1:6" ht="15.6" customHeight="1">
      <c r="A34" s="116"/>
      <c r="B34" s="116"/>
      <c r="C34" s="116"/>
      <c r="D34" s="116"/>
      <c r="E34" s="116"/>
      <c r="F34" s="116"/>
    </row>
    <row r="35" spans="1:6" ht="15.6" customHeight="1">
      <c r="A35" s="116"/>
      <c r="B35" s="116"/>
      <c r="C35" s="116"/>
      <c r="D35" s="116"/>
      <c r="E35" s="116"/>
      <c r="F35" s="116"/>
    </row>
    <row r="36" spans="1:6" ht="11.1" customHeight="1">
      <c r="A36" s="89"/>
      <c r="B36" s="89"/>
      <c r="C36" s="89"/>
      <c r="D36" s="89"/>
      <c r="E36" s="89"/>
      <c r="F36" s="89"/>
    </row>
    <row r="37" spans="1:6" ht="11.25" customHeight="1">
      <c r="A37" s="119"/>
      <c r="B37" s="119"/>
      <c r="C37" s="119"/>
      <c r="D37" s="119"/>
      <c r="E37" s="119"/>
      <c r="F37" s="119"/>
    </row>
    <row r="38" spans="1:6" ht="7.5" customHeight="1">
      <c r="A38" s="89"/>
      <c r="B38" s="89"/>
      <c r="C38" s="89"/>
      <c r="D38" s="89"/>
      <c r="E38" s="89"/>
      <c r="F38" s="89"/>
    </row>
    <row r="39" spans="1:6" ht="16.5" customHeight="1">
      <c r="A39" s="100"/>
      <c r="B39" s="100"/>
      <c r="C39" s="100"/>
      <c r="D39" s="100"/>
      <c r="E39" s="100"/>
      <c r="F39" s="100"/>
    </row>
    <row r="40" spans="1:6" ht="24.75" customHeight="1"/>
  </sheetData>
  <sheetProtection algorithmName="SHA-512" hashValue="37wqDCXp9U1oXrtn/KG2/6UEw1VYWCu9+OiVjRwK0GDHWiwNzsXPmbYqlAZnruO+L9WYTcgvxv55TglqQ3xSjw==" saltValue="lxbdA1n+IomxAS9+tQUPnw==" spinCount="100000" sheet="1" selectLockedCells="1"/>
  <mergeCells count="10">
    <mergeCell ref="A5:F24"/>
    <mergeCell ref="A1:C3"/>
    <mergeCell ref="D1:D3"/>
    <mergeCell ref="E1:F1"/>
    <mergeCell ref="E3:F3"/>
    <mergeCell ref="A25:C25"/>
    <mergeCell ref="E25:F25"/>
    <mergeCell ref="A26:C26"/>
    <mergeCell ref="E26:F26"/>
    <mergeCell ref="A28:F2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0B201-2029-4371-9633-7F68E9D3BAC5}">
  <sheetPr>
    <tabColor rgb="FF00B050"/>
  </sheetPr>
  <dimension ref="B1:O116"/>
  <sheetViews>
    <sheetView showGridLines="0" zoomScale="60" zoomScaleNormal="60" workbookViewId="0">
      <selection activeCell="H99" sqref="H99"/>
    </sheetView>
  </sheetViews>
  <sheetFormatPr baseColWidth="10" defaultColWidth="17.33203125" defaultRowHeight="15" customHeight="1"/>
  <cols>
    <col min="1" max="1" width="4.33203125" style="124" customWidth="1"/>
    <col min="2" max="2" width="50.44140625" style="122" customWidth="1"/>
    <col min="3" max="3" width="55.109375" style="122" customWidth="1"/>
    <col min="4" max="4" width="52.88671875" style="122" customWidth="1"/>
    <col min="5" max="5" width="25.44140625" style="123" customWidth="1"/>
    <col min="6" max="6" width="26.33203125" style="123" customWidth="1"/>
    <col min="7" max="7" width="18" style="123" customWidth="1"/>
    <col min="8" max="8" width="43.6640625" style="122" customWidth="1"/>
    <col min="9" max="9" width="29.44140625" style="122" customWidth="1"/>
    <col min="10" max="10" width="56.33203125" style="122" customWidth="1"/>
    <col min="11" max="14" width="14.33203125" style="124" customWidth="1"/>
    <col min="15" max="15" width="18.5546875" style="124" customWidth="1"/>
    <col min="16" max="16384" width="17.33203125" style="124"/>
  </cols>
  <sheetData>
    <row r="1" spans="2:15" ht="15" customHeight="1" thickBot="1"/>
    <row r="2" spans="2:15" ht="16.5" customHeight="1">
      <c r="B2" s="489" t="s">
        <v>671</v>
      </c>
      <c r="C2" s="479" t="s">
        <v>44</v>
      </c>
      <c r="D2" s="480"/>
      <c r="E2" s="480"/>
      <c r="F2" s="480"/>
      <c r="G2" s="480"/>
      <c r="H2" s="480"/>
      <c r="I2" s="480"/>
      <c r="J2" s="480"/>
      <c r="K2" s="480"/>
      <c r="L2" s="480"/>
      <c r="M2" s="481"/>
      <c r="N2" s="469" t="s">
        <v>793</v>
      </c>
      <c r="O2" s="470"/>
    </row>
    <row r="3" spans="2:15" ht="16.5" customHeight="1">
      <c r="B3" s="490"/>
      <c r="C3" s="482"/>
      <c r="D3" s="483"/>
      <c r="E3" s="483"/>
      <c r="F3" s="483"/>
      <c r="G3" s="483"/>
      <c r="H3" s="483"/>
      <c r="I3" s="483"/>
      <c r="J3" s="483"/>
      <c r="K3" s="483"/>
      <c r="L3" s="483"/>
      <c r="M3" s="484"/>
      <c r="N3" s="386" t="s">
        <v>28</v>
      </c>
      <c r="O3" s="387" t="s">
        <v>29</v>
      </c>
    </row>
    <row r="4" spans="2:15" ht="16.5" customHeight="1">
      <c r="B4" s="490"/>
      <c r="C4" s="482"/>
      <c r="D4" s="483"/>
      <c r="E4" s="483"/>
      <c r="F4" s="483"/>
      <c r="G4" s="483"/>
      <c r="H4" s="483"/>
      <c r="I4" s="483"/>
      <c r="J4" s="483"/>
      <c r="K4" s="483"/>
      <c r="L4" s="483"/>
      <c r="M4" s="484"/>
      <c r="N4" s="388">
        <v>5</v>
      </c>
      <c r="O4" s="389" t="s">
        <v>634</v>
      </c>
    </row>
    <row r="5" spans="2:15" ht="16.5" customHeight="1">
      <c r="B5" s="490"/>
      <c r="C5" s="482"/>
      <c r="D5" s="483"/>
      <c r="E5" s="483"/>
      <c r="F5" s="483"/>
      <c r="G5" s="483"/>
      <c r="H5" s="483"/>
      <c r="I5" s="483"/>
      <c r="J5" s="483"/>
      <c r="K5" s="483"/>
      <c r="L5" s="483"/>
      <c r="M5" s="484"/>
      <c r="N5" s="471" t="s">
        <v>30</v>
      </c>
      <c r="O5" s="472"/>
    </row>
    <row r="6" spans="2:15" ht="16.5" customHeight="1" thickBot="1">
      <c r="B6" s="491"/>
      <c r="C6" s="485"/>
      <c r="D6" s="486"/>
      <c r="E6" s="486"/>
      <c r="F6" s="486"/>
      <c r="G6" s="486"/>
      <c r="H6" s="486"/>
      <c r="I6" s="486"/>
      <c r="J6" s="486"/>
      <c r="K6" s="486"/>
      <c r="L6" s="486"/>
      <c r="M6" s="487"/>
      <c r="N6" s="473">
        <v>44306</v>
      </c>
      <c r="O6" s="474"/>
    </row>
    <row r="7" spans="2:15" ht="14.25" customHeight="1">
      <c r="B7" s="125"/>
      <c r="C7" s="125"/>
      <c r="D7" s="125"/>
      <c r="E7" s="126"/>
      <c r="F7" s="126"/>
      <c r="G7" s="126"/>
      <c r="H7" s="125"/>
      <c r="I7" s="125"/>
      <c r="J7" s="125"/>
    </row>
    <row r="8" spans="2:15" ht="18" customHeight="1">
      <c r="B8" s="475" t="s">
        <v>48</v>
      </c>
      <c r="C8" s="475"/>
      <c r="D8" s="475"/>
      <c r="E8" s="475"/>
      <c r="F8" s="475"/>
      <c r="G8" s="475"/>
      <c r="H8" s="475"/>
      <c r="I8" s="475"/>
      <c r="J8" s="475"/>
      <c r="K8" s="475"/>
      <c r="L8" s="475"/>
      <c r="M8" s="475"/>
      <c r="N8" s="475"/>
      <c r="O8" s="475"/>
    </row>
    <row r="9" spans="2:15" ht="14.25" customHeight="1">
      <c r="B9" s="125"/>
      <c r="C9" s="125"/>
      <c r="D9" s="125"/>
      <c r="E9" s="126"/>
      <c r="F9" s="126"/>
      <c r="G9" s="126"/>
      <c r="H9" s="125"/>
      <c r="I9" s="125"/>
      <c r="J9" s="125"/>
      <c r="K9" s="127"/>
      <c r="L9" s="127"/>
      <c r="M9" s="127"/>
      <c r="N9" s="127"/>
      <c r="O9" s="127"/>
    </row>
    <row r="10" spans="2:15" ht="24.75" customHeight="1">
      <c r="B10" s="488" t="s">
        <v>0</v>
      </c>
      <c r="C10" s="488" t="s">
        <v>52</v>
      </c>
      <c r="D10" s="488" t="s">
        <v>53</v>
      </c>
      <c r="E10" s="476" t="s">
        <v>54</v>
      </c>
      <c r="F10" s="488" t="s">
        <v>55</v>
      </c>
      <c r="G10" s="488" t="s">
        <v>69</v>
      </c>
      <c r="H10" s="488" t="s">
        <v>56</v>
      </c>
      <c r="I10" s="488" t="s">
        <v>41</v>
      </c>
      <c r="J10" s="488" t="s">
        <v>42</v>
      </c>
      <c r="K10" s="499" t="s">
        <v>74</v>
      </c>
      <c r="L10" s="499"/>
      <c r="M10" s="499"/>
      <c r="N10" s="499"/>
      <c r="O10" s="498" t="s">
        <v>43</v>
      </c>
    </row>
    <row r="11" spans="2:15" ht="24.75" customHeight="1">
      <c r="B11" s="488"/>
      <c r="C11" s="488"/>
      <c r="D11" s="488"/>
      <c r="E11" s="477"/>
      <c r="F11" s="488"/>
      <c r="G11" s="488"/>
      <c r="H11" s="488"/>
      <c r="I11" s="488"/>
      <c r="J11" s="488"/>
      <c r="K11" s="385" t="s">
        <v>58</v>
      </c>
      <c r="L11" s="385" t="s">
        <v>58</v>
      </c>
      <c r="M11" s="385" t="s">
        <v>58</v>
      </c>
      <c r="N11" s="385" t="s">
        <v>58</v>
      </c>
      <c r="O11" s="498"/>
    </row>
    <row r="12" spans="2:15" ht="22.5" customHeight="1">
      <c r="B12" s="488"/>
      <c r="C12" s="488"/>
      <c r="D12" s="488"/>
      <c r="E12" s="478"/>
      <c r="F12" s="488"/>
      <c r="G12" s="488"/>
      <c r="H12" s="488"/>
      <c r="I12" s="488"/>
      <c r="J12" s="488"/>
      <c r="K12" s="390">
        <v>2021</v>
      </c>
      <c r="L12" s="390">
        <v>2022</v>
      </c>
      <c r="M12" s="390">
        <v>2023</v>
      </c>
      <c r="N12" s="390">
        <v>2024</v>
      </c>
      <c r="O12" s="498"/>
    </row>
    <row r="13" spans="2:15" ht="103.5" customHeight="1">
      <c r="B13" s="457" t="s">
        <v>129</v>
      </c>
      <c r="C13" s="454" t="s">
        <v>774</v>
      </c>
      <c r="D13" s="379" t="s">
        <v>730</v>
      </c>
      <c r="E13" s="37">
        <v>0.38</v>
      </c>
      <c r="F13" s="128">
        <v>356610</v>
      </c>
      <c r="G13" s="128">
        <v>102450</v>
      </c>
      <c r="H13" s="130" t="s">
        <v>163</v>
      </c>
      <c r="I13" s="131" t="s">
        <v>191</v>
      </c>
      <c r="J13" s="132" t="s">
        <v>621</v>
      </c>
      <c r="K13" s="337">
        <v>102450</v>
      </c>
      <c r="L13" s="133">
        <v>106660</v>
      </c>
      <c r="M13" s="133">
        <v>98250</v>
      </c>
      <c r="N13" s="133">
        <v>49250</v>
      </c>
      <c r="O13" s="23">
        <f>K13+L13+M13+N13</f>
        <v>356610</v>
      </c>
    </row>
    <row r="14" spans="2:15" ht="142.5" customHeight="1">
      <c r="B14" s="458"/>
      <c r="C14" s="456"/>
      <c r="D14" s="379" t="s">
        <v>731</v>
      </c>
      <c r="E14" s="37">
        <v>0.3</v>
      </c>
      <c r="F14" s="128">
        <v>292755</v>
      </c>
      <c r="G14" s="128">
        <v>78750</v>
      </c>
      <c r="H14" s="130" t="s">
        <v>164</v>
      </c>
      <c r="I14" s="131" t="s">
        <v>191</v>
      </c>
      <c r="J14" s="132" t="s">
        <v>622</v>
      </c>
      <c r="K14" s="337">
        <v>78750</v>
      </c>
      <c r="L14" s="133">
        <v>97105</v>
      </c>
      <c r="M14" s="133">
        <v>76600</v>
      </c>
      <c r="N14" s="133">
        <v>40300</v>
      </c>
      <c r="O14" s="23">
        <f t="shared" ref="O14:O47" si="0">K14+L14+M14+N14</f>
        <v>292755</v>
      </c>
    </row>
    <row r="15" spans="2:15" ht="185.25" customHeight="1">
      <c r="B15" s="458"/>
      <c r="C15" s="456"/>
      <c r="D15" s="309" t="s">
        <v>748</v>
      </c>
      <c r="E15" s="37">
        <v>0.15</v>
      </c>
      <c r="F15" s="128">
        <v>117610</v>
      </c>
      <c r="G15" s="128">
        <v>28695</v>
      </c>
      <c r="H15" s="130" t="s">
        <v>165</v>
      </c>
      <c r="I15" s="131" t="s">
        <v>191</v>
      </c>
      <c r="J15" s="132" t="s">
        <v>623</v>
      </c>
      <c r="K15" s="337">
        <v>28695</v>
      </c>
      <c r="L15" s="133">
        <v>26115</v>
      </c>
      <c r="M15" s="133">
        <v>39200</v>
      </c>
      <c r="N15" s="133">
        <v>23600</v>
      </c>
      <c r="O15" s="23">
        <f t="shared" si="0"/>
        <v>117610</v>
      </c>
    </row>
    <row r="16" spans="2:15" ht="56.4" customHeight="1">
      <c r="B16" s="458"/>
      <c r="C16" s="456"/>
      <c r="D16" s="379" t="s">
        <v>749</v>
      </c>
      <c r="E16" s="37">
        <v>0.04</v>
      </c>
      <c r="F16" s="128">
        <v>28586</v>
      </c>
      <c r="G16" s="128">
        <v>6810</v>
      </c>
      <c r="H16" s="130" t="s">
        <v>167</v>
      </c>
      <c r="I16" s="131" t="s">
        <v>191</v>
      </c>
      <c r="J16" s="132" t="s">
        <v>597</v>
      </c>
      <c r="K16" s="133">
        <v>6810</v>
      </c>
      <c r="L16" s="133">
        <v>6900</v>
      </c>
      <c r="M16" s="133">
        <v>10500</v>
      </c>
      <c r="N16" s="133">
        <v>4376</v>
      </c>
      <c r="O16" s="23">
        <f t="shared" si="0"/>
        <v>28586</v>
      </c>
    </row>
    <row r="17" spans="2:15" ht="157.19999999999999" customHeight="1">
      <c r="B17" s="458"/>
      <c r="C17" s="456"/>
      <c r="D17" s="379" t="s">
        <v>750</v>
      </c>
      <c r="E17" s="37">
        <v>0.06</v>
      </c>
      <c r="F17" s="128">
        <v>55722</v>
      </c>
      <c r="G17" s="128">
        <v>14307</v>
      </c>
      <c r="H17" s="130" t="s">
        <v>168</v>
      </c>
      <c r="I17" s="131" t="s">
        <v>191</v>
      </c>
      <c r="J17" s="132" t="s">
        <v>716</v>
      </c>
      <c r="K17" s="337">
        <v>14307</v>
      </c>
      <c r="L17" s="133">
        <v>16115</v>
      </c>
      <c r="M17" s="133">
        <v>21200</v>
      </c>
      <c r="N17" s="133">
        <v>4100</v>
      </c>
      <c r="O17" s="23">
        <f t="shared" si="0"/>
        <v>55722</v>
      </c>
    </row>
    <row r="18" spans="2:15" ht="97.95" customHeight="1">
      <c r="B18" s="458"/>
      <c r="C18" s="456"/>
      <c r="D18" s="379" t="s">
        <v>166</v>
      </c>
      <c r="E18" s="37">
        <v>0.01</v>
      </c>
      <c r="F18" s="128">
        <v>80</v>
      </c>
      <c r="G18" s="128">
        <v>20</v>
      </c>
      <c r="H18" s="130" t="s">
        <v>169</v>
      </c>
      <c r="I18" s="131" t="s">
        <v>191</v>
      </c>
      <c r="J18" s="132" t="s">
        <v>624</v>
      </c>
      <c r="K18" s="133">
        <v>20</v>
      </c>
      <c r="L18" s="133">
        <v>20</v>
      </c>
      <c r="M18" s="133">
        <v>20</v>
      </c>
      <c r="N18" s="133">
        <v>20</v>
      </c>
      <c r="O18" s="23">
        <f t="shared" si="0"/>
        <v>80</v>
      </c>
    </row>
    <row r="19" spans="2:15" ht="88.5" customHeight="1">
      <c r="B19" s="458"/>
      <c r="C19" s="456"/>
      <c r="D19" s="379" t="s">
        <v>170</v>
      </c>
      <c r="E19" s="37">
        <v>0.01</v>
      </c>
      <c r="F19" s="128" t="s">
        <v>171</v>
      </c>
      <c r="G19" s="128" t="s">
        <v>150</v>
      </c>
      <c r="H19" s="130" t="s">
        <v>188</v>
      </c>
      <c r="I19" s="131" t="s">
        <v>191</v>
      </c>
      <c r="J19" s="132" t="s">
        <v>625</v>
      </c>
      <c r="K19" s="134" t="s">
        <v>171</v>
      </c>
      <c r="L19" s="134" t="s">
        <v>171</v>
      </c>
      <c r="M19" s="134" t="s">
        <v>171</v>
      </c>
      <c r="N19" s="134" t="s">
        <v>171</v>
      </c>
      <c r="O19" s="24" t="s">
        <v>171</v>
      </c>
    </row>
    <row r="20" spans="2:15" ht="121.5" customHeight="1">
      <c r="B20" s="458"/>
      <c r="C20" s="456"/>
      <c r="D20" s="379" t="s">
        <v>751</v>
      </c>
      <c r="E20" s="37">
        <v>0.02</v>
      </c>
      <c r="F20" s="128">
        <v>19500</v>
      </c>
      <c r="G20" s="128">
        <v>5000</v>
      </c>
      <c r="H20" s="130" t="s">
        <v>189</v>
      </c>
      <c r="I20" s="131" t="s">
        <v>191</v>
      </c>
      <c r="J20" s="132" t="s">
        <v>626</v>
      </c>
      <c r="K20" s="133">
        <v>5000</v>
      </c>
      <c r="L20" s="133">
        <v>6000</v>
      </c>
      <c r="M20" s="133">
        <v>6500</v>
      </c>
      <c r="N20" s="133">
        <v>2000</v>
      </c>
      <c r="O20" s="23">
        <f t="shared" si="0"/>
        <v>19500</v>
      </c>
    </row>
    <row r="21" spans="2:15" ht="84.75" customHeight="1">
      <c r="B21" s="458"/>
      <c r="C21" s="456"/>
      <c r="D21" s="379" t="s">
        <v>752</v>
      </c>
      <c r="E21" s="37">
        <v>0.01</v>
      </c>
      <c r="F21" s="128">
        <v>11000</v>
      </c>
      <c r="G21" s="128">
        <v>3000</v>
      </c>
      <c r="H21" s="130" t="s">
        <v>230</v>
      </c>
      <c r="I21" s="131" t="s">
        <v>191</v>
      </c>
      <c r="J21" s="132" t="s">
        <v>626</v>
      </c>
      <c r="K21" s="133">
        <v>3000</v>
      </c>
      <c r="L21" s="133">
        <v>3000</v>
      </c>
      <c r="M21" s="133">
        <v>4000</v>
      </c>
      <c r="N21" s="133">
        <v>1000</v>
      </c>
      <c r="O21" s="23">
        <f t="shared" si="0"/>
        <v>11000</v>
      </c>
    </row>
    <row r="22" spans="2:15" ht="83.25" customHeight="1">
      <c r="B22" s="458"/>
      <c r="C22" s="456"/>
      <c r="D22" s="379" t="s">
        <v>753</v>
      </c>
      <c r="E22" s="37">
        <v>0.01</v>
      </c>
      <c r="F22" s="128">
        <v>2300</v>
      </c>
      <c r="G22" s="128">
        <v>700</v>
      </c>
      <c r="H22" s="130" t="s">
        <v>190</v>
      </c>
      <c r="I22" s="131" t="s">
        <v>191</v>
      </c>
      <c r="J22" s="132" t="s">
        <v>626</v>
      </c>
      <c r="K22" s="133">
        <v>700</v>
      </c>
      <c r="L22" s="133">
        <v>500</v>
      </c>
      <c r="M22" s="133">
        <v>800</v>
      </c>
      <c r="N22" s="133">
        <v>300</v>
      </c>
      <c r="O22" s="23">
        <f t="shared" si="0"/>
        <v>2300</v>
      </c>
    </row>
    <row r="23" spans="2:15" ht="93.75" customHeight="1">
      <c r="B23" s="458"/>
      <c r="C23" s="455"/>
      <c r="D23" s="379" t="s">
        <v>754</v>
      </c>
      <c r="E23" s="37">
        <v>0.01</v>
      </c>
      <c r="F23" s="128">
        <v>40</v>
      </c>
      <c r="G23" s="128" t="s">
        <v>150</v>
      </c>
      <c r="H23" s="130" t="s">
        <v>172</v>
      </c>
      <c r="I23" s="131" t="s">
        <v>191</v>
      </c>
      <c r="J23" s="132" t="s">
        <v>626</v>
      </c>
      <c r="K23" s="133">
        <v>0</v>
      </c>
      <c r="L23" s="133">
        <v>0</v>
      </c>
      <c r="M23" s="133">
        <v>20</v>
      </c>
      <c r="N23" s="133">
        <v>20</v>
      </c>
      <c r="O23" s="23">
        <f t="shared" si="0"/>
        <v>40</v>
      </c>
    </row>
    <row r="24" spans="2:15" ht="135.75" customHeight="1">
      <c r="B24" s="458"/>
      <c r="C24" s="454" t="s">
        <v>775</v>
      </c>
      <c r="D24" s="379" t="s">
        <v>755</v>
      </c>
      <c r="E24" s="37">
        <v>0.75</v>
      </c>
      <c r="F24" s="128">
        <v>205930</v>
      </c>
      <c r="G24" s="128">
        <v>62360</v>
      </c>
      <c r="H24" s="130" t="s">
        <v>173</v>
      </c>
      <c r="I24" s="131" t="s">
        <v>191</v>
      </c>
      <c r="J24" s="132" t="s">
        <v>627</v>
      </c>
      <c r="K24" s="133">
        <v>62360</v>
      </c>
      <c r="L24" s="133">
        <v>71570</v>
      </c>
      <c r="M24" s="133">
        <v>53000</v>
      </c>
      <c r="N24" s="133">
        <v>19000</v>
      </c>
      <c r="O24" s="23">
        <f t="shared" si="0"/>
        <v>205930</v>
      </c>
    </row>
    <row r="25" spans="2:15" ht="99.6" customHeight="1">
      <c r="B25" s="458"/>
      <c r="C25" s="456"/>
      <c r="D25" s="379" t="s">
        <v>756</v>
      </c>
      <c r="E25" s="37">
        <v>0.12</v>
      </c>
      <c r="F25" s="128">
        <v>23910</v>
      </c>
      <c r="G25" s="128">
        <v>5480</v>
      </c>
      <c r="H25" s="130" t="s">
        <v>174</v>
      </c>
      <c r="I25" s="131" t="s">
        <v>191</v>
      </c>
      <c r="J25" s="132" t="s">
        <v>628</v>
      </c>
      <c r="K25" s="337">
        <v>5480</v>
      </c>
      <c r="L25" s="133">
        <v>5480</v>
      </c>
      <c r="M25" s="133">
        <v>8650</v>
      </c>
      <c r="N25" s="133">
        <v>4300</v>
      </c>
      <c r="O25" s="23">
        <f t="shared" si="0"/>
        <v>23910</v>
      </c>
    </row>
    <row r="26" spans="2:15" ht="89.4" customHeight="1">
      <c r="B26" s="458"/>
      <c r="C26" s="456"/>
      <c r="D26" s="379" t="s">
        <v>757</v>
      </c>
      <c r="E26" s="37">
        <v>0.09</v>
      </c>
      <c r="F26" s="128">
        <v>18880</v>
      </c>
      <c r="G26" s="128">
        <v>4790</v>
      </c>
      <c r="H26" s="130" t="s">
        <v>175</v>
      </c>
      <c r="I26" s="131" t="s">
        <v>191</v>
      </c>
      <c r="J26" s="366" t="s">
        <v>771</v>
      </c>
      <c r="K26" s="133">
        <v>4790</v>
      </c>
      <c r="L26" s="133">
        <v>4790</v>
      </c>
      <c r="M26" s="133">
        <v>6300</v>
      </c>
      <c r="N26" s="133">
        <v>3000</v>
      </c>
      <c r="O26" s="23">
        <f t="shared" si="0"/>
        <v>18880</v>
      </c>
    </row>
    <row r="27" spans="2:15" ht="76.95" customHeight="1">
      <c r="B27" s="458"/>
      <c r="C27" s="456"/>
      <c r="D27" s="379" t="s">
        <v>788</v>
      </c>
      <c r="E27" s="380">
        <v>0.02</v>
      </c>
      <c r="F27" s="128">
        <v>3540</v>
      </c>
      <c r="G27" s="128">
        <v>940</v>
      </c>
      <c r="H27" s="130" t="s">
        <v>789</v>
      </c>
      <c r="I27" s="131" t="s">
        <v>191</v>
      </c>
      <c r="J27" s="135" t="s">
        <v>629</v>
      </c>
      <c r="K27" s="133">
        <v>940</v>
      </c>
      <c r="L27" s="133">
        <v>800</v>
      </c>
      <c r="M27" s="133">
        <v>1200</v>
      </c>
      <c r="N27" s="133">
        <v>600</v>
      </c>
      <c r="O27" s="23">
        <f t="shared" si="0"/>
        <v>3540</v>
      </c>
    </row>
    <row r="28" spans="2:15" ht="120" customHeight="1">
      <c r="B28" s="458"/>
      <c r="C28" s="456"/>
      <c r="D28" s="379" t="s">
        <v>758</v>
      </c>
      <c r="E28" s="136">
        <v>0.01</v>
      </c>
      <c r="F28" s="128">
        <v>7711</v>
      </c>
      <c r="G28" s="128">
        <v>2802</v>
      </c>
      <c r="H28" s="130" t="s">
        <v>176</v>
      </c>
      <c r="I28" s="379" t="s">
        <v>191</v>
      </c>
      <c r="J28" s="137" t="s">
        <v>630</v>
      </c>
      <c r="K28" s="337">
        <v>2802</v>
      </c>
      <c r="L28" s="133">
        <v>2771</v>
      </c>
      <c r="M28" s="133">
        <v>1092</v>
      </c>
      <c r="N28" s="133">
        <v>1046</v>
      </c>
      <c r="O28" s="23">
        <f t="shared" si="0"/>
        <v>7711</v>
      </c>
    </row>
    <row r="29" spans="2:15" ht="127.95" customHeight="1">
      <c r="B29" s="458"/>
      <c r="C29" s="455"/>
      <c r="D29" s="379" t="s">
        <v>759</v>
      </c>
      <c r="E29" s="136">
        <v>0.01</v>
      </c>
      <c r="F29" s="128">
        <v>738</v>
      </c>
      <c r="G29" s="128">
        <v>228</v>
      </c>
      <c r="H29" s="130" t="s">
        <v>177</v>
      </c>
      <c r="I29" s="379" t="s">
        <v>191</v>
      </c>
      <c r="J29" s="137" t="s">
        <v>631</v>
      </c>
      <c r="K29" s="133">
        <v>228</v>
      </c>
      <c r="L29" s="133">
        <v>208</v>
      </c>
      <c r="M29" s="133">
        <v>182</v>
      </c>
      <c r="N29" s="133">
        <v>120</v>
      </c>
      <c r="O29" s="23">
        <f t="shared" si="0"/>
        <v>738</v>
      </c>
    </row>
    <row r="30" spans="2:15" ht="90" customHeight="1">
      <c r="B30" s="458"/>
      <c r="C30" s="454" t="s">
        <v>786</v>
      </c>
      <c r="D30" s="379" t="s">
        <v>787</v>
      </c>
      <c r="E30" s="381">
        <v>0.56000000000000005</v>
      </c>
      <c r="F30" s="128">
        <v>20</v>
      </c>
      <c r="G30" s="128">
        <v>2</v>
      </c>
      <c r="H30" s="130" t="s">
        <v>178</v>
      </c>
      <c r="I30" s="138" t="s">
        <v>191</v>
      </c>
      <c r="J30" s="139" t="s">
        <v>632</v>
      </c>
      <c r="K30" s="133">
        <v>2</v>
      </c>
      <c r="L30" s="133">
        <v>8</v>
      </c>
      <c r="M30" s="133">
        <v>8</v>
      </c>
      <c r="N30" s="133">
        <v>2</v>
      </c>
      <c r="O30" s="23">
        <f t="shared" si="0"/>
        <v>20</v>
      </c>
    </row>
    <row r="31" spans="2:15" ht="92.25" customHeight="1">
      <c r="B31" s="458"/>
      <c r="C31" s="456"/>
      <c r="D31" s="379" t="s">
        <v>179</v>
      </c>
      <c r="E31" s="37">
        <v>0.31</v>
      </c>
      <c r="F31" s="128">
        <v>11</v>
      </c>
      <c r="G31" s="128">
        <v>3</v>
      </c>
      <c r="H31" s="130" t="s">
        <v>180</v>
      </c>
      <c r="I31" s="131" t="s">
        <v>191</v>
      </c>
      <c r="J31" s="132" t="s">
        <v>632</v>
      </c>
      <c r="K31" s="133">
        <v>3</v>
      </c>
      <c r="L31" s="133">
        <v>3</v>
      </c>
      <c r="M31" s="133">
        <v>3</v>
      </c>
      <c r="N31" s="133">
        <v>2</v>
      </c>
      <c r="O31" s="23">
        <f t="shared" si="0"/>
        <v>11</v>
      </c>
    </row>
    <row r="32" spans="2:15" ht="83.25" customHeight="1">
      <c r="B32" s="458"/>
      <c r="C32" s="456"/>
      <c r="D32" s="379" t="s">
        <v>181</v>
      </c>
      <c r="E32" s="37">
        <v>0.13</v>
      </c>
      <c r="F32" s="128">
        <v>4</v>
      </c>
      <c r="G32" s="128">
        <v>1</v>
      </c>
      <c r="H32" s="130" t="s">
        <v>182</v>
      </c>
      <c r="I32" s="131" t="s">
        <v>191</v>
      </c>
      <c r="J32" s="132" t="s">
        <v>632</v>
      </c>
      <c r="K32" s="133">
        <v>1</v>
      </c>
      <c r="L32" s="133">
        <v>1</v>
      </c>
      <c r="M32" s="133">
        <v>1</v>
      </c>
      <c r="N32" s="133">
        <v>1</v>
      </c>
      <c r="O32" s="23">
        <f t="shared" si="0"/>
        <v>4</v>
      </c>
    </row>
    <row r="33" spans="2:15" ht="102" customHeight="1">
      <c r="B33" s="450" t="s">
        <v>130</v>
      </c>
      <c r="C33" s="447" t="s">
        <v>131</v>
      </c>
      <c r="D33" s="140" t="s">
        <v>183</v>
      </c>
      <c r="E33" s="141">
        <f>0.727272727272727*100%</f>
        <v>0.72727272727272696</v>
      </c>
      <c r="F33" s="142">
        <v>16</v>
      </c>
      <c r="G33" s="143" t="s">
        <v>150</v>
      </c>
      <c r="H33" s="144" t="s">
        <v>185</v>
      </c>
      <c r="I33" s="145" t="s">
        <v>241</v>
      </c>
      <c r="J33" s="146" t="s">
        <v>242</v>
      </c>
      <c r="K33" s="147">
        <v>2</v>
      </c>
      <c r="L33" s="147">
        <v>7</v>
      </c>
      <c r="M33" s="147">
        <v>6</v>
      </c>
      <c r="N33" s="147">
        <v>1</v>
      </c>
      <c r="O33" s="23">
        <f t="shared" si="0"/>
        <v>16</v>
      </c>
    </row>
    <row r="34" spans="2:15" ht="120" customHeight="1">
      <c r="B34" s="451"/>
      <c r="C34" s="448"/>
      <c r="D34" s="140" t="s">
        <v>184</v>
      </c>
      <c r="E34" s="141">
        <f>0.272727272727273*100%</f>
        <v>0.27272727272727298</v>
      </c>
      <c r="F34" s="142">
        <v>6</v>
      </c>
      <c r="G34" s="143" t="s">
        <v>150</v>
      </c>
      <c r="H34" s="144" t="s">
        <v>238</v>
      </c>
      <c r="I34" s="145" t="s">
        <v>241</v>
      </c>
      <c r="J34" s="146" t="s">
        <v>242</v>
      </c>
      <c r="K34" s="147">
        <v>1</v>
      </c>
      <c r="L34" s="147">
        <v>1</v>
      </c>
      <c r="M34" s="147">
        <v>3</v>
      </c>
      <c r="N34" s="147">
        <v>1</v>
      </c>
      <c r="O34" s="23">
        <f t="shared" si="0"/>
        <v>6</v>
      </c>
    </row>
    <row r="35" spans="2:15" ht="100.5" customHeight="1">
      <c r="B35" s="451"/>
      <c r="C35" s="447" t="s">
        <v>725</v>
      </c>
      <c r="D35" s="140" t="s">
        <v>723</v>
      </c>
      <c r="E35" s="141">
        <v>0.89</v>
      </c>
      <c r="F35" s="142">
        <v>817</v>
      </c>
      <c r="G35" s="143" t="s">
        <v>150</v>
      </c>
      <c r="H35" s="144" t="s">
        <v>267</v>
      </c>
      <c r="I35" s="145" t="s">
        <v>241</v>
      </c>
      <c r="J35" s="146" t="s">
        <v>242</v>
      </c>
      <c r="K35" s="147">
        <v>200</v>
      </c>
      <c r="L35" s="147">
        <v>286</v>
      </c>
      <c r="M35" s="147">
        <v>259</v>
      </c>
      <c r="N35" s="147">
        <v>72</v>
      </c>
      <c r="O35" s="23">
        <f t="shared" si="0"/>
        <v>817</v>
      </c>
    </row>
    <row r="36" spans="2:15" ht="100.5" customHeight="1">
      <c r="B36" s="451"/>
      <c r="C36" s="448"/>
      <c r="D36" s="140" t="s">
        <v>724</v>
      </c>
      <c r="E36" s="141">
        <v>0.11</v>
      </c>
      <c r="F36" s="142">
        <v>135</v>
      </c>
      <c r="G36" s="143" t="s">
        <v>150</v>
      </c>
      <c r="H36" s="144" t="s">
        <v>268</v>
      </c>
      <c r="I36" s="145" t="s">
        <v>241</v>
      </c>
      <c r="J36" s="146" t="s">
        <v>242</v>
      </c>
      <c r="K36" s="147">
        <v>28</v>
      </c>
      <c r="L36" s="147">
        <v>67</v>
      </c>
      <c r="M36" s="147">
        <v>30</v>
      </c>
      <c r="N36" s="147">
        <v>10</v>
      </c>
      <c r="O36" s="23">
        <f t="shared" si="0"/>
        <v>135</v>
      </c>
    </row>
    <row r="37" spans="2:15" ht="65.25" customHeight="1">
      <c r="B37" s="451"/>
      <c r="C37" s="447" t="s">
        <v>727</v>
      </c>
      <c r="D37" s="140" t="s">
        <v>712</v>
      </c>
      <c r="E37" s="343">
        <v>0.2</v>
      </c>
      <c r="F37" s="142">
        <v>60</v>
      </c>
      <c r="G37" s="143">
        <v>75</v>
      </c>
      <c r="H37" s="144" t="s">
        <v>239</v>
      </c>
      <c r="I37" s="145" t="s">
        <v>241</v>
      </c>
      <c r="J37" s="146" t="s">
        <v>243</v>
      </c>
      <c r="K37" s="147">
        <v>12</v>
      </c>
      <c r="L37" s="147">
        <v>21</v>
      </c>
      <c r="M37" s="147">
        <v>23</v>
      </c>
      <c r="N37" s="147">
        <v>4</v>
      </c>
      <c r="O37" s="23">
        <f t="shared" si="0"/>
        <v>60</v>
      </c>
    </row>
    <row r="38" spans="2:15" ht="63.75" customHeight="1">
      <c r="B38" s="451"/>
      <c r="C38" s="449"/>
      <c r="D38" s="140" t="s">
        <v>726</v>
      </c>
      <c r="E38" s="343">
        <v>0.46700000000000003</v>
      </c>
      <c r="F38" s="142">
        <v>160</v>
      </c>
      <c r="G38" s="143" t="s">
        <v>150</v>
      </c>
      <c r="H38" s="144" t="s">
        <v>240</v>
      </c>
      <c r="I38" s="145" t="s">
        <v>241</v>
      </c>
      <c r="J38" s="146" t="s">
        <v>244</v>
      </c>
      <c r="K38" s="147">
        <v>40</v>
      </c>
      <c r="L38" s="147">
        <v>60</v>
      </c>
      <c r="M38" s="147">
        <v>40</v>
      </c>
      <c r="N38" s="147">
        <v>20</v>
      </c>
      <c r="O38" s="23">
        <f t="shared" si="0"/>
        <v>160</v>
      </c>
    </row>
    <row r="39" spans="2:15" ht="102" customHeight="1">
      <c r="B39" s="452"/>
      <c r="C39" s="448"/>
      <c r="D39" s="140" t="s">
        <v>186</v>
      </c>
      <c r="E39" s="343">
        <v>0.33300000000000002</v>
      </c>
      <c r="F39" s="142">
        <v>100</v>
      </c>
      <c r="G39" s="143" t="s">
        <v>150</v>
      </c>
      <c r="H39" s="144" t="s">
        <v>187</v>
      </c>
      <c r="I39" s="145" t="s">
        <v>241</v>
      </c>
      <c r="J39" s="146" t="s">
        <v>245</v>
      </c>
      <c r="K39" s="147">
        <v>20</v>
      </c>
      <c r="L39" s="147">
        <v>30</v>
      </c>
      <c r="M39" s="147">
        <v>30</v>
      </c>
      <c r="N39" s="147">
        <v>20</v>
      </c>
      <c r="O39" s="23">
        <f t="shared" si="0"/>
        <v>100</v>
      </c>
    </row>
    <row r="40" spans="2:15" ht="93.75" customHeight="1">
      <c r="B40" s="457" t="s">
        <v>132</v>
      </c>
      <c r="C40" s="454" t="s">
        <v>711</v>
      </c>
      <c r="D40" s="379" t="s">
        <v>710</v>
      </c>
      <c r="E40" s="37">
        <v>0.8</v>
      </c>
      <c r="F40" s="128">
        <v>6700</v>
      </c>
      <c r="G40" s="128">
        <v>6287</v>
      </c>
      <c r="H40" s="379" t="s">
        <v>276</v>
      </c>
      <c r="I40" s="131" t="s">
        <v>282</v>
      </c>
      <c r="J40" s="148" t="s">
        <v>283</v>
      </c>
      <c r="K40" s="338">
        <v>1600</v>
      </c>
      <c r="L40" s="338">
        <v>1800</v>
      </c>
      <c r="M40" s="338">
        <v>1800</v>
      </c>
      <c r="N40" s="338">
        <v>1500</v>
      </c>
      <c r="O40" s="44">
        <f t="shared" si="0"/>
        <v>6700</v>
      </c>
    </row>
    <row r="41" spans="2:15" ht="67.5" customHeight="1">
      <c r="B41" s="458"/>
      <c r="C41" s="455"/>
      <c r="D41" s="379" t="s">
        <v>271</v>
      </c>
      <c r="E41" s="37">
        <v>0.2</v>
      </c>
      <c r="F41" s="149">
        <v>1</v>
      </c>
      <c r="G41" s="149">
        <v>0.98</v>
      </c>
      <c r="H41" s="379" t="s">
        <v>277</v>
      </c>
      <c r="I41" s="131" t="s">
        <v>282</v>
      </c>
      <c r="J41" s="148" t="s">
        <v>283</v>
      </c>
      <c r="K41" s="391">
        <v>1</v>
      </c>
      <c r="L41" s="391">
        <v>1</v>
      </c>
      <c r="M41" s="391">
        <v>1</v>
      </c>
      <c r="N41" s="391">
        <v>1</v>
      </c>
      <c r="O41" s="46">
        <f>AVERAGE(K41:N41)</f>
        <v>1</v>
      </c>
    </row>
    <row r="42" spans="2:15" ht="95.25" customHeight="1">
      <c r="B42" s="458"/>
      <c r="C42" s="454" t="s">
        <v>133</v>
      </c>
      <c r="D42" s="379" t="s">
        <v>284</v>
      </c>
      <c r="E42" s="37">
        <v>0.5</v>
      </c>
      <c r="F42" s="54">
        <v>204</v>
      </c>
      <c r="G42" s="54">
        <v>204</v>
      </c>
      <c r="H42" s="379" t="s">
        <v>294</v>
      </c>
      <c r="I42" s="131" t="s">
        <v>282</v>
      </c>
      <c r="J42" s="148" t="s">
        <v>283</v>
      </c>
      <c r="K42" s="392">
        <v>51</v>
      </c>
      <c r="L42" s="392">
        <v>51</v>
      </c>
      <c r="M42" s="392">
        <v>51</v>
      </c>
      <c r="N42" s="392">
        <v>51</v>
      </c>
      <c r="O42" s="44">
        <f t="shared" si="0"/>
        <v>204</v>
      </c>
    </row>
    <row r="43" spans="2:15" ht="95.25" customHeight="1">
      <c r="B43" s="458"/>
      <c r="C43" s="455"/>
      <c r="D43" s="379" t="s">
        <v>272</v>
      </c>
      <c r="E43" s="37">
        <v>0.5</v>
      </c>
      <c r="F43" s="149">
        <v>1</v>
      </c>
      <c r="G43" s="149">
        <v>1</v>
      </c>
      <c r="H43" s="379" t="s">
        <v>278</v>
      </c>
      <c r="I43" s="131" t="s">
        <v>282</v>
      </c>
      <c r="J43" s="148" t="s">
        <v>283</v>
      </c>
      <c r="K43" s="391">
        <v>1</v>
      </c>
      <c r="L43" s="391">
        <v>1</v>
      </c>
      <c r="M43" s="391">
        <v>1</v>
      </c>
      <c r="N43" s="391">
        <v>1</v>
      </c>
      <c r="O43" s="46">
        <f>AVERAGE(K43:N43)</f>
        <v>1</v>
      </c>
    </row>
    <row r="44" spans="2:15" ht="126.75" customHeight="1">
      <c r="B44" s="458"/>
      <c r="C44" s="150" t="s">
        <v>134</v>
      </c>
      <c r="D44" s="379" t="s">
        <v>273</v>
      </c>
      <c r="E44" s="37">
        <v>1</v>
      </c>
      <c r="F44" s="54">
        <v>8</v>
      </c>
      <c r="G44" s="54">
        <v>8</v>
      </c>
      <c r="H44" s="379" t="s">
        <v>279</v>
      </c>
      <c r="I44" s="131" t="s">
        <v>282</v>
      </c>
      <c r="J44" s="148" t="s">
        <v>283</v>
      </c>
      <c r="K44" s="392">
        <v>2</v>
      </c>
      <c r="L44" s="392">
        <v>2</v>
      </c>
      <c r="M44" s="392">
        <v>2</v>
      </c>
      <c r="N44" s="392">
        <v>2</v>
      </c>
      <c r="O44" s="44">
        <f t="shared" si="0"/>
        <v>8</v>
      </c>
    </row>
    <row r="45" spans="2:15" ht="61.5" customHeight="1">
      <c r="B45" s="458"/>
      <c r="C45" s="454" t="s">
        <v>270</v>
      </c>
      <c r="D45" s="379" t="s">
        <v>274</v>
      </c>
      <c r="E45" s="37">
        <v>0.2</v>
      </c>
      <c r="F45" s="54">
        <v>1</v>
      </c>
      <c r="G45" s="384" t="s">
        <v>150</v>
      </c>
      <c r="H45" s="379" t="s">
        <v>295</v>
      </c>
      <c r="I45" s="131" t="s">
        <v>282</v>
      </c>
      <c r="J45" s="148" t="s">
        <v>283</v>
      </c>
      <c r="K45" s="392">
        <v>0.5</v>
      </c>
      <c r="L45" s="392">
        <v>0.5</v>
      </c>
      <c r="M45" s="392">
        <v>0</v>
      </c>
      <c r="N45" s="392">
        <v>0</v>
      </c>
      <c r="O45" s="44">
        <f t="shared" si="0"/>
        <v>1</v>
      </c>
    </row>
    <row r="46" spans="2:15" ht="61.5" customHeight="1">
      <c r="B46" s="458"/>
      <c r="C46" s="456"/>
      <c r="D46" s="379" t="s">
        <v>655</v>
      </c>
      <c r="E46" s="37">
        <v>0.7</v>
      </c>
      <c r="F46" s="54">
        <v>1</v>
      </c>
      <c r="G46" s="384" t="s">
        <v>150</v>
      </c>
      <c r="H46" s="379" t="s">
        <v>280</v>
      </c>
      <c r="I46" s="131" t="s">
        <v>282</v>
      </c>
      <c r="J46" s="148" t="s">
        <v>283</v>
      </c>
      <c r="K46" s="392">
        <v>0.2</v>
      </c>
      <c r="L46" s="392">
        <v>0.4</v>
      </c>
      <c r="M46" s="392">
        <v>0.3</v>
      </c>
      <c r="N46" s="392">
        <v>0.1</v>
      </c>
      <c r="O46" s="44">
        <f t="shared" si="0"/>
        <v>1.0000000000000002</v>
      </c>
    </row>
    <row r="47" spans="2:15" ht="61.5" customHeight="1">
      <c r="B47" s="459"/>
      <c r="C47" s="455"/>
      <c r="D47" s="379" t="s">
        <v>275</v>
      </c>
      <c r="E47" s="37">
        <v>0.1</v>
      </c>
      <c r="F47" s="54">
        <v>1</v>
      </c>
      <c r="G47" s="384" t="s">
        <v>150</v>
      </c>
      <c r="H47" s="379" t="s">
        <v>281</v>
      </c>
      <c r="I47" s="131" t="s">
        <v>282</v>
      </c>
      <c r="J47" s="148" t="s">
        <v>283</v>
      </c>
      <c r="K47" s="392">
        <v>0.1</v>
      </c>
      <c r="L47" s="392">
        <v>0.3</v>
      </c>
      <c r="M47" s="392">
        <v>0.4</v>
      </c>
      <c r="N47" s="392">
        <v>0.2</v>
      </c>
      <c r="O47" s="44">
        <f t="shared" si="0"/>
        <v>1</v>
      </c>
    </row>
    <row r="48" spans="2:15" ht="75" customHeight="1">
      <c r="B48" s="451" t="s">
        <v>135</v>
      </c>
      <c r="C48" s="447" t="s">
        <v>136</v>
      </c>
      <c r="D48" s="140" t="s">
        <v>638</v>
      </c>
      <c r="E48" s="151">
        <v>0.14000000000000001</v>
      </c>
      <c r="F48" s="152">
        <v>1</v>
      </c>
      <c r="G48" s="143" t="s">
        <v>150</v>
      </c>
      <c r="H48" s="153" t="s">
        <v>612</v>
      </c>
      <c r="I48" s="140" t="s">
        <v>317</v>
      </c>
      <c r="J48" s="154" t="s">
        <v>318</v>
      </c>
      <c r="K48" s="155">
        <v>0.3</v>
      </c>
      <c r="L48" s="155">
        <v>0.4</v>
      </c>
      <c r="M48" s="155">
        <v>0.25</v>
      </c>
      <c r="N48" s="155">
        <v>0.05</v>
      </c>
      <c r="O48" s="49">
        <v>1</v>
      </c>
    </row>
    <row r="49" spans="2:15" ht="80.25" customHeight="1">
      <c r="B49" s="451"/>
      <c r="C49" s="449"/>
      <c r="D49" s="140" t="s">
        <v>323</v>
      </c>
      <c r="E49" s="151">
        <v>0.14000000000000001</v>
      </c>
      <c r="F49" s="152">
        <v>1</v>
      </c>
      <c r="G49" s="143" t="s">
        <v>150</v>
      </c>
      <c r="H49" s="153" t="s">
        <v>322</v>
      </c>
      <c r="I49" s="140" t="s">
        <v>317</v>
      </c>
      <c r="J49" s="154" t="s">
        <v>318</v>
      </c>
      <c r="K49" s="155">
        <v>0.3</v>
      </c>
      <c r="L49" s="155">
        <v>0.4</v>
      </c>
      <c r="M49" s="155">
        <v>0.25</v>
      </c>
      <c r="N49" s="155">
        <v>0.05</v>
      </c>
      <c r="O49" s="49">
        <v>1</v>
      </c>
    </row>
    <row r="50" spans="2:15" ht="111" customHeight="1">
      <c r="B50" s="451"/>
      <c r="C50" s="449"/>
      <c r="D50" s="140" t="s">
        <v>640</v>
      </c>
      <c r="E50" s="151">
        <v>0.14000000000000001</v>
      </c>
      <c r="F50" s="152">
        <v>1</v>
      </c>
      <c r="G50" s="143" t="s">
        <v>150</v>
      </c>
      <c r="H50" s="153" t="s">
        <v>319</v>
      </c>
      <c r="I50" s="140" t="s">
        <v>317</v>
      </c>
      <c r="J50" s="154" t="s">
        <v>318</v>
      </c>
      <c r="K50" s="155">
        <v>0.3</v>
      </c>
      <c r="L50" s="155">
        <v>0.4</v>
      </c>
      <c r="M50" s="155">
        <v>0.25</v>
      </c>
      <c r="N50" s="155">
        <v>0.05</v>
      </c>
      <c r="O50" s="49">
        <v>1</v>
      </c>
    </row>
    <row r="51" spans="2:15" ht="82.5" customHeight="1">
      <c r="B51" s="451"/>
      <c r="C51" s="449"/>
      <c r="D51" s="140" t="s">
        <v>639</v>
      </c>
      <c r="E51" s="151">
        <v>0.14000000000000001</v>
      </c>
      <c r="F51" s="152">
        <v>1</v>
      </c>
      <c r="G51" s="143" t="s">
        <v>150</v>
      </c>
      <c r="H51" s="153" t="s">
        <v>613</v>
      </c>
      <c r="I51" s="140" t="s">
        <v>317</v>
      </c>
      <c r="J51" s="154" t="s">
        <v>318</v>
      </c>
      <c r="K51" s="155">
        <v>0.3</v>
      </c>
      <c r="L51" s="155">
        <v>0.4</v>
      </c>
      <c r="M51" s="155">
        <v>0.25</v>
      </c>
      <c r="N51" s="155">
        <v>0.05</v>
      </c>
      <c r="O51" s="49">
        <v>1</v>
      </c>
    </row>
    <row r="52" spans="2:15" ht="94.5" customHeight="1">
      <c r="B52" s="451"/>
      <c r="C52" s="449"/>
      <c r="D52" s="140" t="s">
        <v>341</v>
      </c>
      <c r="E52" s="151">
        <v>0.14000000000000001</v>
      </c>
      <c r="F52" s="152">
        <v>1</v>
      </c>
      <c r="G52" s="143" t="s">
        <v>150</v>
      </c>
      <c r="H52" s="153" t="s">
        <v>320</v>
      </c>
      <c r="I52" s="140" t="s">
        <v>317</v>
      </c>
      <c r="J52" s="154" t="s">
        <v>318</v>
      </c>
      <c r="K52" s="155">
        <v>0.3</v>
      </c>
      <c r="L52" s="155">
        <v>0.4</v>
      </c>
      <c r="M52" s="155">
        <v>0.25</v>
      </c>
      <c r="N52" s="155">
        <v>0.05</v>
      </c>
      <c r="O52" s="49">
        <v>1</v>
      </c>
    </row>
    <row r="53" spans="2:15" ht="71.25" customHeight="1">
      <c r="B53" s="451"/>
      <c r="C53" s="449"/>
      <c r="D53" s="140" t="s">
        <v>314</v>
      </c>
      <c r="E53" s="151">
        <v>0.15</v>
      </c>
      <c r="F53" s="152">
        <v>1</v>
      </c>
      <c r="G53" s="143" t="s">
        <v>150</v>
      </c>
      <c r="H53" s="153" t="s">
        <v>321</v>
      </c>
      <c r="I53" s="140" t="s">
        <v>317</v>
      </c>
      <c r="J53" s="154" t="s">
        <v>318</v>
      </c>
      <c r="K53" s="155">
        <v>0.3</v>
      </c>
      <c r="L53" s="155">
        <v>0.4</v>
      </c>
      <c r="M53" s="155">
        <v>0.25</v>
      </c>
      <c r="N53" s="155">
        <v>0.05</v>
      </c>
      <c r="O53" s="49">
        <v>1</v>
      </c>
    </row>
    <row r="54" spans="2:15" ht="87.75" customHeight="1">
      <c r="B54" s="451"/>
      <c r="C54" s="448"/>
      <c r="D54" s="140" t="s">
        <v>315</v>
      </c>
      <c r="E54" s="151">
        <v>0.15</v>
      </c>
      <c r="F54" s="152">
        <v>1</v>
      </c>
      <c r="G54" s="156" t="s">
        <v>316</v>
      </c>
      <c r="H54" s="153" t="s">
        <v>338</v>
      </c>
      <c r="I54" s="140" t="s">
        <v>317</v>
      </c>
      <c r="J54" s="154" t="s">
        <v>318</v>
      </c>
      <c r="K54" s="155">
        <v>0.3</v>
      </c>
      <c r="L54" s="155">
        <v>0.4</v>
      </c>
      <c r="M54" s="155">
        <v>0.25</v>
      </c>
      <c r="N54" s="155">
        <v>0.05</v>
      </c>
      <c r="O54" s="49">
        <v>1</v>
      </c>
    </row>
    <row r="55" spans="2:15" ht="105" customHeight="1">
      <c r="B55" s="451"/>
      <c r="C55" s="464" t="s">
        <v>137</v>
      </c>
      <c r="D55" s="379" t="s">
        <v>153</v>
      </c>
      <c r="E55" s="20">
        <v>0.2</v>
      </c>
      <c r="F55" s="149">
        <v>1</v>
      </c>
      <c r="G55" s="21">
        <v>1</v>
      </c>
      <c r="H55" s="157" t="s">
        <v>147</v>
      </c>
      <c r="I55" s="131" t="s">
        <v>345</v>
      </c>
      <c r="J55" s="132" t="s">
        <v>633</v>
      </c>
      <c r="K55" s="158">
        <v>1</v>
      </c>
      <c r="L55" s="158">
        <v>1</v>
      </c>
      <c r="M55" s="158">
        <v>1</v>
      </c>
      <c r="N55" s="158">
        <v>1</v>
      </c>
      <c r="O55" s="24">
        <f>AVERAGE(K55:N55)</f>
        <v>1</v>
      </c>
    </row>
    <row r="56" spans="2:15" ht="96" customHeight="1">
      <c r="B56" s="451"/>
      <c r="C56" s="495"/>
      <c r="D56" s="379" t="s">
        <v>154</v>
      </c>
      <c r="E56" s="20">
        <v>0.2</v>
      </c>
      <c r="F56" s="149">
        <v>0.4</v>
      </c>
      <c r="G56" s="21">
        <v>0.6</v>
      </c>
      <c r="H56" s="157" t="s">
        <v>148</v>
      </c>
      <c r="I56" s="131" t="s">
        <v>345</v>
      </c>
      <c r="J56" s="132" t="s">
        <v>633</v>
      </c>
      <c r="K56" s="158">
        <v>0.22</v>
      </c>
      <c r="L56" s="158">
        <v>0.14000000000000001</v>
      </c>
      <c r="M56" s="158">
        <v>0.02</v>
      </c>
      <c r="N56" s="158">
        <v>0.02</v>
      </c>
      <c r="O56" s="24">
        <f>K56+L56+M56+N56</f>
        <v>0.4</v>
      </c>
    </row>
    <row r="57" spans="2:15" ht="74.25" customHeight="1">
      <c r="B57" s="451"/>
      <c r="C57" s="495"/>
      <c r="D57" s="379" t="s">
        <v>155</v>
      </c>
      <c r="E57" s="20">
        <v>0.15</v>
      </c>
      <c r="F57" s="149">
        <v>1</v>
      </c>
      <c r="G57" s="159" t="s">
        <v>150</v>
      </c>
      <c r="H57" s="157" t="s">
        <v>149</v>
      </c>
      <c r="I57" s="131" t="s">
        <v>345</v>
      </c>
      <c r="J57" s="132" t="s">
        <v>152</v>
      </c>
      <c r="K57" s="158">
        <v>0.38</v>
      </c>
      <c r="L57" s="158">
        <v>0.33</v>
      </c>
      <c r="M57" s="158">
        <v>0.28999999999999998</v>
      </c>
      <c r="N57" s="158">
        <v>0</v>
      </c>
      <c r="O57" s="24">
        <f>K57+L57+M57+N57</f>
        <v>1</v>
      </c>
    </row>
    <row r="58" spans="2:15" ht="63" customHeight="1">
      <c r="B58" s="451"/>
      <c r="C58" s="495"/>
      <c r="D58" s="379" t="s">
        <v>156</v>
      </c>
      <c r="E58" s="20">
        <v>0.1</v>
      </c>
      <c r="F58" s="160">
        <v>12</v>
      </c>
      <c r="G58" s="159" t="s">
        <v>151</v>
      </c>
      <c r="H58" s="157" t="s">
        <v>160</v>
      </c>
      <c r="I58" s="131" t="s">
        <v>345</v>
      </c>
      <c r="J58" s="132" t="s">
        <v>152</v>
      </c>
      <c r="K58" s="161">
        <v>3</v>
      </c>
      <c r="L58" s="161">
        <v>3</v>
      </c>
      <c r="M58" s="161">
        <v>3</v>
      </c>
      <c r="N58" s="161">
        <v>3</v>
      </c>
      <c r="O58" s="50">
        <f>K58+L58+M58+N58</f>
        <v>12</v>
      </c>
    </row>
    <row r="59" spans="2:15" ht="63" customHeight="1">
      <c r="B59" s="451"/>
      <c r="C59" s="495"/>
      <c r="D59" s="379" t="s">
        <v>157</v>
      </c>
      <c r="E59" s="20">
        <v>0.2</v>
      </c>
      <c r="F59" s="20">
        <v>0.9</v>
      </c>
      <c r="G59" s="162">
        <v>0.86</v>
      </c>
      <c r="H59" s="163" t="s">
        <v>356</v>
      </c>
      <c r="I59" s="131" t="s">
        <v>346</v>
      </c>
      <c r="J59" s="132" t="s">
        <v>1</v>
      </c>
      <c r="K59" s="158">
        <v>0.9</v>
      </c>
      <c r="L59" s="158">
        <v>0.9</v>
      </c>
      <c r="M59" s="158">
        <v>0.9</v>
      </c>
      <c r="N59" s="158">
        <v>0.9</v>
      </c>
      <c r="O59" s="24">
        <f>AVERAGE(K59:N59)</f>
        <v>0.9</v>
      </c>
    </row>
    <row r="60" spans="2:15" ht="70.5" customHeight="1">
      <c r="B60" s="451"/>
      <c r="C60" s="465"/>
      <c r="D60" s="379" t="s">
        <v>158</v>
      </c>
      <c r="E60" s="20">
        <v>0.15</v>
      </c>
      <c r="F60" s="160">
        <v>7</v>
      </c>
      <c r="G60" s="159">
        <v>3</v>
      </c>
      <c r="H60" s="130" t="s">
        <v>357</v>
      </c>
      <c r="I60" s="131" t="s">
        <v>346</v>
      </c>
      <c r="J60" s="132" t="s">
        <v>1</v>
      </c>
      <c r="K60" s="161">
        <v>2</v>
      </c>
      <c r="L60" s="161">
        <v>3</v>
      </c>
      <c r="M60" s="161">
        <v>1</v>
      </c>
      <c r="N60" s="161">
        <v>1</v>
      </c>
      <c r="O60" s="50">
        <v>7</v>
      </c>
    </row>
    <row r="61" spans="2:15" ht="60" customHeight="1">
      <c r="B61" s="451"/>
      <c r="C61" s="447" t="s">
        <v>138</v>
      </c>
      <c r="D61" s="140" t="s">
        <v>386</v>
      </c>
      <c r="E61" s="141">
        <v>0.1</v>
      </c>
      <c r="F61" s="152">
        <v>1</v>
      </c>
      <c r="G61" s="164">
        <v>1</v>
      </c>
      <c r="H61" s="165" t="s">
        <v>374</v>
      </c>
      <c r="I61" s="166" t="s">
        <v>375</v>
      </c>
      <c r="J61" s="167" t="s">
        <v>376</v>
      </c>
      <c r="K61" s="168">
        <v>1</v>
      </c>
      <c r="L61" s="168">
        <v>1</v>
      </c>
      <c r="M61" s="168">
        <v>1</v>
      </c>
      <c r="N61" s="168">
        <v>1</v>
      </c>
      <c r="O61" s="70">
        <f>AVERAGE(K61:N61)</f>
        <v>1</v>
      </c>
    </row>
    <row r="62" spans="2:15" ht="88.5" customHeight="1">
      <c r="B62" s="451"/>
      <c r="C62" s="449"/>
      <c r="D62" s="140" t="s">
        <v>780</v>
      </c>
      <c r="E62" s="141">
        <v>0.1</v>
      </c>
      <c r="F62" s="393">
        <v>0.97799999999999998</v>
      </c>
      <c r="G62" s="164">
        <v>0.97</v>
      </c>
      <c r="H62" s="140" t="s">
        <v>377</v>
      </c>
      <c r="I62" s="166" t="s">
        <v>375</v>
      </c>
      <c r="J62" s="167" t="s">
        <v>378</v>
      </c>
      <c r="K62" s="168">
        <v>0.97</v>
      </c>
      <c r="L62" s="168">
        <v>0.98</v>
      </c>
      <c r="M62" s="168">
        <v>0.98</v>
      </c>
      <c r="N62" s="168">
        <v>0.98</v>
      </c>
      <c r="O62" s="394">
        <f t="shared" ref="O62:O67" si="1">AVERAGE(K62:N62)</f>
        <v>0.97749999999999992</v>
      </c>
    </row>
    <row r="63" spans="2:15" ht="99.75" customHeight="1">
      <c r="B63" s="451"/>
      <c r="C63" s="449"/>
      <c r="D63" s="140" t="s">
        <v>781</v>
      </c>
      <c r="E63" s="141">
        <v>0.1</v>
      </c>
      <c r="F63" s="393">
        <v>0.94499999999999995</v>
      </c>
      <c r="G63" s="143" t="s">
        <v>150</v>
      </c>
      <c r="H63" s="144" t="s">
        <v>379</v>
      </c>
      <c r="I63" s="166" t="s">
        <v>375</v>
      </c>
      <c r="J63" s="167" t="s">
        <v>378</v>
      </c>
      <c r="K63" s="168">
        <v>0.9</v>
      </c>
      <c r="L63" s="168">
        <v>0.96</v>
      </c>
      <c r="M63" s="168">
        <v>0.96</v>
      </c>
      <c r="N63" s="168">
        <v>0.96</v>
      </c>
      <c r="O63" s="394">
        <f t="shared" si="1"/>
        <v>0.94499999999999995</v>
      </c>
    </row>
    <row r="64" spans="2:15" ht="75">
      <c r="B64" s="451"/>
      <c r="C64" s="449"/>
      <c r="D64" s="140" t="s">
        <v>387</v>
      </c>
      <c r="E64" s="141">
        <v>0.15</v>
      </c>
      <c r="F64" s="169">
        <v>1</v>
      </c>
      <c r="G64" s="169">
        <v>1</v>
      </c>
      <c r="H64" s="170" t="s">
        <v>380</v>
      </c>
      <c r="I64" s="166" t="s">
        <v>375</v>
      </c>
      <c r="J64" s="167" t="s">
        <v>381</v>
      </c>
      <c r="K64" s="168">
        <v>1</v>
      </c>
      <c r="L64" s="168">
        <v>1</v>
      </c>
      <c r="M64" s="168">
        <v>1</v>
      </c>
      <c r="N64" s="168">
        <v>1</v>
      </c>
      <c r="O64" s="70">
        <f t="shared" si="1"/>
        <v>1</v>
      </c>
    </row>
    <row r="65" spans="2:15" ht="75">
      <c r="B65" s="451"/>
      <c r="C65" s="449"/>
      <c r="D65" s="140" t="s">
        <v>388</v>
      </c>
      <c r="E65" s="141">
        <v>0.15</v>
      </c>
      <c r="F65" s="169">
        <v>1</v>
      </c>
      <c r="G65" s="169">
        <v>1</v>
      </c>
      <c r="H65" s="170" t="s">
        <v>382</v>
      </c>
      <c r="I65" s="166" t="s">
        <v>375</v>
      </c>
      <c r="J65" s="167" t="s">
        <v>381</v>
      </c>
      <c r="K65" s="168">
        <v>1</v>
      </c>
      <c r="L65" s="168">
        <v>1</v>
      </c>
      <c r="M65" s="168">
        <v>1</v>
      </c>
      <c r="N65" s="168">
        <v>1</v>
      </c>
      <c r="O65" s="70">
        <f t="shared" si="1"/>
        <v>1</v>
      </c>
    </row>
    <row r="66" spans="2:15" ht="75">
      <c r="B66" s="451"/>
      <c r="C66" s="449"/>
      <c r="D66" s="140" t="s">
        <v>389</v>
      </c>
      <c r="E66" s="141">
        <v>0.15</v>
      </c>
      <c r="F66" s="169">
        <v>1</v>
      </c>
      <c r="G66" s="169">
        <v>1</v>
      </c>
      <c r="H66" s="170" t="s">
        <v>383</v>
      </c>
      <c r="I66" s="166" t="s">
        <v>375</v>
      </c>
      <c r="J66" s="167" t="s">
        <v>381</v>
      </c>
      <c r="K66" s="168">
        <v>1</v>
      </c>
      <c r="L66" s="168">
        <v>1</v>
      </c>
      <c r="M66" s="168">
        <v>1</v>
      </c>
      <c r="N66" s="168">
        <v>1</v>
      </c>
      <c r="O66" s="70">
        <f t="shared" si="1"/>
        <v>1</v>
      </c>
    </row>
    <row r="67" spans="2:15" ht="75">
      <c r="B67" s="451"/>
      <c r="C67" s="449"/>
      <c r="D67" s="140" t="s">
        <v>783</v>
      </c>
      <c r="E67" s="141">
        <v>0.15</v>
      </c>
      <c r="F67" s="169">
        <v>1</v>
      </c>
      <c r="G67" s="169">
        <v>0.99</v>
      </c>
      <c r="H67" s="170" t="s">
        <v>784</v>
      </c>
      <c r="I67" s="166" t="s">
        <v>375</v>
      </c>
      <c r="J67" s="167" t="s">
        <v>381</v>
      </c>
      <c r="K67" s="168">
        <v>1</v>
      </c>
      <c r="L67" s="168">
        <v>1</v>
      </c>
      <c r="M67" s="168">
        <v>1</v>
      </c>
      <c r="N67" s="168">
        <v>1</v>
      </c>
      <c r="O67" s="70">
        <f t="shared" si="1"/>
        <v>1</v>
      </c>
    </row>
    <row r="68" spans="2:15" ht="84.75" customHeight="1">
      <c r="B68" s="451"/>
      <c r="C68" s="448"/>
      <c r="D68" s="140" t="s">
        <v>782</v>
      </c>
      <c r="E68" s="141">
        <v>0.1</v>
      </c>
      <c r="F68" s="395">
        <v>21</v>
      </c>
      <c r="G68" s="171" t="s">
        <v>150</v>
      </c>
      <c r="H68" s="165" t="s">
        <v>384</v>
      </c>
      <c r="I68" s="166" t="s">
        <v>375</v>
      </c>
      <c r="J68" s="167" t="s">
        <v>385</v>
      </c>
      <c r="K68" s="172">
        <v>9</v>
      </c>
      <c r="L68" s="172">
        <v>4</v>
      </c>
      <c r="M68" s="172">
        <v>4</v>
      </c>
      <c r="N68" s="172">
        <v>4</v>
      </c>
      <c r="O68" s="68">
        <f t="shared" ref="O68" si="2">K68+L68+M68+N68</f>
        <v>21</v>
      </c>
    </row>
    <row r="69" spans="2:15" ht="76.5" customHeight="1">
      <c r="B69" s="451"/>
      <c r="C69" s="464" t="s">
        <v>139</v>
      </c>
      <c r="D69" s="379" t="s">
        <v>451</v>
      </c>
      <c r="E69" s="136">
        <v>0.1</v>
      </c>
      <c r="F69" s="149">
        <v>1</v>
      </c>
      <c r="G69" s="173">
        <v>0.99199999999999999</v>
      </c>
      <c r="H69" s="382" t="s">
        <v>421</v>
      </c>
      <c r="I69" s="131" t="s">
        <v>423</v>
      </c>
      <c r="J69" s="132" t="s">
        <v>424</v>
      </c>
      <c r="K69" s="158">
        <v>1</v>
      </c>
      <c r="L69" s="158">
        <v>1</v>
      </c>
      <c r="M69" s="158">
        <v>1</v>
      </c>
      <c r="N69" s="158">
        <v>1</v>
      </c>
      <c r="O69" s="24">
        <f>AVERAGE(K69:N69)</f>
        <v>1</v>
      </c>
    </row>
    <row r="70" spans="2:15" ht="62.25" customHeight="1">
      <c r="B70" s="451"/>
      <c r="C70" s="495"/>
      <c r="D70" s="379" t="s">
        <v>614</v>
      </c>
      <c r="E70" s="136">
        <v>0.1</v>
      </c>
      <c r="F70" s="149">
        <v>0.97</v>
      </c>
      <c r="G70" s="173">
        <v>0.96599999999999997</v>
      </c>
      <c r="H70" s="382" t="s">
        <v>422</v>
      </c>
      <c r="I70" s="131" t="s">
        <v>423</v>
      </c>
      <c r="J70" s="132" t="s">
        <v>424</v>
      </c>
      <c r="K70" s="158">
        <v>0.97</v>
      </c>
      <c r="L70" s="158">
        <v>0.97</v>
      </c>
      <c r="M70" s="158">
        <v>0.97</v>
      </c>
      <c r="N70" s="158">
        <v>0.97</v>
      </c>
      <c r="O70" s="24">
        <f>AVERAGE(K70:N70)</f>
        <v>0.97</v>
      </c>
    </row>
    <row r="71" spans="2:15" ht="64.5" customHeight="1">
      <c r="B71" s="451"/>
      <c r="C71" s="495"/>
      <c r="D71" s="379" t="s">
        <v>452</v>
      </c>
      <c r="E71" s="149">
        <v>7.0000000000000007E-2</v>
      </c>
      <c r="F71" s="149">
        <v>0.95</v>
      </c>
      <c r="G71" s="384" t="s">
        <v>150</v>
      </c>
      <c r="H71" s="382" t="s">
        <v>446</v>
      </c>
      <c r="I71" s="131" t="s">
        <v>450</v>
      </c>
      <c r="J71" s="132" t="s">
        <v>449</v>
      </c>
      <c r="K71" s="158">
        <v>0.95</v>
      </c>
      <c r="L71" s="158">
        <v>0.95</v>
      </c>
      <c r="M71" s="158">
        <v>0.95</v>
      </c>
      <c r="N71" s="158">
        <v>0.95</v>
      </c>
      <c r="O71" s="24">
        <f>AVERAGE(K71:N71)</f>
        <v>0.95</v>
      </c>
    </row>
    <row r="72" spans="2:15" ht="64.5" customHeight="1">
      <c r="B72" s="451"/>
      <c r="C72" s="495"/>
      <c r="D72" s="379" t="s">
        <v>453</v>
      </c>
      <c r="E72" s="149">
        <v>7.0000000000000007E-2</v>
      </c>
      <c r="F72" s="149">
        <v>0.95</v>
      </c>
      <c r="G72" s="384" t="s">
        <v>150</v>
      </c>
      <c r="H72" s="382" t="s">
        <v>447</v>
      </c>
      <c r="I72" s="131" t="s">
        <v>450</v>
      </c>
      <c r="J72" s="132" t="s">
        <v>449</v>
      </c>
      <c r="K72" s="158">
        <v>0.95</v>
      </c>
      <c r="L72" s="158">
        <v>0.95</v>
      </c>
      <c r="M72" s="158">
        <v>0.95</v>
      </c>
      <c r="N72" s="158">
        <v>0.95</v>
      </c>
      <c r="O72" s="24">
        <f t="shared" ref="O72:O73" si="3">AVERAGE(K72:N72)</f>
        <v>0.95</v>
      </c>
    </row>
    <row r="73" spans="2:15" ht="64.5" customHeight="1">
      <c r="B73" s="451"/>
      <c r="C73" s="495"/>
      <c r="D73" s="379" t="s">
        <v>454</v>
      </c>
      <c r="E73" s="149">
        <v>0.06</v>
      </c>
      <c r="F73" s="149">
        <v>1</v>
      </c>
      <c r="G73" s="384" t="s">
        <v>150</v>
      </c>
      <c r="H73" s="382" t="s">
        <v>448</v>
      </c>
      <c r="I73" s="131" t="s">
        <v>450</v>
      </c>
      <c r="J73" s="132" t="s">
        <v>449</v>
      </c>
      <c r="K73" s="158">
        <v>1</v>
      </c>
      <c r="L73" s="158">
        <v>1</v>
      </c>
      <c r="M73" s="158">
        <v>1</v>
      </c>
      <c r="N73" s="158">
        <v>1</v>
      </c>
      <c r="O73" s="24">
        <f t="shared" si="3"/>
        <v>1</v>
      </c>
    </row>
    <row r="74" spans="2:15" ht="78" customHeight="1">
      <c r="B74" s="451"/>
      <c r="C74" s="495"/>
      <c r="D74" s="379" t="s">
        <v>455</v>
      </c>
      <c r="E74" s="136">
        <v>0.1</v>
      </c>
      <c r="F74" s="149">
        <v>0.95</v>
      </c>
      <c r="G74" s="384" t="s">
        <v>150</v>
      </c>
      <c r="H74" s="382" t="s">
        <v>437</v>
      </c>
      <c r="I74" s="131" t="s">
        <v>438</v>
      </c>
      <c r="J74" s="132" t="s">
        <v>439</v>
      </c>
      <c r="K74" s="158">
        <v>0.95</v>
      </c>
      <c r="L74" s="158">
        <v>0.95</v>
      </c>
      <c r="M74" s="158">
        <v>0.95</v>
      </c>
      <c r="N74" s="158">
        <v>0.95</v>
      </c>
      <c r="O74" s="24">
        <f>AVERAGE(K74:N74)</f>
        <v>0.95</v>
      </c>
    </row>
    <row r="75" spans="2:15" ht="96.75" customHeight="1">
      <c r="B75" s="451"/>
      <c r="C75" s="495"/>
      <c r="D75" s="379" t="s">
        <v>480</v>
      </c>
      <c r="E75" s="37">
        <v>0.05</v>
      </c>
      <c r="F75" s="149">
        <v>0.95</v>
      </c>
      <c r="G75" s="384" t="s">
        <v>150</v>
      </c>
      <c r="H75" s="382" t="s">
        <v>473</v>
      </c>
      <c r="I75" s="131" t="s">
        <v>474</v>
      </c>
      <c r="J75" s="132" t="s">
        <v>475</v>
      </c>
      <c r="K75" s="158">
        <v>0.95</v>
      </c>
      <c r="L75" s="158">
        <v>0.95</v>
      </c>
      <c r="M75" s="158">
        <v>0.95</v>
      </c>
      <c r="N75" s="158">
        <v>0.95</v>
      </c>
      <c r="O75" s="24">
        <f t="shared" ref="O75:O76" si="4">AVERAGE(K75:N75)</f>
        <v>0.95</v>
      </c>
    </row>
    <row r="76" spans="2:15" ht="76.5" customHeight="1">
      <c r="B76" s="451"/>
      <c r="C76" s="495"/>
      <c r="D76" s="379" t="s">
        <v>481</v>
      </c>
      <c r="E76" s="37">
        <v>0.05</v>
      </c>
      <c r="F76" s="149">
        <v>0.8</v>
      </c>
      <c r="G76" s="384">
        <v>264</v>
      </c>
      <c r="H76" s="382" t="s">
        <v>500</v>
      </c>
      <c r="I76" s="131" t="s">
        <v>474</v>
      </c>
      <c r="J76" s="132" t="s">
        <v>476</v>
      </c>
      <c r="K76" s="158">
        <v>0.8</v>
      </c>
      <c r="L76" s="158">
        <v>0.8</v>
      </c>
      <c r="M76" s="158">
        <v>0.8</v>
      </c>
      <c r="N76" s="158">
        <v>0.8</v>
      </c>
      <c r="O76" s="24">
        <f t="shared" si="4"/>
        <v>0.8</v>
      </c>
    </row>
    <row r="77" spans="2:15" ht="120" customHeight="1">
      <c r="B77" s="451"/>
      <c r="C77" s="495"/>
      <c r="D77" s="379" t="s">
        <v>482</v>
      </c>
      <c r="E77" s="37">
        <v>0.05</v>
      </c>
      <c r="F77" s="160">
        <v>100</v>
      </c>
      <c r="G77" s="384">
        <v>32</v>
      </c>
      <c r="H77" s="175" t="s">
        <v>619</v>
      </c>
      <c r="I77" s="131" t="s">
        <v>474</v>
      </c>
      <c r="J77" s="132" t="s">
        <v>477</v>
      </c>
      <c r="K77" s="176">
        <v>25</v>
      </c>
      <c r="L77" s="176">
        <v>25</v>
      </c>
      <c r="M77" s="176">
        <v>25</v>
      </c>
      <c r="N77" s="176">
        <v>25</v>
      </c>
      <c r="O77" s="50">
        <f t="shared" ref="O77:O78" si="5">K77+L77+M77+N77</f>
        <v>100</v>
      </c>
    </row>
    <row r="78" spans="2:15" ht="87" customHeight="1">
      <c r="B78" s="451"/>
      <c r="C78" s="495"/>
      <c r="D78" s="379" t="s">
        <v>483</v>
      </c>
      <c r="E78" s="37">
        <v>0.05</v>
      </c>
      <c r="F78" s="160">
        <v>100</v>
      </c>
      <c r="G78" s="384">
        <v>26</v>
      </c>
      <c r="H78" s="175" t="s">
        <v>620</v>
      </c>
      <c r="I78" s="131" t="s">
        <v>478</v>
      </c>
      <c r="J78" s="132" t="s">
        <v>479</v>
      </c>
      <c r="K78" s="176">
        <v>25</v>
      </c>
      <c r="L78" s="176">
        <v>25</v>
      </c>
      <c r="M78" s="176">
        <v>25</v>
      </c>
      <c r="N78" s="176">
        <v>25</v>
      </c>
      <c r="O78" s="50">
        <f t="shared" si="5"/>
        <v>100</v>
      </c>
    </row>
    <row r="79" spans="2:15" ht="63" customHeight="1">
      <c r="B79" s="451"/>
      <c r="C79" s="495"/>
      <c r="D79" s="379" t="s">
        <v>506</v>
      </c>
      <c r="E79" s="37">
        <v>0.05</v>
      </c>
      <c r="F79" s="149">
        <v>1</v>
      </c>
      <c r="G79" s="21">
        <v>1</v>
      </c>
      <c r="H79" s="382" t="s">
        <v>502</v>
      </c>
      <c r="I79" s="131" t="s">
        <v>503</v>
      </c>
      <c r="J79" s="177" t="s">
        <v>3</v>
      </c>
      <c r="K79" s="178">
        <v>1</v>
      </c>
      <c r="L79" s="178">
        <v>1</v>
      </c>
      <c r="M79" s="178">
        <v>1</v>
      </c>
      <c r="N79" s="178">
        <v>1</v>
      </c>
      <c r="O79" s="24">
        <f t="shared" ref="O79:O83" si="6">AVERAGE(K79:N79)</f>
        <v>1</v>
      </c>
    </row>
    <row r="80" spans="2:15" ht="54.75" customHeight="1">
      <c r="B80" s="451"/>
      <c r="C80" s="495"/>
      <c r="D80" s="379" t="s">
        <v>507</v>
      </c>
      <c r="E80" s="37">
        <v>0.05</v>
      </c>
      <c r="F80" s="21">
        <v>1</v>
      </c>
      <c r="G80" s="21">
        <v>1</v>
      </c>
      <c r="H80" s="382" t="s">
        <v>504</v>
      </c>
      <c r="I80" s="131" t="s">
        <v>503</v>
      </c>
      <c r="J80" s="177" t="s">
        <v>3</v>
      </c>
      <c r="K80" s="178">
        <v>1</v>
      </c>
      <c r="L80" s="178">
        <v>1</v>
      </c>
      <c r="M80" s="178">
        <v>1</v>
      </c>
      <c r="N80" s="178">
        <v>1</v>
      </c>
      <c r="O80" s="24">
        <f t="shared" si="6"/>
        <v>1</v>
      </c>
    </row>
    <row r="81" spans="2:15" ht="78.75" customHeight="1">
      <c r="B81" s="451"/>
      <c r="C81" s="495"/>
      <c r="D81" s="379" t="s">
        <v>508</v>
      </c>
      <c r="E81" s="37">
        <v>0.05</v>
      </c>
      <c r="F81" s="21">
        <v>1</v>
      </c>
      <c r="G81" s="21">
        <v>1</v>
      </c>
      <c r="H81" s="382" t="s">
        <v>505</v>
      </c>
      <c r="I81" s="131" t="s">
        <v>503</v>
      </c>
      <c r="J81" s="177" t="s">
        <v>3</v>
      </c>
      <c r="K81" s="178">
        <v>1</v>
      </c>
      <c r="L81" s="178">
        <v>1</v>
      </c>
      <c r="M81" s="178">
        <v>1</v>
      </c>
      <c r="N81" s="178">
        <v>1</v>
      </c>
      <c r="O81" s="24">
        <f t="shared" si="6"/>
        <v>1</v>
      </c>
    </row>
    <row r="82" spans="2:15" ht="76.5" customHeight="1">
      <c r="B82" s="451"/>
      <c r="C82" s="495"/>
      <c r="D82" s="462" t="s">
        <v>509</v>
      </c>
      <c r="E82" s="460">
        <v>0.05</v>
      </c>
      <c r="F82" s="21">
        <v>1</v>
      </c>
      <c r="G82" s="21">
        <v>1</v>
      </c>
      <c r="H82" s="382" t="s">
        <v>511</v>
      </c>
      <c r="I82" s="131" t="s">
        <v>503</v>
      </c>
      <c r="J82" s="177" t="s">
        <v>3</v>
      </c>
      <c r="K82" s="178">
        <v>1</v>
      </c>
      <c r="L82" s="178">
        <v>1</v>
      </c>
      <c r="M82" s="178">
        <v>1</v>
      </c>
      <c r="N82" s="178">
        <v>1</v>
      </c>
      <c r="O82" s="24">
        <f t="shared" si="6"/>
        <v>1</v>
      </c>
    </row>
    <row r="83" spans="2:15" ht="76.5" customHeight="1">
      <c r="B83" s="451"/>
      <c r="C83" s="495"/>
      <c r="D83" s="463"/>
      <c r="E83" s="461"/>
      <c r="F83" s="21">
        <v>1</v>
      </c>
      <c r="G83" s="21">
        <v>1</v>
      </c>
      <c r="H83" s="382" t="s">
        <v>510</v>
      </c>
      <c r="I83" s="131" t="s">
        <v>503</v>
      </c>
      <c r="J83" s="177" t="s">
        <v>3</v>
      </c>
      <c r="K83" s="178">
        <v>1</v>
      </c>
      <c r="L83" s="178">
        <v>1</v>
      </c>
      <c r="M83" s="178">
        <v>1</v>
      </c>
      <c r="N83" s="178">
        <v>1</v>
      </c>
      <c r="O83" s="24">
        <f t="shared" si="6"/>
        <v>1</v>
      </c>
    </row>
    <row r="84" spans="2:15" ht="76.5" customHeight="1">
      <c r="B84" s="451"/>
      <c r="C84" s="495"/>
      <c r="D84" s="466" t="s">
        <v>684</v>
      </c>
      <c r="E84" s="460">
        <v>0.1</v>
      </c>
      <c r="F84" s="21">
        <v>0.95</v>
      </c>
      <c r="G84" s="21" t="s">
        <v>150</v>
      </c>
      <c r="H84" s="382" t="s">
        <v>744</v>
      </c>
      <c r="I84" s="131" t="s">
        <v>438</v>
      </c>
      <c r="J84" s="132" t="s">
        <v>439</v>
      </c>
      <c r="K84" s="178">
        <v>0.6</v>
      </c>
      <c r="L84" s="178">
        <v>0.8</v>
      </c>
      <c r="M84" s="178">
        <v>0.9</v>
      </c>
      <c r="N84" s="178">
        <v>0.95</v>
      </c>
      <c r="O84" s="24">
        <v>0.95</v>
      </c>
    </row>
    <row r="85" spans="2:15" ht="76.5" customHeight="1">
      <c r="B85" s="451"/>
      <c r="C85" s="495"/>
      <c r="D85" s="467"/>
      <c r="E85" s="494"/>
      <c r="F85" s="21">
        <v>0.95</v>
      </c>
      <c r="G85" s="21" t="s">
        <v>150</v>
      </c>
      <c r="H85" s="382" t="s">
        <v>682</v>
      </c>
      <c r="I85" s="131" t="s">
        <v>438</v>
      </c>
      <c r="J85" s="132" t="s">
        <v>439</v>
      </c>
      <c r="K85" s="178">
        <v>0.6</v>
      </c>
      <c r="L85" s="178">
        <v>0.8</v>
      </c>
      <c r="M85" s="178">
        <v>0.9</v>
      </c>
      <c r="N85" s="178">
        <v>0.95</v>
      </c>
      <c r="O85" s="24">
        <v>0.95</v>
      </c>
    </row>
    <row r="86" spans="2:15" ht="82.95" customHeight="1">
      <c r="B86" s="451"/>
      <c r="C86" s="465"/>
      <c r="D86" s="468"/>
      <c r="E86" s="461"/>
      <c r="F86" s="21">
        <v>0.95</v>
      </c>
      <c r="G86" s="21" t="s">
        <v>150</v>
      </c>
      <c r="H86" s="382" t="s">
        <v>683</v>
      </c>
      <c r="I86" s="131" t="s">
        <v>438</v>
      </c>
      <c r="J86" s="132" t="s">
        <v>439</v>
      </c>
      <c r="K86" s="178">
        <v>0.6</v>
      </c>
      <c r="L86" s="178">
        <v>0.8</v>
      </c>
      <c r="M86" s="178">
        <v>0.9</v>
      </c>
      <c r="N86" s="178">
        <v>0.95</v>
      </c>
      <c r="O86" s="24">
        <v>0.95</v>
      </c>
    </row>
    <row r="87" spans="2:15" ht="73.5" customHeight="1">
      <c r="B87" s="451"/>
      <c r="C87" s="447" t="s">
        <v>140</v>
      </c>
      <c r="D87" s="140" t="s">
        <v>534</v>
      </c>
      <c r="E87" s="141">
        <v>0.05</v>
      </c>
      <c r="F87" s="179">
        <v>96</v>
      </c>
      <c r="G87" s="143" t="s">
        <v>150</v>
      </c>
      <c r="H87" s="144" t="s">
        <v>530</v>
      </c>
      <c r="I87" s="145" t="s">
        <v>549</v>
      </c>
      <c r="J87" s="145" t="s">
        <v>531</v>
      </c>
      <c r="K87" s="180">
        <v>24</v>
      </c>
      <c r="L87" s="180">
        <v>24</v>
      </c>
      <c r="M87" s="180">
        <v>24</v>
      </c>
      <c r="N87" s="180">
        <v>24</v>
      </c>
      <c r="O87" s="68">
        <f t="shared" ref="O87:O92" si="7">K87+L87+M87+N87</f>
        <v>96</v>
      </c>
    </row>
    <row r="88" spans="2:15" ht="86.25" customHeight="1">
      <c r="B88" s="451"/>
      <c r="C88" s="449"/>
      <c r="D88" s="396" t="s">
        <v>717</v>
      </c>
      <c r="E88" s="141">
        <v>0.05</v>
      </c>
      <c r="F88" s="397">
        <v>20</v>
      </c>
      <c r="G88" s="143" t="s">
        <v>150</v>
      </c>
      <c r="H88" s="144" t="s">
        <v>532</v>
      </c>
      <c r="I88" s="145" t="s">
        <v>549</v>
      </c>
      <c r="J88" s="145" t="s">
        <v>531</v>
      </c>
      <c r="K88" s="398">
        <v>2</v>
      </c>
      <c r="L88" s="398">
        <v>6</v>
      </c>
      <c r="M88" s="398">
        <v>6</v>
      </c>
      <c r="N88" s="398">
        <v>6</v>
      </c>
      <c r="O88" s="68">
        <f t="shared" si="7"/>
        <v>20</v>
      </c>
    </row>
    <row r="89" spans="2:15" ht="96.75" customHeight="1">
      <c r="B89" s="451"/>
      <c r="C89" s="449"/>
      <c r="D89" s="140" t="s">
        <v>535</v>
      </c>
      <c r="E89" s="141">
        <v>0.2</v>
      </c>
      <c r="F89" s="181">
        <v>400</v>
      </c>
      <c r="G89" s="143" t="s">
        <v>543</v>
      </c>
      <c r="H89" s="144" t="s">
        <v>533</v>
      </c>
      <c r="I89" s="145" t="s">
        <v>549</v>
      </c>
      <c r="J89" s="145" t="s">
        <v>531</v>
      </c>
      <c r="K89" s="182">
        <v>100</v>
      </c>
      <c r="L89" s="182">
        <v>100</v>
      </c>
      <c r="M89" s="182">
        <v>100</v>
      </c>
      <c r="N89" s="182">
        <v>100</v>
      </c>
      <c r="O89" s="68">
        <f t="shared" si="7"/>
        <v>400</v>
      </c>
    </row>
    <row r="90" spans="2:15" ht="69.75" customHeight="1">
      <c r="B90" s="451"/>
      <c r="C90" s="449"/>
      <c r="D90" s="140" t="s">
        <v>552</v>
      </c>
      <c r="E90" s="152">
        <v>0.5</v>
      </c>
      <c r="F90" s="143">
        <v>4</v>
      </c>
      <c r="G90" s="143">
        <v>4</v>
      </c>
      <c r="H90" s="144" t="s">
        <v>550</v>
      </c>
      <c r="I90" s="140" t="s">
        <v>551</v>
      </c>
      <c r="J90" s="140" t="s">
        <v>2</v>
      </c>
      <c r="K90" s="143">
        <v>1</v>
      </c>
      <c r="L90" s="143">
        <v>1</v>
      </c>
      <c r="M90" s="143">
        <v>1</v>
      </c>
      <c r="N90" s="143">
        <v>1</v>
      </c>
      <c r="O90" s="68">
        <f t="shared" si="7"/>
        <v>4</v>
      </c>
    </row>
    <row r="91" spans="2:15" ht="56.25" customHeight="1">
      <c r="B91" s="451"/>
      <c r="C91" s="449"/>
      <c r="D91" s="140" t="s">
        <v>615</v>
      </c>
      <c r="E91" s="152">
        <v>0.1</v>
      </c>
      <c r="F91" s="181">
        <v>4</v>
      </c>
      <c r="G91" s="143">
        <v>4</v>
      </c>
      <c r="H91" s="144" t="s">
        <v>616</v>
      </c>
      <c r="I91" s="140" t="s">
        <v>551</v>
      </c>
      <c r="J91" s="140" t="s">
        <v>2</v>
      </c>
      <c r="K91" s="143">
        <v>1</v>
      </c>
      <c r="L91" s="143">
        <v>1</v>
      </c>
      <c r="M91" s="143">
        <v>1</v>
      </c>
      <c r="N91" s="143">
        <v>1</v>
      </c>
      <c r="O91" s="68">
        <f t="shared" si="7"/>
        <v>4</v>
      </c>
    </row>
    <row r="92" spans="2:15" ht="61.5" customHeight="1">
      <c r="B92" s="451"/>
      <c r="C92" s="448"/>
      <c r="D92" s="140" t="s">
        <v>617</v>
      </c>
      <c r="E92" s="152">
        <v>0.1</v>
      </c>
      <c r="F92" s="181">
        <v>4</v>
      </c>
      <c r="G92" s="143">
        <v>4</v>
      </c>
      <c r="H92" s="144" t="s">
        <v>618</v>
      </c>
      <c r="I92" s="140" t="s">
        <v>551</v>
      </c>
      <c r="J92" s="140" t="s">
        <v>2</v>
      </c>
      <c r="K92" s="143">
        <v>1</v>
      </c>
      <c r="L92" s="143">
        <v>1</v>
      </c>
      <c r="M92" s="143">
        <v>1</v>
      </c>
      <c r="N92" s="143">
        <v>1</v>
      </c>
      <c r="O92" s="68">
        <f t="shared" si="7"/>
        <v>4</v>
      </c>
    </row>
    <row r="93" spans="2:15" ht="63" customHeight="1">
      <c r="B93" s="451"/>
      <c r="C93" s="464" t="s">
        <v>141</v>
      </c>
      <c r="D93" s="382" t="s">
        <v>568</v>
      </c>
      <c r="E93" s="380">
        <v>0.5</v>
      </c>
      <c r="F93" s="21">
        <v>1</v>
      </c>
      <c r="G93" s="21">
        <v>1</v>
      </c>
      <c r="H93" s="382" t="s">
        <v>564</v>
      </c>
      <c r="I93" s="382" t="s">
        <v>565</v>
      </c>
      <c r="J93" s="183" t="s">
        <v>566</v>
      </c>
      <c r="K93" s="178">
        <v>1</v>
      </c>
      <c r="L93" s="178">
        <v>1</v>
      </c>
      <c r="M93" s="178">
        <v>1</v>
      </c>
      <c r="N93" s="178">
        <v>1</v>
      </c>
      <c r="O93" s="24">
        <f t="shared" ref="O93:O94" si="8">AVERAGE(K93:N93)</f>
        <v>1</v>
      </c>
    </row>
    <row r="94" spans="2:15" ht="69.75" customHeight="1">
      <c r="B94" s="451"/>
      <c r="C94" s="465"/>
      <c r="D94" s="382" t="s">
        <v>569</v>
      </c>
      <c r="E94" s="380">
        <v>0.5</v>
      </c>
      <c r="F94" s="21">
        <v>1</v>
      </c>
      <c r="G94" s="21">
        <v>1</v>
      </c>
      <c r="H94" s="382" t="s">
        <v>567</v>
      </c>
      <c r="I94" s="382" t="s">
        <v>565</v>
      </c>
      <c r="J94" s="183" t="s">
        <v>566</v>
      </c>
      <c r="K94" s="178">
        <v>1</v>
      </c>
      <c r="L94" s="178">
        <v>1</v>
      </c>
      <c r="M94" s="178">
        <v>1</v>
      </c>
      <c r="N94" s="178">
        <v>1</v>
      </c>
      <c r="O94" s="24">
        <f t="shared" si="8"/>
        <v>1</v>
      </c>
    </row>
    <row r="95" spans="2:15" ht="114" customHeight="1">
      <c r="B95" s="452"/>
      <c r="C95" s="184" t="s">
        <v>142</v>
      </c>
      <c r="D95" s="140" t="s">
        <v>373</v>
      </c>
      <c r="E95" s="141">
        <v>1</v>
      </c>
      <c r="F95" s="179">
        <v>3</v>
      </c>
      <c r="G95" s="143" t="s">
        <v>150</v>
      </c>
      <c r="H95" s="140" t="s">
        <v>367</v>
      </c>
      <c r="I95" s="145" t="s">
        <v>346</v>
      </c>
      <c r="J95" s="185" t="s">
        <v>1</v>
      </c>
      <c r="K95" s="186">
        <v>1</v>
      </c>
      <c r="L95" s="186">
        <v>1</v>
      </c>
      <c r="M95" s="186">
        <v>1</v>
      </c>
      <c r="N95" s="186">
        <v>0</v>
      </c>
      <c r="O95" s="68">
        <f t="shared" ref="O95" si="9">K95+L95+M95+N95</f>
        <v>3</v>
      </c>
    </row>
    <row r="96" spans="2:15" ht="93.75" customHeight="1">
      <c r="B96" s="457" t="s">
        <v>143</v>
      </c>
      <c r="C96" s="492" t="s">
        <v>144</v>
      </c>
      <c r="D96" s="379" t="s">
        <v>582</v>
      </c>
      <c r="E96" s="399">
        <v>0.5</v>
      </c>
      <c r="F96" s="54">
        <v>4</v>
      </c>
      <c r="G96" s="384">
        <v>2</v>
      </c>
      <c r="H96" s="382" t="s">
        <v>578</v>
      </c>
      <c r="I96" s="131" t="s">
        <v>579</v>
      </c>
      <c r="J96" s="177" t="s">
        <v>580</v>
      </c>
      <c r="K96" s="187">
        <v>1</v>
      </c>
      <c r="L96" s="187">
        <v>1</v>
      </c>
      <c r="M96" s="187">
        <v>1</v>
      </c>
      <c r="N96" s="187">
        <v>1</v>
      </c>
      <c r="O96" s="23">
        <f t="shared" ref="O96:O99" si="10">K96+L96+M96+N96</f>
        <v>4</v>
      </c>
    </row>
    <row r="97" spans="2:15" ht="93.75" customHeight="1">
      <c r="B97" s="458"/>
      <c r="C97" s="493"/>
      <c r="D97" s="403" t="s">
        <v>719</v>
      </c>
      <c r="E97" s="37">
        <v>0.5</v>
      </c>
      <c r="F97" s="54">
        <v>2</v>
      </c>
      <c r="G97" s="405" t="s">
        <v>150</v>
      </c>
      <c r="H97" s="404" t="s">
        <v>796</v>
      </c>
      <c r="I97" s="131" t="s">
        <v>579</v>
      </c>
      <c r="J97" s="177" t="s">
        <v>580</v>
      </c>
      <c r="K97" s="400">
        <v>0</v>
      </c>
      <c r="L97" s="400">
        <v>1</v>
      </c>
      <c r="M97" s="400">
        <v>1</v>
      </c>
      <c r="N97" s="400">
        <v>0</v>
      </c>
      <c r="O97" s="23">
        <f t="shared" si="10"/>
        <v>2</v>
      </c>
    </row>
    <row r="98" spans="2:15" ht="102" customHeight="1">
      <c r="B98" s="458"/>
      <c r="C98" s="401" t="s">
        <v>145</v>
      </c>
      <c r="D98" s="379" t="s">
        <v>583</v>
      </c>
      <c r="E98" s="37">
        <v>1</v>
      </c>
      <c r="F98" s="54">
        <v>8</v>
      </c>
      <c r="G98" s="384">
        <v>2</v>
      </c>
      <c r="H98" s="382" t="s">
        <v>581</v>
      </c>
      <c r="I98" s="131" t="s">
        <v>579</v>
      </c>
      <c r="J98" s="177" t="s">
        <v>580</v>
      </c>
      <c r="K98" s="187">
        <v>2</v>
      </c>
      <c r="L98" s="187">
        <v>2</v>
      </c>
      <c r="M98" s="187">
        <v>3</v>
      </c>
      <c r="N98" s="187">
        <v>1</v>
      </c>
      <c r="O98" s="23">
        <f t="shared" si="10"/>
        <v>8</v>
      </c>
    </row>
    <row r="99" spans="2:15" ht="124.5" customHeight="1">
      <c r="B99" s="459"/>
      <c r="C99" s="402" t="s">
        <v>146</v>
      </c>
      <c r="D99" s="403" t="s">
        <v>718</v>
      </c>
      <c r="E99" s="37">
        <v>1</v>
      </c>
      <c r="F99" s="54">
        <v>80</v>
      </c>
      <c r="G99" s="405">
        <v>3</v>
      </c>
      <c r="H99" s="404" t="s">
        <v>584</v>
      </c>
      <c r="I99" s="131" t="s">
        <v>579</v>
      </c>
      <c r="J99" s="177" t="s">
        <v>580</v>
      </c>
      <c r="K99" s="400">
        <v>3</v>
      </c>
      <c r="L99" s="400">
        <v>38</v>
      </c>
      <c r="M99" s="400">
        <v>39</v>
      </c>
      <c r="N99" s="400">
        <v>0</v>
      </c>
      <c r="O99" s="23">
        <f t="shared" si="10"/>
        <v>80</v>
      </c>
    </row>
    <row r="100" spans="2:15" ht="17.399999999999999">
      <c r="B100" s="496"/>
      <c r="C100" s="497"/>
      <c r="D100" s="497"/>
      <c r="E100" s="497"/>
      <c r="F100" s="497"/>
      <c r="G100" s="497"/>
      <c r="H100" s="497"/>
      <c r="I100" s="497"/>
      <c r="J100" s="497"/>
      <c r="K100" s="497"/>
      <c r="L100" s="497"/>
      <c r="M100" s="497"/>
      <c r="N100" s="497"/>
      <c r="O100" s="497"/>
    </row>
    <row r="101" spans="2:15">
      <c r="B101" s="453"/>
      <c r="C101" s="453"/>
      <c r="D101" s="453"/>
      <c r="E101" s="453"/>
      <c r="F101" s="453"/>
      <c r="G101" s="188"/>
      <c r="H101" s="189"/>
      <c r="I101" s="189"/>
      <c r="J101" s="189"/>
    </row>
    <row r="102" spans="2:15" ht="13.5" customHeight="1">
      <c r="B102" s="189"/>
      <c r="C102" s="189"/>
      <c r="D102" s="189"/>
      <c r="E102" s="188"/>
      <c r="F102" s="188"/>
      <c r="G102" s="188"/>
      <c r="H102" s="189"/>
      <c r="I102" s="189"/>
      <c r="J102" s="189"/>
    </row>
    <row r="103" spans="2:15" ht="28.5" customHeight="1">
      <c r="B103" s="63" t="s">
        <v>26</v>
      </c>
      <c r="C103" s="65">
        <v>44226</v>
      </c>
      <c r="D103" s="189"/>
      <c r="E103" s="188"/>
      <c r="F103" s="188"/>
      <c r="G103" s="188"/>
      <c r="H103" s="189"/>
      <c r="I103" s="189"/>
      <c r="J103" s="189"/>
    </row>
    <row r="104" spans="2:15">
      <c r="B104" s="189"/>
      <c r="C104" s="189"/>
      <c r="D104" s="189"/>
      <c r="E104" s="188"/>
      <c r="F104" s="188"/>
      <c r="G104" s="188"/>
      <c r="H104" s="189"/>
      <c r="I104" s="189"/>
      <c r="J104" s="189"/>
    </row>
    <row r="105" spans="2:15" ht="26.25" customHeight="1">
      <c r="B105" s="63" t="s">
        <v>49</v>
      </c>
      <c r="C105" s="65">
        <v>44369</v>
      </c>
      <c r="D105" s="189"/>
      <c r="E105" s="188"/>
      <c r="F105" s="188"/>
      <c r="G105" s="188"/>
      <c r="H105" s="383"/>
      <c r="I105" s="383"/>
      <c r="J105" s="383"/>
    </row>
    <row r="106" spans="2:15" ht="15" customHeight="1">
      <c r="B106" s="189"/>
      <c r="C106" s="189"/>
      <c r="D106" s="189"/>
      <c r="E106" s="188"/>
      <c r="F106" s="188"/>
      <c r="G106" s="188"/>
      <c r="H106" s="189"/>
      <c r="I106" s="189"/>
      <c r="J106" s="189"/>
    </row>
    <row r="107" spans="2:15" ht="26.25" customHeight="1">
      <c r="B107" s="63" t="s">
        <v>49</v>
      </c>
      <c r="C107" s="65">
        <v>44433</v>
      </c>
      <c r="D107" s="189"/>
      <c r="E107" s="188"/>
      <c r="F107" s="188"/>
      <c r="G107" s="188"/>
      <c r="H107" s="383"/>
      <c r="I107" s="383"/>
      <c r="J107" s="383"/>
    </row>
    <row r="108" spans="2:15" ht="16.2" customHeight="1">
      <c r="B108" s="372"/>
      <c r="C108" s="371"/>
      <c r="D108" s="189"/>
      <c r="E108" s="188"/>
      <c r="F108" s="188"/>
      <c r="G108" s="188"/>
      <c r="H108" s="383"/>
      <c r="I108" s="383"/>
      <c r="J108" s="383"/>
    </row>
    <row r="109" spans="2:15" ht="26.25" customHeight="1">
      <c r="B109" s="63" t="s">
        <v>49</v>
      </c>
      <c r="C109" s="65">
        <v>44470</v>
      </c>
      <c r="D109" s="189"/>
      <c r="E109" s="188"/>
      <c r="F109" s="188"/>
      <c r="G109" s="188"/>
      <c r="H109" s="383"/>
      <c r="I109" s="383"/>
      <c r="J109" s="383"/>
    </row>
    <row r="110" spans="2:15" ht="15" customHeight="1">
      <c r="B110" s="189"/>
      <c r="C110" s="189"/>
      <c r="D110" s="189"/>
      <c r="E110" s="188"/>
      <c r="F110" s="188"/>
      <c r="G110" s="188"/>
      <c r="H110" s="189"/>
      <c r="I110" s="189"/>
      <c r="J110" s="189"/>
    </row>
    <row r="111" spans="2:15" ht="25.8" customHeight="1">
      <c r="B111" s="63" t="s">
        <v>49</v>
      </c>
      <c r="C111" s="65">
        <v>44581</v>
      </c>
      <c r="D111" s="189"/>
      <c r="E111" s="188"/>
      <c r="F111" s="188"/>
      <c r="G111" s="188"/>
      <c r="H111" s="189"/>
      <c r="I111" s="189"/>
      <c r="J111" s="189"/>
    </row>
    <row r="112" spans="2:15" ht="15" customHeight="1">
      <c r="B112" s="189"/>
      <c r="C112" s="189"/>
      <c r="D112" s="189"/>
      <c r="E112" s="188"/>
      <c r="F112" s="188"/>
      <c r="G112" s="188"/>
      <c r="H112" s="189"/>
      <c r="I112" s="189"/>
      <c r="J112" s="189"/>
    </row>
    <row r="113" spans="2:10" ht="15" customHeight="1">
      <c r="B113" s="189"/>
      <c r="C113" s="189"/>
      <c r="D113" s="189"/>
      <c r="E113" s="188"/>
      <c r="F113" s="188"/>
      <c r="G113" s="188"/>
      <c r="H113" s="189"/>
      <c r="I113" s="189"/>
      <c r="J113" s="189"/>
    </row>
    <row r="114" spans="2:10" ht="15" customHeight="1">
      <c r="B114" s="189" t="s">
        <v>673</v>
      </c>
      <c r="C114" s="189"/>
      <c r="D114" s="189"/>
      <c r="E114" s="188"/>
      <c r="F114" s="188"/>
      <c r="G114" s="188"/>
      <c r="H114" s="383"/>
      <c r="I114" s="383"/>
      <c r="J114" s="383"/>
    </row>
    <row r="115" spans="2:10" ht="15" customHeight="1">
      <c r="B115" s="189"/>
      <c r="C115" s="189"/>
      <c r="D115" s="189"/>
      <c r="E115" s="188"/>
      <c r="F115" s="188"/>
      <c r="G115" s="188"/>
      <c r="H115" s="189"/>
      <c r="I115" s="189"/>
      <c r="J115" s="189"/>
    </row>
    <row r="116" spans="2:10" ht="15" customHeight="1">
      <c r="B116" s="189"/>
      <c r="C116" s="189"/>
      <c r="D116" s="189"/>
      <c r="E116" s="188"/>
      <c r="F116" s="188"/>
      <c r="G116" s="188"/>
      <c r="H116" s="383"/>
      <c r="I116" s="383"/>
      <c r="J116" s="383"/>
    </row>
  </sheetData>
  <sheetProtection algorithmName="SHA-512" hashValue="4zi8LPTiD+u8xUaXik+h75Vqn28Xk9z5S91wGmpn9k3eZTQh187ybM0kr2eGkTDVary6Qyd3ENpI3kzonJxT9g==" saltValue="e7J6rxLTgVlUlZTz8cJqkQ==" spinCount="100000" sheet="1" objects="1" scenarios="1"/>
  <mergeCells count="44">
    <mergeCell ref="C96:C97"/>
    <mergeCell ref="E84:E86"/>
    <mergeCell ref="C69:C86"/>
    <mergeCell ref="B100:O100"/>
    <mergeCell ref="O10:O12"/>
    <mergeCell ref="J10:J12"/>
    <mergeCell ref="K10:N10"/>
    <mergeCell ref="B10:B12"/>
    <mergeCell ref="C10:C12"/>
    <mergeCell ref="D10:D12"/>
    <mergeCell ref="F10:F12"/>
    <mergeCell ref="H10:H12"/>
    <mergeCell ref="G10:G12"/>
    <mergeCell ref="B48:B95"/>
    <mergeCell ref="B96:B99"/>
    <mergeCell ref="C55:C60"/>
    <mergeCell ref="C13:C23"/>
    <mergeCell ref="C30:C32"/>
    <mergeCell ref="C24:C29"/>
    <mergeCell ref="B13:B32"/>
    <mergeCell ref="N2:O2"/>
    <mergeCell ref="N5:O5"/>
    <mergeCell ref="N6:O6"/>
    <mergeCell ref="B8:O8"/>
    <mergeCell ref="E10:E12"/>
    <mergeCell ref="C2:M6"/>
    <mergeCell ref="I10:I12"/>
    <mergeCell ref="B2:B6"/>
    <mergeCell ref="C33:C34"/>
    <mergeCell ref="C35:C36"/>
    <mergeCell ref="C37:C39"/>
    <mergeCell ref="B33:B39"/>
    <mergeCell ref="B101:F101"/>
    <mergeCell ref="C40:C41"/>
    <mergeCell ref="C42:C43"/>
    <mergeCell ref="C45:C47"/>
    <mergeCell ref="B40:B47"/>
    <mergeCell ref="C48:C54"/>
    <mergeCell ref="C61:C68"/>
    <mergeCell ref="E82:E83"/>
    <mergeCell ref="D82:D83"/>
    <mergeCell ref="C87:C92"/>
    <mergeCell ref="C93:C94"/>
    <mergeCell ref="D84:D86"/>
  </mergeCell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1C16A-CE5F-4B30-8F0A-93E55768B805}">
  <sheetPr>
    <tabColor rgb="FF92D050"/>
  </sheetPr>
  <dimension ref="B1:BH31"/>
  <sheetViews>
    <sheetView showGridLines="0" zoomScale="55" zoomScaleNormal="55" workbookViewId="0">
      <selection activeCell="B27" sqref="B27"/>
    </sheetView>
  </sheetViews>
  <sheetFormatPr baseColWidth="10" defaultColWidth="17.33203125" defaultRowHeight="15" customHeight="1"/>
  <cols>
    <col min="1" max="1" width="4.33203125" style="124" customWidth="1"/>
    <col min="2" max="2" width="58.6640625" style="122" customWidth="1"/>
    <col min="3" max="3" width="56.109375" style="122" customWidth="1"/>
    <col min="4" max="4" width="49.6640625" style="122" customWidth="1"/>
    <col min="5" max="6" width="27.5546875" style="122" customWidth="1"/>
    <col min="7" max="8" width="29.33203125" style="123" customWidth="1"/>
    <col min="9" max="9" width="36.33203125" style="122" customWidth="1"/>
    <col min="10" max="10" width="39.6640625" style="122" customWidth="1"/>
    <col min="11" max="11" width="58.44140625" style="122" customWidth="1"/>
    <col min="12" max="12" width="48.44140625" style="122" customWidth="1"/>
    <col min="13" max="14" width="28.5546875" style="122" customWidth="1"/>
    <col min="15" max="15" width="50" style="122" customWidth="1"/>
    <col min="16" max="47" width="15.88671875" style="124" customWidth="1"/>
    <col min="48" max="48" width="24.5546875" style="124" customWidth="1"/>
    <col min="49" max="49" width="22.88671875" style="124" customWidth="1"/>
    <col min="50" max="50" width="19.33203125" style="124" customWidth="1"/>
    <col min="51" max="51" width="18.44140625" style="124" customWidth="1"/>
    <col min="52" max="52" width="19.44140625" style="124" customWidth="1"/>
    <col min="53" max="53" width="23.33203125" style="124" customWidth="1"/>
    <col min="54" max="55" width="25.109375" style="124" customWidth="1"/>
    <col min="56" max="56" width="26.6640625" style="124" customWidth="1"/>
    <col min="57" max="57" width="26.33203125" style="124" customWidth="1"/>
    <col min="58" max="58" width="26.5546875" style="124" customWidth="1"/>
    <col min="59" max="59" width="26.33203125" style="124" customWidth="1"/>
    <col min="60" max="60" width="27.33203125" style="124" customWidth="1"/>
    <col min="61" max="16384" width="17.33203125" style="124"/>
  </cols>
  <sheetData>
    <row r="1" spans="2:60" ht="15" customHeight="1" thickBot="1"/>
    <row r="2" spans="2:60" ht="16.5" customHeight="1">
      <c r="B2" s="489" t="s">
        <v>671</v>
      </c>
      <c r="C2" s="534" t="s">
        <v>117</v>
      </c>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35"/>
      <c r="AL2" s="535"/>
      <c r="AM2" s="535"/>
      <c r="AN2" s="535"/>
      <c r="AO2" s="535"/>
      <c r="AP2" s="535"/>
      <c r="AQ2" s="535"/>
      <c r="AR2" s="535"/>
      <c r="AS2" s="535"/>
      <c r="AT2" s="535"/>
      <c r="AU2" s="535"/>
      <c r="AV2" s="535"/>
      <c r="AW2" s="535"/>
      <c r="AX2" s="535"/>
      <c r="AY2" s="535"/>
      <c r="AZ2" s="535"/>
      <c r="BA2" s="535"/>
      <c r="BB2" s="535"/>
      <c r="BC2" s="535"/>
      <c r="BD2" s="535"/>
      <c r="BE2" s="535"/>
      <c r="BF2" s="536"/>
      <c r="BG2" s="190" t="s">
        <v>31</v>
      </c>
      <c r="BH2" s="191"/>
    </row>
    <row r="3" spans="2:60" ht="16.5" customHeight="1">
      <c r="B3" s="490"/>
      <c r="C3" s="537"/>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8"/>
      <c r="AZ3" s="538"/>
      <c r="BA3" s="538"/>
      <c r="BB3" s="538"/>
      <c r="BC3" s="538"/>
      <c r="BD3" s="538"/>
      <c r="BE3" s="538"/>
      <c r="BF3" s="539"/>
      <c r="BG3" s="192" t="s">
        <v>28</v>
      </c>
      <c r="BH3" s="17" t="s">
        <v>29</v>
      </c>
    </row>
    <row r="4" spans="2:60" ht="16.5" customHeight="1">
      <c r="B4" s="490"/>
      <c r="C4" s="537"/>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538"/>
      <c r="BF4" s="539"/>
      <c r="BG4" s="193">
        <v>5</v>
      </c>
      <c r="BH4" s="18" t="s">
        <v>635</v>
      </c>
    </row>
    <row r="5" spans="2:60" ht="16.5" customHeight="1">
      <c r="B5" s="490"/>
      <c r="C5" s="537"/>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538"/>
      <c r="BF5" s="539"/>
      <c r="BG5" s="194" t="s">
        <v>30</v>
      </c>
      <c r="BH5" s="195"/>
    </row>
    <row r="6" spans="2:60" ht="16.5" customHeight="1" thickBot="1">
      <c r="B6" s="491"/>
      <c r="C6" s="540"/>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1"/>
      <c r="AN6" s="541"/>
      <c r="AO6" s="541"/>
      <c r="AP6" s="541"/>
      <c r="AQ6" s="541"/>
      <c r="AR6" s="541"/>
      <c r="AS6" s="541"/>
      <c r="AT6" s="541"/>
      <c r="AU6" s="541"/>
      <c r="AV6" s="541"/>
      <c r="AW6" s="541"/>
      <c r="AX6" s="541"/>
      <c r="AY6" s="541"/>
      <c r="AZ6" s="541"/>
      <c r="BA6" s="541"/>
      <c r="BB6" s="541"/>
      <c r="BC6" s="541"/>
      <c r="BD6" s="541"/>
      <c r="BE6" s="541"/>
      <c r="BF6" s="542"/>
      <c r="BG6" s="556">
        <v>43941</v>
      </c>
      <c r="BH6" s="557"/>
    </row>
    <row r="7" spans="2:60" ht="19.5" customHeight="1">
      <c r="B7" s="125"/>
      <c r="C7" s="125"/>
      <c r="D7" s="125"/>
      <c r="E7" s="125"/>
      <c r="F7" s="125"/>
      <c r="G7" s="126"/>
      <c r="H7" s="126"/>
      <c r="I7" s="125"/>
      <c r="J7" s="125"/>
      <c r="K7" s="125"/>
      <c r="L7" s="125"/>
      <c r="M7" s="125"/>
      <c r="N7" s="125"/>
      <c r="O7" s="125"/>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528"/>
      <c r="AX7" s="529"/>
      <c r="AY7" s="529"/>
      <c r="AZ7" s="529"/>
      <c r="BA7" s="530"/>
      <c r="BB7" s="370"/>
      <c r="BC7" s="370"/>
      <c r="BD7" s="370"/>
      <c r="BE7" s="127"/>
      <c r="BF7" s="127"/>
    </row>
    <row r="8" spans="2:60" ht="28.5" customHeight="1">
      <c r="B8" s="196" t="s">
        <v>45</v>
      </c>
      <c r="C8" s="544" t="s">
        <v>78</v>
      </c>
      <c r="D8" s="544"/>
      <c r="E8" s="197"/>
      <c r="F8" s="197"/>
      <c r="G8" s="197"/>
      <c r="H8" s="197"/>
      <c r="I8" s="197"/>
      <c r="J8" s="197"/>
      <c r="K8" s="197"/>
      <c r="L8" s="197"/>
      <c r="M8" s="197"/>
      <c r="N8" s="197"/>
      <c r="O8" s="197"/>
      <c r="AW8" s="370"/>
      <c r="AX8" s="370"/>
      <c r="AY8" s="370"/>
      <c r="AZ8" s="370"/>
      <c r="BA8" s="370"/>
      <c r="BB8" s="370"/>
      <c r="BC8" s="370"/>
      <c r="BD8" s="370"/>
    </row>
    <row r="9" spans="2:60" ht="98.25" customHeight="1">
      <c r="B9" s="196" t="s">
        <v>34</v>
      </c>
      <c r="C9" s="514" t="s">
        <v>355</v>
      </c>
      <c r="D9" s="515"/>
      <c r="E9" s="197"/>
      <c r="F9" s="197"/>
      <c r="G9" s="197"/>
      <c r="H9" s="197"/>
      <c r="I9" s="197"/>
      <c r="J9" s="197"/>
      <c r="K9" s="197"/>
      <c r="L9" s="197"/>
      <c r="M9" s="197"/>
      <c r="N9" s="197"/>
      <c r="O9" s="197"/>
      <c r="AW9" s="370"/>
      <c r="AX9" s="370"/>
      <c r="AY9" s="370"/>
      <c r="AZ9" s="370"/>
      <c r="BA9" s="370"/>
      <c r="BB9" s="370"/>
      <c r="BC9" s="370"/>
      <c r="BD9" s="370"/>
    </row>
    <row r="10" spans="2:60" ht="30" customHeight="1">
      <c r="B10" s="196" t="s">
        <v>100</v>
      </c>
      <c r="C10" s="516">
        <v>2022</v>
      </c>
      <c r="D10" s="517"/>
      <c r="E10" s="197"/>
      <c r="F10" s="197"/>
      <c r="G10" s="197"/>
      <c r="H10" s="197"/>
      <c r="I10" s="197"/>
      <c r="J10" s="197"/>
      <c r="K10" s="197"/>
      <c r="L10" s="197"/>
      <c r="M10" s="197"/>
      <c r="N10" s="197"/>
      <c r="O10" s="197"/>
      <c r="AW10" s="370"/>
      <c r="AX10" s="370"/>
      <c r="AY10" s="370"/>
      <c r="AZ10" s="370"/>
      <c r="BA10" s="370"/>
      <c r="BB10" s="370"/>
      <c r="BC10" s="370"/>
      <c r="BD10" s="370"/>
    </row>
    <row r="11" spans="2:60" ht="14.25" customHeight="1">
      <c r="B11" s="125"/>
      <c r="C11" s="125"/>
      <c r="D11" s="125"/>
      <c r="E11" s="125"/>
      <c r="F11" s="125"/>
      <c r="G11" s="126"/>
      <c r="H11" s="126"/>
      <c r="I11" s="125"/>
      <c r="J11" s="125"/>
      <c r="K11" s="125"/>
      <c r="L11" s="125"/>
      <c r="M11" s="125"/>
      <c r="N11" s="125"/>
      <c r="O11" s="125"/>
      <c r="AW11" s="370"/>
      <c r="AX11" s="370"/>
      <c r="AY11" s="370"/>
      <c r="AZ11" s="370"/>
      <c r="BA11" s="370"/>
      <c r="BB11" s="370"/>
      <c r="BC11" s="370"/>
      <c r="BD11" s="370"/>
    </row>
    <row r="12" spans="2:60" ht="33" customHeight="1">
      <c r="B12" s="488" t="s">
        <v>0</v>
      </c>
      <c r="C12" s="488" t="s">
        <v>52</v>
      </c>
      <c r="D12" s="526" t="s">
        <v>674</v>
      </c>
      <c r="E12" s="488" t="s">
        <v>60</v>
      </c>
      <c r="F12" s="527" t="s">
        <v>743</v>
      </c>
      <c r="G12" s="488" t="s">
        <v>57</v>
      </c>
      <c r="H12" s="488" t="s">
        <v>25</v>
      </c>
      <c r="I12" s="488" t="s">
        <v>59</v>
      </c>
      <c r="J12" s="488" t="s">
        <v>39</v>
      </c>
      <c r="K12" s="488" t="s">
        <v>36</v>
      </c>
      <c r="L12" s="488" t="s">
        <v>20</v>
      </c>
      <c r="M12" s="488" t="s">
        <v>51</v>
      </c>
      <c r="N12" s="488" t="s">
        <v>40</v>
      </c>
      <c r="O12" s="488" t="s">
        <v>42</v>
      </c>
      <c r="P12" s="533" t="s">
        <v>111</v>
      </c>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3"/>
      <c r="AN12" s="533"/>
      <c r="AO12" s="533"/>
      <c r="AP12" s="533"/>
      <c r="AQ12" s="533"/>
      <c r="AR12" s="533"/>
      <c r="AS12" s="533"/>
      <c r="AT12" s="533"/>
      <c r="AU12" s="533"/>
      <c r="AV12" s="531" t="s">
        <v>61</v>
      </c>
      <c r="AW12" s="520" t="s">
        <v>675</v>
      </c>
      <c r="AX12" s="521"/>
      <c r="AY12" s="521"/>
      <c r="AZ12" s="522"/>
      <c r="BA12" s="508" t="s">
        <v>676</v>
      </c>
      <c r="BB12" s="509"/>
      <c r="BC12" s="509"/>
      <c r="BD12" s="510"/>
      <c r="BE12" s="502" t="s">
        <v>677</v>
      </c>
      <c r="BF12" s="503"/>
      <c r="BG12" s="503"/>
      <c r="BH12" s="504"/>
    </row>
    <row r="13" spans="2:60" ht="21.75" customHeight="1">
      <c r="B13" s="488"/>
      <c r="C13" s="488"/>
      <c r="D13" s="526"/>
      <c r="E13" s="488"/>
      <c r="F13" s="527"/>
      <c r="G13" s="488"/>
      <c r="H13" s="488"/>
      <c r="I13" s="488"/>
      <c r="J13" s="488"/>
      <c r="K13" s="488"/>
      <c r="L13" s="488"/>
      <c r="M13" s="488"/>
      <c r="N13" s="488"/>
      <c r="O13" s="488"/>
      <c r="P13" s="532" t="s">
        <v>21</v>
      </c>
      <c r="Q13" s="532"/>
      <c r="R13" s="532"/>
      <c r="S13" s="532"/>
      <c r="T13" s="532"/>
      <c r="U13" s="532"/>
      <c r="V13" s="532"/>
      <c r="W13" s="532"/>
      <c r="X13" s="532" t="s">
        <v>22</v>
      </c>
      <c r="Y13" s="532"/>
      <c r="Z13" s="532"/>
      <c r="AA13" s="532"/>
      <c r="AB13" s="532"/>
      <c r="AC13" s="532"/>
      <c r="AD13" s="532"/>
      <c r="AE13" s="532"/>
      <c r="AF13" s="532" t="s">
        <v>23</v>
      </c>
      <c r="AG13" s="532"/>
      <c r="AH13" s="532"/>
      <c r="AI13" s="532"/>
      <c r="AJ13" s="532"/>
      <c r="AK13" s="532"/>
      <c r="AL13" s="532"/>
      <c r="AM13" s="532"/>
      <c r="AN13" s="532" t="s">
        <v>24</v>
      </c>
      <c r="AO13" s="532"/>
      <c r="AP13" s="532"/>
      <c r="AQ13" s="532"/>
      <c r="AR13" s="532"/>
      <c r="AS13" s="532"/>
      <c r="AT13" s="532"/>
      <c r="AU13" s="532"/>
      <c r="AV13" s="531"/>
      <c r="AW13" s="523" t="s">
        <v>118</v>
      </c>
      <c r="AX13" s="523" t="s">
        <v>22</v>
      </c>
      <c r="AY13" s="523" t="s">
        <v>119</v>
      </c>
      <c r="AZ13" s="523" t="s">
        <v>120</v>
      </c>
      <c r="BA13" s="511" t="s">
        <v>118</v>
      </c>
      <c r="BB13" s="511" t="s">
        <v>121</v>
      </c>
      <c r="BC13" s="511" t="s">
        <v>122</v>
      </c>
      <c r="BD13" s="511" t="s">
        <v>123</v>
      </c>
      <c r="BE13" s="505" t="s">
        <v>21</v>
      </c>
      <c r="BF13" s="505" t="s">
        <v>22</v>
      </c>
      <c r="BG13" s="505" t="s">
        <v>23</v>
      </c>
      <c r="BH13" s="505" t="s">
        <v>24</v>
      </c>
    </row>
    <row r="14" spans="2:60" ht="21.75" customHeight="1">
      <c r="B14" s="488"/>
      <c r="C14" s="488"/>
      <c r="D14" s="526"/>
      <c r="E14" s="488"/>
      <c r="F14" s="527"/>
      <c r="G14" s="488"/>
      <c r="H14" s="488"/>
      <c r="I14" s="488"/>
      <c r="J14" s="488"/>
      <c r="K14" s="488"/>
      <c r="L14" s="488"/>
      <c r="M14" s="488"/>
      <c r="N14" s="488"/>
      <c r="O14" s="488"/>
      <c r="P14" s="543" t="s">
        <v>5</v>
      </c>
      <c r="Q14" s="543"/>
      <c r="R14" s="543" t="s">
        <v>6</v>
      </c>
      <c r="S14" s="543"/>
      <c r="T14" s="543" t="s">
        <v>7</v>
      </c>
      <c r="U14" s="543"/>
      <c r="V14" s="533" t="s">
        <v>8</v>
      </c>
      <c r="W14" s="533"/>
      <c r="X14" s="543" t="s">
        <v>27</v>
      </c>
      <c r="Y14" s="543"/>
      <c r="Z14" s="543" t="s">
        <v>9</v>
      </c>
      <c r="AA14" s="543"/>
      <c r="AB14" s="543" t="s">
        <v>10</v>
      </c>
      <c r="AC14" s="543"/>
      <c r="AD14" s="533" t="s">
        <v>8</v>
      </c>
      <c r="AE14" s="533"/>
      <c r="AF14" s="543" t="s">
        <v>11</v>
      </c>
      <c r="AG14" s="543"/>
      <c r="AH14" s="543" t="s">
        <v>12</v>
      </c>
      <c r="AI14" s="543"/>
      <c r="AJ14" s="543" t="s">
        <v>13</v>
      </c>
      <c r="AK14" s="543"/>
      <c r="AL14" s="533" t="s">
        <v>8</v>
      </c>
      <c r="AM14" s="533"/>
      <c r="AN14" s="543" t="s">
        <v>14</v>
      </c>
      <c r="AO14" s="543"/>
      <c r="AP14" s="543" t="s">
        <v>15</v>
      </c>
      <c r="AQ14" s="543"/>
      <c r="AR14" s="543" t="s">
        <v>16</v>
      </c>
      <c r="AS14" s="543"/>
      <c r="AT14" s="533" t="s">
        <v>8</v>
      </c>
      <c r="AU14" s="533"/>
      <c r="AV14" s="531"/>
      <c r="AW14" s="524"/>
      <c r="AX14" s="524"/>
      <c r="AY14" s="524"/>
      <c r="AZ14" s="524"/>
      <c r="BA14" s="512"/>
      <c r="BB14" s="512"/>
      <c r="BC14" s="512"/>
      <c r="BD14" s="512"/>
      <c r="BE14" s="506"/>
      <c r="BF14" s="506"/>
      <c r="BG14" s="506"/>
      <c r="BH14" s="506"/>
    </row>
    <row r="15" spans="2:60" ht="21.75" customHeight="1">
      <c r="B15" s="488"/>
      <c r="C15" s="488"/>
      <c r="D15" s="526"/>
      <c r="E15" s="488"/>
      <c r="F15" s="527"/>
      <c r="G15" s="488"/>
      <c r="H15" s="488"/>
      <c r="I15" s="488"/>
      <c r="J15" s="488"/>
      <c r="K15" s="488"/>
      <c r="L15" s="488"/>
      <c r="M15" s="488"/>
      <c r="N15" s="488"/>
      <c r="O15" s="488"/>
      <c r="P15" s="59" t="s">
        <v>17</v>
      </c>
      <c r="Q15" s="60" t="s">
        <v>18</v>
      </c>
      <c r="R15" s="59" t="s">
        <v>17</v>
      </c>
      <c r="S15" s="60" t="s">
        <v>18</v>
      </c>
      <c r="T15" s="59" t="s">
        <v>17</v>
      </c>
      <c r="U15" s="60" t="s">
        <v>18</v>
      </c>
      <c r="V15" s="61" t="s">
        <v>17</v>
      </c>
      <c r="W15" s="62" t="s">
        <v>18</v>
      </c>
      <c r="X15" s="59" t="s">
        <v>17</v>
      </c>
      <c r="Y15" s="60" t="s">
        <v>18</v>
      </c>
      <c r="Z15" s="59" t="s">
        <v>17</v>
      </c>
      <c r="AA15" s="60" t="s">
        <v>18</v>
      </c>
      <c r="AB15" s="59" t="s">
        <v>17</v>
      </c>
      <c r="AC15" s="60" t="s">
        <v>18</v>
      </c>
      <c r="AD15" s="61" t="s">
        <v>17</v>
      </c>
      <c r="AE15" s="62" t="s">
        <v>18</v>
      </c>
      <c r="AF15" s="59" t="s">
        <v>17</v>
      </c>
      <c r="AG15" s="60" t="s">
        <v>18</v>
      </c>
      <c r="AH15" s="59" t="s">
        <v>17</v>
      </c>
      <c r="AI15" s="60" t="s">
        <v>18</v>
      </c>
      <c r="AJ15" s="59" t="s">
        <v>17</v>
      </c>
      <c r="AK15" s="60" t="s">
        <v>18</v>
      </c>
      <c r="AL15" s="61" t="s">
        <v>17</v>
      </c>
      <c r="AM15" s="62" t="s">
        <v>18</v>
      </c>
      <c r="AN15" s="59" t="s">
        <v>17</v>
      </c>
      <c r="AO15" s="60" t="s">
        <v>18</v>
      </c>
      <c r="AP15" s="59" t="s">
        <v>17</v>
      </c>
      <c r="AQ15" s="60" t="s">
        <v>18</v>
      </c>
      <c r="AR15" s="59" t="s">
        <v>17</v>
      </c>
      <c r="AS15" s="60" t="s">
        <v>18</v>
      </c>
      <c r="AT15" s="61" t="s">
        <v>17</v>
      </c>
      <c r="AU15" s="62" t="s">
        <v>18</v>
      </c>
      <c r="AV15" s="531"/>
      <c r="AW15" s="525"/>
      <c r="AX15" s="525"/>
      <c r="AY15" s="525"/>
      <c r="AZ15" s="525"/>
      <c r="BA15" s="513"/>
      <c r="BB15" s="513"/>
      <c r="BC15" s="513"/>
      <c r="BD15" s="513"/>
      <c r="BE15" s="507"/>
      <c r="BF15" s="507"/>
      <c r="BG15" s="507"/>
      <c r="BH15" s="507"/>
    </row>
    <row r="16" spans="2:60" ht="165" customHeight="1">
      <c r="B16" s="500"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500" t="str">
        <f>+'01-FR-03 POA INSTITUCIONAL'!C55</f>
        <v>4.2. Consolidar el 90% del Modelo Integrado de Planeación y Gestión –MIPG- y sus sistemas de gestión articulados, como compromiso con la Calidad, la Excelencia, la Responsabilidad Ambiental y la Mejora en la prestación del Servicio.</v>
      </c>
      <c r="D16" s="368" t="str">
        <f>+'01-FR-03 POA INSTITUCIONAL'!D55</f>
        <v>4.2.1 Formular e implementar el 100% de las acciones para la Sostenibilidad y mejora del Sistema de Gestión de la Calidad 
-SGC- (Meta Transversal)</v>
      </c>
      <c r="E16" s="20">
        <f>+'01-FR-03 POA INSTITUCIONAL'!E55</f>
        <v>0.2</v>
      </c>
      <c r="F16" s="149">
        <f>+'01-FR-03 POA INSTITUCIONAL'!F55</f>
        <v>1</v>
      </c>
      <c r="G16" s="149">
        <f>+'01-FR-03 POA INSTITUCIONAL'!L55</f>
        <v>1</v>
      </c>
      <c r="H16" s="21">
        <f>+'01-FR-03 POA INSTITUCIONAL'!G55</f>
        <v>1</v>
      </c>
      <c r="I16" s="21" t="str">
        <f>+'01-FR-03 POA INSTITUCIONAL'!H55</f>
        <v xml:space="preserve">Porcentaje de acciones implementadas para la sostenibilidad y mejora del SGC </v>
      </c>
      <c r="J16" s="198" t="s">
        <v>669</v>
      </c>
      <c r="K16" s="199" t="s">
        <v>747</v>
      </c>
      <c r="L16" s="200" t="s">
        <v>162</v>
      </c>
      <c r="M16" s="201" t="s">
        <v>348</v>
      </c>
      <c r="N16" s="200" t="s">
        <v>350</v>
      </c>
      <c r="O16" s="22" t="str">
        <f>+'01-FR-03 POA INSTITUCIONAL'!J55</f>
        <v>Dirección de Planeación
Aportan: Dependencias lideradas por  Responsables de procesos y operativos de todos los procesos institucionales</v>
      </c>
      <c r="P16" s="202">
        <v>0</v>
      </c>
      <c r="Q16" s="202"/>
      <c r="R16" s="202">
        <v>0.2</v>
      </c>
      <c r="S16" s="202"/>
      <c r="T16" s="202">
        <v>0.04</v>
      </c>
      <c r="U16" s="202"/>
      <c r="V16" s="51">
        <f>P16+R16+T16</f>
        <v>0.24000000000000002</v>
      </c>
      <c r="W16" s="51">
        <f>Q16+S16+U16</f>
        <v>0</v>
      </c>
      <c r="X16" s="202">
        <v>0.11</v>
      </c>
      <c r="Y16" s="202"/>
      <c r="Z16" s="202">
        <v>0.08</v>
      </c>
      <c r="AA16" s="202"/>
      <c r="AB16" s="202">
        <v>0.08</v>
      </c>
      <c r="AC16" s="202"/>
      <c r="AD16" s="51">
        <f>X16+Z16+AB16</f>
        <v>0.27</v>
      </c>
      <c r="AE16" s="51">
        <f>Y16+AA16+AC16</f>
        <v>0</v>
      </c>
      <c r="AF16" s="202">
        <v>0.11</v>
      </c>
      <c r="AG16" s="202"/>
      <c r="AH16" s="202">
        <v>0.08</v>
      </c>
      <c r="AI16" s="202"/>
      <c r="AJ16" s="203">
        <v>0.08</v>
      </c>
      <c r="AK16" s="203"/>
      <c r="AL16" s="51">
        <f>AF16+AH16+AJ16</f>
        <v>0.27</v>
      </c>
      <c r="AM16" s="51">
        <f>AG16+AI16+AK16</f>
        <v>0</v>
      </c>
      <c r="AN16" s="202">
        <v>0.11</v>
      </c>
      <c r="AO16" s="202"/>
      <c r="AP16" s="202">
        <v>0.08</v>
      </c>
      <c r="AQ16" s="202"/>
      <c r="AR16" s="202">
        <v>0.03</v>
      </c>
      <c r="AS16" s="202"/>
      <c r="AT16" s="51">
        <f>AN16+AP16+AR16</f>
        <v>0.22</v>
      </c>
      <c r="AU16" s="51">
        <f>AO16+AQ16+AS16</f>
        <v>0</v>
      </c>
      <c r="AV16" s="51">
        <f>V16+AD16+AL16+AT16</f>
        <v>1</v>
      </c>
      <c r="AW16" s="15">
        <f>+W16</f>
        <v>0</v>
      </c>
      <c r="AX16" s="15">
        <f>+W16+AE16</f>
        <v>0</v>
      </c>
      <c r="AY16" s="15">
        <f>+W16+AE16+AM16</f>
        <v>0</v>
      </c>
      <c r="AZ16" s="15">
        <f>+W16+AE16+AM16+AU16</f>
        <v>0</v>
      </c>
      <c r="BA16" s="16">
        <f>IF(AND(AW16&gt;0,$AV16&gt;0),AW16/$AV16,0)</f>
        <v>0</v>
      </c>
      <c r="BB16" s="16">
        <f t="shared" ref="BB16:BD16" si="0">IF(AND(AX16&gt;0,$AV16&gt;0),AX16/$AV16,0)</f>
        <v>0</v>
      </c>
      <c r="BC16" s="16">
        <f t="shared" si="0"/>
        <v>0</v>
      </c>
      <c r="BD16" s="16">
        <f t="shared" si="0"/>
        <v>0</v>
      </c>
      <c r="BE16" s="16">
        <f t="shared" ref="BE16" si="1">(IF(AND(AW16&gt;0,$AV16&gt;0),AW16/$AV16,0))*$E16</f>
        <v>0</v>
      </c>
      <c r="BF16" s="16">
        <f>(IF(AND(AX16&gt;0,$AV16&gt;0),AX16/$AV16,0))*$E16</f>
        <v>0</v>
      </c>
      <c r="BG16" s="16">
        <f>(IF(AND(AY16&gt;0,$AV16&gt;0),AY16/$AV16,0))*$E16</f>
        <v>0</v>
      </c>
      <c r="BH16" s="16">
        <f>(IF(AND(AZ16&gt;0,$AV16&gt;0),AZ16/$AV16,0))*$E16</f>
        <v>0</v>
      </c>
    </row>
    <row r="17" spans="2:60" ht="275.25" customHeight="1">
      <c r="B17" s="501"/>
      <c r="C17" s="501"/>
      <c r="D17" s="368" t="str">
        <f>+'01-FR-03 POA INSTITUCIONAL'!D56</f>
        <v>4.2.2 Implementar el 40% de las actividades requeridas para la sostenibilidad y mejora del MIPG, de acuerdo con la metodología establecida por la Función Pública. (Meta Transversal)</v>
      </c>
      <c r="E17" s="20">
        <f>+'01-FR-03 POA INSTITUCIONAL'!E56</f>
        <v>0.2</v>
      </c>
      <c r="F17" s="149">
        <f>+'01-FR-03 POA INSTITUCIONAL'!F56</f>
        <v>0.4</v>
      </c>
      <c r="G17" s="149">
        <f>+'01-FR-03 POA INSTITUCIONAL'!L56</f>
        <v>0.14000000000000001</v>
      </c>
      <c r="H17" s="21">
        <f>+'01-FR-03 POA INSTITUCIONAL'!G56</f>
        <v>0.6</v>
      </c>
      <c r="I17" s="21" t="str">
        <f>+'01-FR-03 POA INSTITUCIONAL'!H56</f>
        <v>Porcentaje de actividades implementadas para la sostenibilidad  y mejora del MIPG</v>
      </c>
      <c r="J17" s="198" t="s">
        <v>670</v>
      </c>
      <c r="K17" s="204" t="s">
        <v>656</v>
      </c>
      <c r="L17" s="200" t="s">
        <v>347</v>
      </c>
      <c r="M17" s="201" t="s">
        <v>348</v>
      </c>
      <c r="N17" s="200" t="s">
        <v>349</v>
      </c>
      <c r="O17" s="22" t="str">
        <f>+'01-FR-03 POA INSTITUCIONAL'!J56</f>
        <v>Dirección de Planeación
Aportan: Dependencias lideradas por  Responsables de procesos y operativos de todos los procesos institucionales</v>
      </c>
      <c r="P17" s="355">
        <v>0</v>
      </c>
      <c r="Q17" s="355"/>
      <c r="R17" s="355">
        <v>0.04</v>
      </c>
      <c r="S17" s="355"/>
      <c r="T17" s="355">
        <v>1.0999999999999999E-2</v>
      </c>
      <c r="U17" s="355"/>
      <c r="V17" s="356">
        <f>P17+R17+T17</f>
        <v>5.1000000000000004E-2</v>
      </c>
      <c r="W17" s="356">
        <f>Q17+S17+U17</f>
        <v>0</v>
      </c>
      <c r="X17" s="355">
        <v>1.32E-2</v>
      </c>
      <c r="Y17" s="355"/>
      <c r="Z17" s="355">
        <v>1.32E-2</v>
      </c>
      <c r="AA17" s="355"/>
      <c r="AB17" s="355">
        <v>9.5999999999999992E-3</v>
      </c>
      <c r="AC17" s="355"/>
      <c r="AD17" s="356">
        <f>X17+Z17+AB17</f>
        <v>3.5999999999999997E-2</v>
      </c>
      <c r="AE17" s="356">
        <f>Y17+AA17+AC17</f>
        <v>0</v>
      </c>
      <c r="AF17" s="355">
        <v>8.0000000000000002E-3</v>
      </c>
      <c r="AG17" s="355"/>
      <c r="AH17" s="355">
        <v>8.0000000000000002E-3</v>
      </c>
      <c r="AI17" s="355"/>
      <c r="AJ17" s="357">
        <v>1.0999999999999999E-2</v>
      </c>
      <c r="AK17" s="357"/>
      <c r="AL17" s="356">
        <f>AF17+AH17+AJ17</f>
        <v>2.7E-2</v>
      </c>
      <c r="AM17" s="356">
        <f>AG17+AI17+AK17</f>
        <v>0</v>
      </c>
      <c r="AN17" s="355">
        <v>8.0000000000000002E-3</v>
      </c>
      <c r="AO17" s="355"/>
      <c r="AP17" s="355">
        <v>8.0000000000000002E-3</v>
      </c>
      <c r="AQ17" s="355"/>
      <c r="AR17" s="355">
        <v>0.01</v>
      </c>
      <c r="AS17" s="355"/>
      <c r="AT17" s="356">
        <f>AN17+AP17+AR17</f>
        <v>2.6000000000000002E-2</v>
      </c>
      <c r="AU17" s="356">
        <f>AO17+AQ17+AS17</f>
        <v>0</v>
      </c>
      <c r="AV17" s="358">
        <f t="shared" ref="AV17:AV19" si="2">V17+AD17+AL17+AT17</f>
        <v>0.13999999999999999</v>
      </c>
      <c r="AW17" s="358">
        <f t="shared" ref="AW17:AW19" si="3">+W17</f>
        <v>0</v>
      </c>
      <c r="AX17" s="358">
        <f t="shared" ref="AX17:AX19" si="4">+W17+AE17</f>
        <v>0</v>
      </c>
      <c r="AY17" s="358">
        <f t="shared" ref="AY17:AY19" si="5">+W17+AE17+AM17</f>
        <v>0</v>
      </c>
      <c r="AZ17" s="358">
        <f t="shared" ref="AZ17:AZ19" si="6">+W17+AE17+AM17+AU17</f>
        <v>0</v>
      </c>
      <c r="BA17" s="16">
        <f t="shared" ref="BA17:BA19" si="7">IF(AND(AW17&gt;0,$AV17&gt;0),AW17/$AV17,0)</f>
        <v>0</v>
      </c>
      <c r="BB17" s="16">
        <f t="shared" ref="BB17:BB19" si="8">IF(AND(AX17&gt;0,$AV17&gt;0),AX17/$AV17,0)</f>
        <v>0</v>
      </c>
      <c r="BC17" s="16">
        <f t="shared" ref="BC17:BC19" si="9">IF(AND(AY17&gt;0,$AV17&gt;0),AY17/$AV17,0)</f>
        <v>0</v>
      </c>
      <c r="BD17" s="16">
        <f t="shared" ref="BD17:BD19" si="10">IF(AND(AZ17&gt;0,$AV17&gt;0),AZ17/$AV17,0)</f>
        <v>0</v>
      </c>
      <c r="BE17" s="16">
        <f t="shared" ref="BE17:BE19" si="11">(IF(AND(AW17&gt;0,$AV17&gt;0),AW17/$AV17,0))*$E17</f>
        <v>0</v>
      </c>
      <c r="BF17" s="16">
        <f t="shared" ref="BF17:BF19" si="12">(IF(AND(AX17&gt;0,$AV17&gt;0),AX17/$AV17,0))*$E17</f>
        <v>0</v>
      </c>
      <c r="BG17" s="16">
        <f t="shared" ref="BG17:BG19" si="13">(IF(AND(AY17&gt;0,$AV17&gt;0),AY17/$AV17,0))*$E17</f>
        <v>0</v>
      </c>
      <c r="BH17" s="16">
        <f t="shared" ref="BH17:BH19" si="14">(IF(AND(AZ17&gt;0,$AV17&gt;0),AZ17/$AV17,0))*$E17</f>
        <v>0</v>
      </c>
    </row>
    <row r="18" spans="2:60" ht="75.75" customHeight="1">
      <c r="B18" s="501"/>
      <c r="C18" s="501"/>
      <c r="D18" s="368" t="str">
        <f>+'01-FR-03 POA INSTITUCIONAL'!D57</f>
        <v>4.2.3 Implementar el 100% de los requisitos del Sistema de Gestión Ambiental –SGA-, bajo los estándares de la norma ISO 14001</v>
      </c>
      <c r="E18" s="20">
        <f>+'01-FR-03 POA INSTITUCIONAL'!E57</f>
        <v>0.15</v>
      </c>
      <c r="F18" s="149">
        <f>+'01-FR-03 POA INSTITUCIONAL'!F57</f>
        <v>1</v>
      </c>
      <c r="G18" s="149">
        <f>+'01-FR-03 POA INSTITUCIONAL'!L57</f>
        <v>0.33</v>
      </c>
      <c r="H18" s="21" t="str">
        <f>+'01-FR-03 POA INSTITUCIONAL'!G57</f>
        <v>S.I.</v>
      </c>
      <c r="I18" s="21" t="str">
        <f>+'01-FR-03 POA INSTITUCIONAL'!H57</f>
        <v xml:space="preserve">Porcentaje de requisitos del  SGA implementados bajo los estándares de la norma ISO 14001 </v>
      </c>
      <c r="J18" s="198" t="s">
        <v>159</v>
      </c>
      <c r="K18" s="199" t="s">
        <v>351</v>
      </c>
      <c r="L18" s="200" t="s">
        <v>352</v>
      </c>
      <c r="M18" s="200" t="s">
        <v>348</v>
      </c>
      <c r="N18" s="200" t="s">
        <v>349</v>
      </c>
      <c r="O18" s="22" t="str">
        <f>+'01-FR-03 POA INSTITUCIONAL'!J57</f>
        <v>Dirección de Planeación</v>
      </c>
      <c r="P18" s="360">
        <v>2.9000000000000001E-2</v>
      </c>
      <c r="Q18" s="360"/>
      <c r="R18" s="360">
        <v>2.9000000000000001E-2</v>
      </c>
      <c r="S18" s="360"/>
      <c r="T18" s="360">
        <v>0.03</v>
      </c>
      <c r="U18" s="360"/>
      <c r="V18" s="358">
        <f t="shared" ref="V18" si="15">P18+R18+T18</f>
        <v>8.7999999999999995E-2</v>
      </c>
      <c r="W18" s="359">
        <f t="shared" ref="W18" si="16">Q18+S18+U18</f>
        <v>0</v>
      </c>
      <c r="X18" s="360">
        <v>2.9000000000000001E-2</v>
      </c>
      <c r="Y18" s="360"/>
      <c r="Z18" s="360">
        <v>2.9000000000000001E-2</v>
      </c>
      <c r="AA18" s="360"/>
      <c r="AB18" s="360">
        <v>0.03</v>
      </c>
      <c r="AC18" s="202"/>
      <c r="AD18" s="359">
        <f t="shared" ref="AD18" si="17">X18+Z18+AB18</f>
        <v>8.7999999999999995E-2</v>
      </c>
      <c r="AE18" s="359">
        <f t="shared" ref="AE18" si="18">Y18+AA18+AC18</f>
        <v>0</v>
      </c>
      <c r="AF18" s="360">
        <v>2.9000000000000001E-2</v>
      </c>
      <c r="AG18" s="360"/>
      <c r="AH18" s="360">
        <v>2.9000000000000001E-2</v>
      </c>
      <c r="AI18" s="360"/>
      <c r="AJ18" s="360">
        <v>0.03</v>
      </c>
      <c r="AK18" s="361"/>
      <c r="AL18" s="359">
        <f t="shared" ref="AL18" si="19">AF18+AH18+AJ18</f>
        <v>8.7999999999999995E-2</v>
      </c>
      <c r="AM18" s="359">
        <f t="shared" ref="AM18" si="20">AG18+AI18+AK18</f>
        <v>0</v>
      </c>
      <c r="AN18" s="360">
        <v>2.1999999999999999E-2</v>
      </c>
      <c r="AO18" s="360"/>
      <c r="AP18" s="360">
        <v>2.1999999999999999E-2</v>
      </c>
      <c r="AQ18" s="360"/>
      <c r="AR18" s="360">
        <v>2.1999999999999999E-2</v>
      </c>
      <c r="AS18" s="360"/>
      <c r="AT18" s="359">
        <f t="shared" ref="AT18" si="21">AN18+AP18+AR18</f>
        <v>6.6000000000000003E-2</v>
      </c>
      <c r="AU18" s="359">
        <f t="shared" ref="AU18" si="22">AO18+AQ18+AS18</f>
        <v>0</v>
      </c>
      <c r="AV18" s="359">
        <f t="shared" si="2"/>
        <v>0.33</v>
      </c>
      <c r="AW18" s="15">
        <f t="shared" si="3"/>
        <v>0</v>
      </c>
      <c r="AX18" s="15">
        <f t="shared" si="4"/>
        <v>0</v>
      </c>
      <c r="AY18" s="15">
        <f t="shared" si="5"/>
        <v>0</v>
      </c>
      <c r="AZ18" s="15">
        <f t="shared" si="6"/>
        <v>0</v>
      </c>
      <c r="BA18" s="16">
        <f t="shared" si="7"/>
        <v>0</v>
      </c>
      <c r="BB18" s="16">
        <f t="shared" si="8"/>
        <v>0</v>
      </c>
      <c r="BC18" s="16">
        <f t="shared" si="9"/>
        <v>0</v>
      </c>
      <c r="BD18" s="16">
        <f t="shared" si="10"/>
        <v>0</v>
      </c>
      <c r="BE18" s="16">
        <f t="shared" si="11"/>
        <v>0</v>
      </c>
      <c r="BF18" s="16">
        <f t="shared" si="12"/>
        <v>0</v>
      </c>
      <c r="BG18" s="16">
        <f t="shared" si="13"/>
        <v>0</v>
      </c>
      <c r="BH18" s="16">
        <f t="shared" si="14"/>
        <v>0</v>
      </c>
    </row>
    <row r="19" spans="2:60" ht="75.75" customHeight="1">
      <c r="B19" s="501"/>
      <c r="C19" s="501"/>
      <c r="D19" s="368" t="str">
        <f>+'01-FR-03 POA INSTITUCIONAL'!D58</f>
        <v>4.2.4 Realizar 12 acciones de monitoreo y revisión  al Plan Anticorrupción y de Atención al Ciudadano -PAAC- de la vigencia.</v>
      </c>
      <c r="E19" s="20">
        <f>+'01-FR-03 POA INSTITUCIONAL'!E58</f>
        <v>0.1</v>
      </c>
      <c r="F19" s="160">
        <f>+'01-FR-03 POA INSTITUCIONAL'!F58</f>
        <v>12</v>
      </c>
      <c r="G19" s="160">
        <f>+'01-FR-03 POA INSTITUCIONAL'!L58</f>
        <v>3</v>
      </c>
      <c r="H19" s="21" t="str">
        <f>+'01-FR-03 POA INSTITUCIONAL'!G58</f>
        <v>3 
(En el último año)</v>
      </c>
      <c r="I19" s="21" t="str">
        <f>+'01-FR-03 POA INSTITUCIONAL'!H58</f>
        <v>Acciones de monitoreo y revisión realizadas al PAAC</v>
      </c>
      <c r="J19" s="198" t="s">
        <v>161</v>
      </c>
      <c r="K19" s="199" t="s">
        <v>353</v>
      </c>
      <c r="L19" s="200" t="s">
        <v>354</v>
      </c>
      <c r="M19" s="200" t="s">
        <v>348</v>
      </c>
      <c r="N19" s="200" t="s">
        <v>349</v>
      </c>
      <c r="O19" s="22" t="str">
        <f>+'01-FR-03 POA INSTITUCIONAL'!J58</f>
        <v>Dirección de Planeación</v>
      </c>
      <c r="P19" s="205">
        <v>1</v>
      </c>
      <c r="Q19" s="205"/>
      <c r="R19" s="205">
        <v>0</v>
      </c>
      <c r="S19" s="205"/>
      <c r="T19" s="205">
        <v>0</v>
      </c>
      <c r="U19" s="205"/>
      <c r="V19" s="13">
        <f>+P19+R19+T19</f>
        <v>1</v>
      </c>
      <c r="W19" s="13">
        <f>+Q19+S19+U19</f>
        <v>0</v>
      </c>
      <c r="X19" s="205">
        <v>0</v>
      </c>
      <c r="Y19" s="205"/>
      <c r="Z19" s="205">
        <v>1</v>
      </c>
      <c r="AA19" s="205"/>
      <c r="AB19" s="205">
        <v>0</v>
      </c>
      <c r="AC19" s="205"/>
      <c r="AD19" s="13">
        <f>+X19+Z19+AB19</f>
        <v>1</v>
      </c>
      <c r="AE19" s="13">
        <f>+Y19+AA19+AC19</f>
        <v>0</v>
      </c>
      <c r="AF19" s="205">
        <v>0</v>
      </c>
      <c r="AG19" s="205"/>
      <c r="AH19" s="205">
        <v>0</v>
      </c>
      <c r="AI19" s="205"/>
      <c r="AJ19" s="206">
        <v>1</v>
      </c>
      <c r="AK19" s="206"/>
      <c r="AL19" s="13">
        <f>+AF19+AH19+AJ19</f>
        <v>1</v>
      </c>
      <c r="AM19" s="13">
        <f>+AG19+AI19+AK19</f>
        <v>0</v>
      </c>
      <c r="AN19" s="205">
        <v>0</v>
      </c>
      <c r="AO19" s="205"/>
      <c r="AP19" s="205">
        <v>0</v>
      </c>
      <c r="AQ19" s="205"/>
      <c r="AR19" s="205">
        <v>0</v>
      </c>
      <c r="AS19" s="205"/>
      <c r="AT19" s="13">
        <f>+AN19+AP19+AR19</f>
        <v>0</v>
      </c>
      <c r="AU19" s="13">
        <f>+AO19+AQ19+AS19</f>
        <v>0</v>
      </c>
      <c r="AV19" s="13">
        <f t="shared" si="2"/>
        <v>3</v>
      </c>
      <c r="AW19" s="15">
        <f t="shared" si="3"/>
        <v>0</v>
      </c>
      <c r="AX19" s="15">
        <f t="shared" si="4"/>
        <v>0</v>
      </c>
      <c r="AY19" s="15">
        <f t="shared" si="5"/>
        <v>0</v>
      </c>
      <c r="AZ19" s="15">
        <f t="shared" si="6"/>
        <v>0</v>
      </c>
      <c r="BA19" s="16">
        <f t="shared" si="7"/>
        <v>0</v>
      </c>
      <c r="BB19" s="16">
        <f t="shared" si="8"/>
        <v>0</v>
      </c>
      <c r="BC19" s="16">
        <f t="shared" si="9"/>
        <v>0</v>
      </c>
      <c r="BD19" s="16">
        <f t="shared" si="10"/>
        <v>0</v>
      </c>
      <c r="BE19" s="16">
        <f t="shared" si="11"/>
        <v>0</v>
      </c>
      <c r="BF19" s="16">
        <f t="shared" si="12"/>
        <v>0</v>
      </c>
      <c r="BG19" s="16">
        <f t="shared" si="13"/>
        <v>0</v>
      </c>
      <c r="BH19" s="16">
        <f t="shared" si="14"/>
        <v>0</v>
      </c>
    </row>
    <row r="20" spans="2:60" ht="22.8">
      <c r="B20" s="496"/>
      <c r="C20" s="497"/>
      <c r="D20" s="497"/>
      <c r="E20" s="497"/>
      <c r="F20" s="497"/>
      <c r="G20" s="497"/>
      <c r="H20" s="497"/>
      <c r="I20" s="497"/>
      <c r="J20" s="497"/>
      <c r="K20" s="497"/>
      <c r="L20" s="497"/>
      <c r="M20" s="497"/>
      <c r="N20" s="497"/>
      <c r="O20" s="497"/>
      <c r="P20" s="497"/>
      <c r="Q20" s="497"/>
      <c r="R20" s="497"/>
      <c r="S20" s="497"/>
      <c r="T20" s="497"/>
      <c r="U20" s="497"/>
      <c r="V20" s="497"/>
      <c r="W20" s="497"/>
      <c r="X20" s="497"/>
      <c r="Y20" s="497"/>
      <c r="Z20" s="497"/>
      <c r="AA20" s="497"/>
      <c r="AB20" s="497"/>
      <c r="AC20" s="497"/>
      <c r="AD20" s="497"/>
      <c r="AE20" s="497"/>
      <c r="AF20" s="497"/>
      <c r="AG20" s="497"/>
      <c r="AH20" s="497"/>
      <c r="AI20" s="497"/>
      <c r="AJ20" s="497"/>
      <c r="AK20" s="497"/>
      <c r="AL20" s="497"/>
      <c r="AM20" s="497"/>
      <c r="AN20" s="497"/>
      <c r="AO20" s="497"/>
      <c r="AP20" s="497"/>
      <c r="AQ20" s="497"/>
      <c r="AR20" s="497"/>
      <c r="AS20" s="497"/>
      <c r="AT20" s="497"/>
      <c r="AU20" s="497"/>
      <c r="AV20" s="497"/>
      <c r="AW20" s="548"/>
      <c r="AX20" s="518" t="s">
        <v>19</v>
      </c>
      <c r="AY20" s="519"/>
      <c r="AZ20" s="519"/>
      <c r="BA20" s="56">
        <f t="shared" ref="BA20:BH20" si="23">AVERAGE(BA16:BA19)</f>
        <v>0</v>
      </c>
      <c r="BB20" s="56">
        <f t="shared" si="23"/>
        <v>0</v>
      </c>
      <c r="BC20" s="56">
        <f t="shared" si="23"/>
        <v>0</v>
      </c>
      <c r="BD20" s="56">
        <f t="shared" si="23"/>
        <v>0</v>
      </c>
      <c r="BE20" s="56">
        <f t="shared" si="23"/>
        <v>0</v>
      </c>
      <c r="BF20" s="56">
        <f t="shared" si="23"/>
        <v>0</v>
      </c>
      <c r="BG20" s="56">
        <f t="shared" si="23"/>
        <v>0</v>
      </c>
      <c r="BH20" s="56">
        <f t="shared" si="23"/>
        <v>0</v>
      </c>
    </row>
    <row r="21" spans="2:60">
      <c r="B21" s="453"/>
      <c r="C21" s="453"/>
      <c r="D21" s="453"/>
      <c r="E21" s="453"/>
      <c r="F21" s="453"/>
      <c r="G21" s="453"/>
      <c r="H21" s="188"/>
      <c r="I21" s="189"/>
      <c r="J21" s="189"/>
      <c r="K21" s="189"/>
      <c r="L21" s="189"/>
      <c r="M21" s="189"/>
      <c r="N21" s="189"/>
      <c r="O21" s="189"/>
    </row>
    <row r="22" spans="2:60">
      <c r="B22" s="189"/>
      <c r="C22" s="189"/>
      <c r="D22" s="549"/>
      <c r="E22" s="549"/>
      <c r="F22" s="549"/>
      <c r="G22" s="549"/>
      <c r="H22" s="549"/>
      <c r="I22" s="549"/>
      <c r="J22" s="549"/>
      <c r="K22" s="549"/>
      <c r="L22" s="549"/>
      <c r="M22" s="549"/>
      <c r="N22" s="549"/>
      <c r="O22" s="549"/>
    </row>
    <row r="23" spans="2:60" ht="30" customHeight="1">
      <c r="B23" s="63" t="s">
        <v>26</v>
      </c>
      <c r="C23" s="65">
        <v>44224</v>
      </c>
      <c r="D23" s="210"/>
      <c r="E23" s="558" t="s">
        <v>50</v>
      </c>
      <c r="F23" s="550" t="s">
        <v>773</v>
      </c>
      <c r="G23" s="551"/>
      <c r="H23" s="551"/>
      <c r="I23" s="551"/>
      <c r="J23" s="552"/>
      <c r="K23" s="211"/>
      <c r="L23" s="546"/>
      <c r="M23" s="546"/>
      <c r="N23" s="546"/>
      <c r="O23" s="547"/>
    </row>
    <row r="24" spans="2:60" ht="13.5" customHeight="1">
      <c r="B24" s="189"/>
      <c r="C24" s="189"/>
      <c r="D24" s="211"/>
      <c r="E24" s="558"/>
      <c r="F24" s="553"/>
      <c r="G24" s="554"/>
      <c r="H24" s="554"/>
      <c r="I24" s="554"/>
      <c r="J24" s="555"/>
      <c r="K24" s="212"/>
      <c r="L24" s="212"/>
      <c r="M24" s="212"/>
      <c r="N24" s="212"/>
      <c r="O24" s="212"/>
    </row>
    <row r="25" spans="2:60" ht="31.5" customHeight="1">
      <c r="B25" s="63" t="s">
        <v>49</v>
      </c>
      <c r="C25" s="65">
        <v>44581</v>
      </c>
      <c r="D25" s="189"/>
      <c r="E25" s="189"/>
      <c r="F25" s="189"/>
      <c r="K25" s="212"/>
      <c r="L25" s="212"/>
      <c r="M25" s="212"/>
      <c r="N25" s="212"/>
      <c r="O25" s="212"/>
    </row>
    <row r="26" spans="2:60">
      <c r="B26" s="189"/>
      <c r="C26" s="189"/>
      <c r="D26" s="189"/>
      <c r="E26" s="189"/>
      <c r="F26" s="189"/>
      <c r="K26" s="212"/>
      <c r="L26" s="212"/>
      <c r="M26" s="212"/>
      <c r="N26" s="212"/>
      <c r="O26" s="212"/>
    </row>
    <row r="27" spans="2:60" ht="15" customHeight="1">
      <c r="B27" s="189" t="s">
        <v>673</v>
      </c>
      <c r="C27" s="189"/>
      <c r="D27" s="189"/>
      <c r="E27" s="189"/>
      <c r="F27" s="189"/>
      <c r="G27" s="188"/>
      <c r="H27" s="188"/>
      <c r="I27" s="545"/>
      <c r="J27" s="545"/>
      <c r="K27" s="545"/>
      <c r="L27" s="545"/>
      <c r="M27" s="369"/>
      <c r="N27" s="369"/>
      <c r="O27" s="369"/>
    </row>
    <row r="28" spans="2:60" ht="15" customHeight="1">
      <c r="B28" s="189"/>
      <c r="C28" s="189"/>
      <c r="D28" s="189"/>
      <c r="E28" s="189"/>
      <c r="F28" s="189"/>
      <c r="G28" s="188"/>
      <c r="H28" s="188"/>
      <c r="I28" s="189"/>
      <c r="J28" s="189"/>
      <c r="K28" s="213"/>
      <c r="L28" s="189"/>
      <c r="M28" s="189"/>
      <c r="N28" s="189"/>
      <c r="O28" s="189"/>
    </row>
    <row r="29" spans="2:60" ht="15" customHeight="1">
      <c r="B29" s="189"/>
      <c r="C29" s="189"/>
      <c r="D29" s="189"/>
      <c r="E29" s="189"/>
      <c r="F29" s="189"/>
      <c r="G29" s="188"/>
      <c r="H29" s="188"/>
      <c r="I29" s="545"/>
      <c r="J29" s="545"/>
      <c r="K29" s="545"/>
      <c r="L29" s="545"/>
      <c r="M29" s="369"/>
      <c r="N29" s="369"/>
      <c r="O29" s="369"/>
    </row>
    <row r="30" spans="2:60" ht="15" customHeight="1">
      <c r="B30" s="189"/>
      <c r="C30" s="189"/>
      <c r="D30" s="189"/>
      <c r="E30" s="189"/>
      <c r="F30" s="189"/>
      <c r="G30" s="188"/>
      <c r="H30" s="188"/>
      <c r="I30" s="189"/>
      <c r="J30" s="189"/>
      <c r="K30" s="213"/>
      <c r="L30" s="189"/>
      <c r="M30" s="189"/>
      <c r="N30" s="189"/>
      <c r="O30" s="189"/>
    </row>
    <row r="31" spans="2:60" ht="15" customHeight="1">
      <c r="B31" s="189"/>
      <c r="C31" s="189"/>
      <c r="D31" s="189"/>
      <c r="E31" s="189"/>
      <c r="F31" s="189"/>
      <c r="G31" s="188"/>
      <c r="H31" s="188"/>
      <c r="I31" s="545"/>
      <c r="J31" s="545"/>
      <c r="K31" s="545"/>
      <c r="L31" s="545"/>
      <c r="M31" s="369"/>
      <c r="N31" s="369"/>
      <c r="O31" s="369"/>
    </row>
  </sheetData>
  <sheetProtection algorithmName="SHA-512" hashValue="76sqQo9RTpIEo0zO6nOsoJXK76kraTtocZ7sy4rGp3CdcWi0ykBCTy+tnzQ8Eml+5M5AR0tTyVzrC1YfZlx8Nw==" saltValue="O552qIrbkcHolvLy1iRX2A==" spinCount="100000" sheet="1" objects="1" scenarios="1"/>
  <mergeCells count="70">
    <mergeCell ref="F23:J24"/>
    <mergeCell ref="BG6:BH6"/>
    <mergeCell ref="E23:E24"/>
    <mergeCell ref="E12:E15"/>
    <mergeCell ref="V14:W14"/>
    <mergeCell ref="X14:Y14"/>
    <mergeCell ref="X13:AE13"/>
    <mergeCell ref="P14:Q14"/>
    <mergeCell ref="R14:S14"/>
    <mergeCell ref="AD14:AE14"/>
    <mergeCell ref="P12:AU12"/>
    <mergeCell ref="G12:G15"/>
    <mergeCell ref="I12:I15"/>
    <mergeCell ref="J12:J15"/>
    <mergeCell ref="H12:H15"/>
    <mergeCell ref="N12:N15"/>
    <mergeCell ref="I27:L27"/>
    <mergeCell ref="I29:L29"/>
    <mergeCell ref="I31:L31"/>
    <mergeCell ref="L23:O23"/>
    <mergeCell ref="M12:M15"/>
    <mergeCell ref="B20:AW20"/>
    <mergeCell ref="D22:O22"/>
    <mergeCell ref="AF14:AG14"/>
    <mergeCell ref="AH14:AI14"/>
    <mergeCell ref="AJ14:AK14"/>
    <mergeCell ref="AL14:AM14"/>
    <mergeCell ref="AN14:AO14"/>
    <mergeCell ref="AP14:AQ14"/>
    <mergeCell ref="T14:U14"/>
    <mergeCell ref="B12:B15"/>
    <mergeCell ref="B21:G21"/>
    <mergeCell ref="B2:B6"/>
    <mergeCell ref="AW7:BA7"/>
    <mergeCell ref="AV12:AV15"/>
    <mergeCell ref="P13:W13"/>
    <mergeCell ref="AT14:AU14"/>
    <mergeCell ref="K12:K15"/>
    <mergeCell ref="L12:L15"/>
    <mergeCell ref="O12:O15"/>
    <mergeCell ref="C2:BF6"/>
    <mergeCell ref="AB14:AC14"/>
    <mergeCell ref="AF13:AM13"/>
    <mergeCell ref="AN13:AU13"/>
    <mergeCell ref="AR14:AS14"/>
    <mergeCell ref="C12:C15"/>
    <mergeCell ref="C8:D8"/>
    <mergeCell ref="Z14:AA14"/>
    <mergeCell ref="C9:D9"/>
    <mergeCell ref="C10:D10"/>
    <mergeCell ref="AX20:AZ20"/>
    <mergeCell ref="AW12:AZ12"/>
    <mergeCell ref="AW13:AW15"/>
    <mergeCell ref="AX13:AX15"/>
    <mergeCell ref="AY13:AY15"/>
    <mergeCell ref="AZ13:AZ15"/>
    <mergeCell ref="D12:D15"/>
    <mergeCell ref="F12:F15"/>
    <mergeCell ref="B16:B19"/>
    <mergeCell ref="C16:C19"/>
    <mergeCell ref="BE12:BH12"/>
    <mergeCell ref="BE13:BE15"/>
    <mergeCell ref="BF13:BF15"/>
    <mergeCell ref="BG13:BG15"/>
    <mergeCell ref="BH13:BH15"/>
    <mergeCell ref="BA12:BD12"/>
    <mergeCell ref="BA13:BA15"/>
    <mergeCell ref="BB13:BB15"/>
    <mergeCell ref="BC13:BC15"/>
    <mergeCell ref="BD13:BD15"/>
  </mergeCells>
  <conditionalFormatting sqref="BA16:BH19">
    <cfRule type="cellIs" dxfId="176" priority="13" operator="between">
      <formula>0.7</formula>
      <formula>1</formula>
    </cfRule>
    <cfRule type="cellIs" dxfId="175" priority="14" operator="between">
      <formula>0.51</formula>
      <formula>0.69</formula>
    </cfRule>
    <cfRule type="cellIs" dxfId="174" priority="15" operator="between">
      <formula>0</formula>
      <formula>0.5</formula>
    </cfRule>
  </conditionalFormatting>
  <dataValidations count="1">
    <dataValidation allowBlank="1" showInputMessage="1" showErrorMessage="1" prompt="Transcriba de manera exacta el objetivo definido en la caracterización del proceso." sqref="C9:D9" xr:uid="{BAC3B21B-8CCF-4835-B6D9-4CF7B45FCC24}"/>
  </dataValidations>
  <pageMargins left="0.7" right="0.7" top="0.75" bottom="0.75" header="0.3" footer="0.3"/>
  <pageSetup paperSize="9" orientation="portrait" horizontalDpi="1200" verticalDpi="1200" r:id="rId1"/>
  <ignoredErrors>
    <ignoredError sqref="AW16:AZ16"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2637AD2-AC9A-4F50-B15D-18343B2DEE50}">
          <x14:formula1>
            <xm:f>LISTAS!$C$5:$C$21</xm:f>
          </x14:formula1>
          <xm:sqref>C8</xm:sqref>
        </x14:dataValidation>
        <x14:dataValidation type="list" allowBlank="1" showInputMessage="1" showErrorMessage="1" xr:uid="{95D6761B-36BF-46CA-8E71-E4A4E81D70C0}">
          <x14:formula1>
            <xm:f>LISTAS!$E$5:$E$9</xm:f>
          </x14:formula1>
          <xm:sqref>C10:D10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89279-FF01-4D53-B771-48455F7523B7}">
  <sheetPr>
    <tabColor rgb="FF92D050"/>
  </sheetPr>
  <dimension ref="B1:BH27"/>
  <sheetViews>
    <sheetView showGridLines="0" topLeftCell="C1" zoomScale="55" zoomScaleNormal="55" workbookViewId="0">
      <selection activeCell="I17" sqref="I17"/>
    </sheetView>
  </sheetViews>
  <sheetFormatPr baseColWidth="10" defaultColWidth="17.33203125" defaultRowHeight="15" customHeight="1"/>
  <cols>
    <col min="1" max="1" width="4.33203125" style="124" customWidth="1"/>
    <col min="2" max="2" width="50.44140625" style="122" customWidth="1"/>
    <col min="3" max="3" width="47.44140625" style="122" customWidth="1"/>
    <col min="4" max="4" width="49.6640625" style="122" customWidth="1"/>
    <col min="5" max="6" width="27.5546875" style="122" customWidth="1"/>
    <col min="7" max="8" width="29.33203125" style="123" customWidth="1"/>
    <col min="9" max="9" width="30.6640625" style="122" customWidth="1"/>
    <col min="10" max="10" width="31.88671875" style="122" customWidth="1"/>
    <col min="11" max="11" width="55.88671875" style="122" customWidth="1"/>
    <col min="12" max="12" width="48.44140625" style="122" customWidth="1"/>
    <col min="13" max="14" width="28.5546875" style="122" customWidth="1"/>
    <col min="15" max="15" width="50" style="122" customWidth="1"/>
    <col min="16" max="47" width="15.88671875" style="124" customWidth="1"/>
    <col min="48" max="48" width="24.5546875" style="124" customWidth="1"/>
    <col min="49" max="49" width="22.88671875" style="124" customWidth="1"/>
    <col min="50" max="50" width="19.33203125" style="124" customWidth="1"/>
    <col min="51" max="51" width="18.44140625" style="124" customWidth="1"/>
    <col min="52" max="52" width="19.44140625" style="124" customWidth="1"/>
    <col min="53" max="53" width="23.33203125" style="124" customWidth="1"/>
    <col min="54" max="55" width="25.109375" style="124" customWidth="1"/>
    <col min="56" max="56" width="26.6640625" style="124" customWidth="1"/>
    <col min="57" max="57" width="26.33203125" style="124" customWidth="1"/>
    <col min="58" max="58" width="26.5546875" style="124" customWidth="1"/>
    <col min="59" max="59" width="26.33203125" style="124" customWidth="1"/>
    <col min="60" max="60" width="27.33203125" style="124" customWidth="1"/>
    <col min="61" max="16384" width="17.33203125" style="124"/>
  </cols>
  <sheetData>
    <row r="1" spans="2:60" ht="15.6" thickBot="1"/>
    <row r="2" spans="2:60" ht="15.6" customHeight="1">
      <c r="B2" s="489" t="s">
        <v>671</v>
      </c>
      <c r="C2" s="534" t="s">
        <v>117</v>
      </c>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35"/>
      <c r="AL2" s="535"/>
      <c r="AM2" s="535"/>
      <c r="AN2" s="535"/>
      <c r="AO2" s="535"/>
      <c r="AP2" s="535"/>
      <c r="AQ2" s="535"/>
      <c r="AR2" s="535"/>
      <c r="AS2" s="535"/>
      <c r="AT2" s="535"/>
      <c r="AU2" s="535"/>
      <c r="AV2" s="535"/>
      <c r="AW2" s="535"/>
      <c r="AX2" s="535"/>
      <c r="AY2" s="535"/>
      <c r="AZ2" s="535"/>
      <c r="BA2" s="535"/>
      <c r="BB2" s="535"/>
      <c r="BC2" s="535"/>
      <c r="BD2" s="535"/>
      <c r="BE2" s="535"/>
      <c r="BF2" s="536"/>
      <c r="BG2" s="190" t="s">
        <v>31</v>
      </c>
      <c r="BH2" s="191"/>
    </row>
    <row r="3" spans="2:60" ht="15.6" customHeight="1">
      <c r="B3" s="490"/>
      <c r="C3" s="537"/>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8"/>
      <c r="AZ3" s="538"/>
      <c r="BA3" s="538"/>
      <c r="BB3" s="538"/>
      <c r="BC3" s="538"/>
      <c r="BD3" s="538"/>
      <c r="BE3" s="538"/>
      <c r="BF3" s="539"/>
      <c r="BG3" s="192" t="s">
        <v>28</v>
      </c>
      <c r="BH3" s="17" t="s">
        <v>29</v>
      </c>
    </row>
    <row r="4" spans="2:60" ht="15" customHeight="1">
      <c r="B4" s="490"/>
      <c r="C4" s="537"/>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538"/>
      <c r="BF4" s="539"/>
      <c r="BG4" s="193">
        <v>5</v>
      </c>
      <c r="BH4" s="18" t="s">
        <v>636</v>
      </c>
    </row>
    <row r="5" spans="2:60" ht="15.6" customHeight="1">
      <c r="B5" s="490"/>
      <c r="C5" s="537"/>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538"/>
      <c r="BF5" s="539"/>
      <c r="BG5" s="194" t="s">
        <v>30</v>
      </c>
      <c r="BH5" s="195"/>
    </row>
    <row r="6" spans="2:60" ht="15.6" customHeight="1" thickBot="1">
      <c r="B6" s="491"/>
      <c r="C6" s="540"/>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1"/>
      <c r="AN6" s="541"/>
      <c r="AO6" s="541"/>
      <c r="AP6" s="541"/>
      <c r="AQ6" s="541"/>
      <c r="AR6" s="541"/>
      <c r="AS6" s="541"/>
      <c r="AT6" s="541"/>
      <c r="AU6" s="541"/>
      <c r="AV6" s="541"/>
      <c r="AW6" s="541"/>
      <c r="AX6" s="541"/>
      <c r="AY6" s="541"/>
      <c r="AZ6" s="541"/>
      <c r="BA6" s="541"/>
      <c r="BB6" s="541"/>
      <c r="BC6" s="541"/>
      <c r="BD6" s="541"/>
      <c r="BE6" s="541"/>
      <c r="BF6" s="542"/>
      <c r="BG6" s="556">
        <v>43941</v>
      </c>
      <c r="BH6" s="557"/>
    </row>
    <row r="7" spans="2:60">
      <c r="B7" s="125"/>
      <c r="C7" s="125"/>
      <c r="D7" s="125"/>
      <c r="E7" s="125"/>
      <c r="F7" s="125"/>
      <c r="G7" s="126"/>
      <c r="H7" s="126"/>
      <c r="I7" s="125"/>
      <c r="J7" s="125"/>
      <c r="K7" s="125"/>
      <c r="L7" s="125"/>
      <c r="M7" s="125"/>
      <c r="N7" s="125"/>
      <c r="O7" s="125"/>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528"/>
      <c r="AX7" s="559"/>
      <c r="AY7" s="559"/>
      <c r="AZ7" s="559"/>
      <c r="BA7" s="530"/>
      <c r="BB7" s="214"/>
      <c r="BC7" s="214"/>
      <c r="BD7" s="214"/>
      <c r="BE7" s="127"/>
      <c r="BF7" s="127"/>
    </row>
    <row r="8" spans="2:60" ht="21">
      <c r="B8" s="196" t="s">
        <v>45</v>
      </c>
      <c r="C8" s="574" t="s">
        <v>79</v>
      </c>
      <c r="D8" s="574"/>
      <c r="E8" s="197"/>
      <c r="F8" s="197"/>
      <c r="G8" s="197"/>
      <c r="H8" s="197"/>
      <c r="I8" s="197"/>
      <c r="J8" s="197"/>
      <c r="K8" s="197"/>
      <c r="L8" s="197"/>
      <c r="M8" s="197"/>
      <c r="N8" s="197"/>
      <c r="O8" s="197"/>
      <c r="AW8" s="214"/>
      <c r="AX8" s="214"/>
      <c r="AY8" s="214"/>
      <c r="AZ8" s="214"/>
      <c r="BA8" s="214"/>
      <c r="BB8" s="214"/>
      <c r="BC8" s="214"/>
      <c r="BD8" s="214"/>
    </row>
    <row r="9" spans="2:60" ht="56.25" customHeight="1">
      <c r="B9" s="196" t="s">
        <v>34</v>
      </c>
      <c r="C9" s="572" t="s">
        <v>585</v>
      </c>
      <c r="D9" s="573"/>
      <c r="E9" s="197"/>
      <c r="F9" s="197"/>
      <c r="G9" s="197"/>
      <c r="H9" s="197"/>
      <c r="I9" s="197"/>
      <c r="J9" s="197"/>
      <c r="K9" s="197"/>
      <c r="L9" s="197"/>
      <c r="M9" s="197"/>
      <c r="N9" s="197"/>
      <c r="O9" s="197"/>
      <c r="AW9" s="214"/>
      <c r="AX9" s="214"/>
      <c r="AY9" s="214"/>
      <c r="AZ9" s="214"/>
      <c r="BA9" s="214"/>
      <c r="BB9" s="214"/>
      <c r="BC9" s="214"/>
      <c r="BD9" s="214"/>
    </row>
    <row r="10" spans="2:60" ht="24.6">
      <c r="B10" s="196" t="s">
        <v>100</v>
      </c>
      <c r="C10" s="516">
        <v>2022</v>
      </c>
      <c r="D10" s="517"/>
      <c r="E10" s="197"/>
      <c r="F10" s="197"/>
      <c r="G10" s="197"/>
      <c r="H10" s="197"/>
      <c r="I10" s="197"/>
      <c r="J10" s="197"/>
      <c r="K10" s="197"/>
      <c r="L10" s="197"/>
      <c r="M10" s="197"/>
      <c r="N10" s="197"/>
      <c r="O10" s="197"/>
      <c r="AW10" s="214"/>
      <c r="AX10" s="214"/>
      <c r="AY10" s="214"/>
      <c r="AZ10" s="214"/>
      <c r="BA10" s="214"/>
      <c r="BB10" s="214"/>
      <c r="BC10" s="214"/>
      <c r="BD10" s="214"/>
    </row>
    <row r="11" spans="2:60">
      <c r="B11" s="125"/>
      <c r="C11" s="125"/>
      <c r="D11" s="125"/>
      <c r="E11" s="125"/>
      <c r="F11" s="125"/>
      <c r="G11" s="126"/>
      <c r="H11" s="126"/>
      <c r="I11" s="125"/>
      <c r="J11" s="125"/>
      <c r="K11" s="125"/>
      <c r="L11" s="125"/>
      <c r="M11" s="125"/>
      <c r="N11" s="125"/>
      <c r="O11" s="125"/>
      <c r="AW11" s="214"/>
      <c r="AX11" s="214"/>
      <c r="AY11" s="214"/>
      <c r="AZ11" s="214"/>
      <c r="BA11" s="214"/>
      <c r="BB11" s="214"/>
      <c r="BC11" s="214"/>
      <c r="BD11" s="214"/>
    </row>
    <row r="12" spans="2:60" ht="26.4" customHeight="1">
      <c r="B12" s="488" t="s">
        <v>0</v>
      </c>
      <c r="C12" s="488" t="s">
        <v>52</v>
      </c>
      <c r="D12" s="526" t="s">
        <v>674</v>
      </c>
      <c r="E12" s="488" t="s">
        <v>60</v>
      </c>
      <c r="F12" s="527" t="s">
        <v>743</v>
      </c>
      <c r="G12" s="488" t="s">
        <v>57</v>
      </c>
      <c r="H12" s="488" t="s">
        <v>25</v>
      </c>
      <c r="I12" s="488" t="s">
        <v>59</v>
      </c>
      <c r="J12" s="488" t="s">
        <v>39</v>
      </c>
      <c r="K12" s="488" t="s">
        <v>36</v>
      </c>
      <c r="L12" s="488" t="s">
        <v>20</v>
      </c>
      <c r="M12" s="488" t="s">
        <v>51</v>
      </c>
      <c r="N12" s="488" t="s">
        <v>40</v>
      </c>
      <c r="O12" s="488" t="s">
        <v>42</v>
      </c>
      <c r="P12" s="533" t="s">
        <v>111</v>
      </c>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3"/>
      <c r="AN12" s="533"/>
      <c r="AO12" s="533"/>
      <c r="AP12" s="533"/>
      <c r="AQ12" s="533"/>
      <c r="AR12" s="533"/>
      <c r="AS12" s="533"/>
      <c r="AT12" s="533"/>
      <c r="AU12" s="533"/>
      <c r="AV12" s="531" t="s">
        <v>61</v>
      </c>
      <c r="AW12" s="520" t="s">
        <v>675</v>
      </c>
      <c r="AX12" s="521"/>
      <c r="AY12" s="521"/>
      <c r="AZ12" s="522"/>
      <c r="BA12" s="508" t="s">
        <v>676</v>
      </c>
      <c r="BB12" s="509"/>
      <c r="BC12" s="509"/>
      <c r="BD12" s="510"/>
      <c r="BE12" s="502" t="s">
        <v>677</v>
      </c>
      <c r="BF12" s="503"/>
      <c r="BG12" s="503"/>
      <c r="BH12" s="504"/>
    </row>
    <row r="13" spans="2:60" ht="15.6">
      <c r="B13" s="488"/>
      <c r="C13" s="488"/>
      <c r="D13" s="526"/>
      <c r="E13" s="488"/>
      <c r="F13" s="527"/>
      <c r="G13" s="488"/>
      <c r="H13" s="488"/>
      <c r="I13" s="488"/>
      <c r="J13" s="488"/>
      <c r="K13" s="488"/>
      <c r="L13" s="488"/>
      <c r="M13" s="488"/>
      <c r="N13" s="488"/>
      <c r="O13" s="488"/>
      <c r="P13" s="532" t="s">
        <v>21</v>
      </c>
      <c r="Q13" s="532"/>
      <c r="R13" s="532"/>
      <c r="S13" s="532"/>
      <c r="T13" s="532"/>
      <c r="U13" s="532"/>
      <c r="V13" s="532"/>
      <c r="W13" s="532"/>
      <c r="X13" s="532" t="s">
        <v>22</v>
      </c>
      <c r="Y13" s="532"/>
      <c r="Z13" s="532"/>
      <c r="AA13" s="532"/>
      <c r="AB13" s="532"/>
      <c r="AC13" s="532"/>
      <c r="AD13" s="532"/>
      <c r="AE13" s="532"/>
      <c r="AF13" s="532" t="s">
        <v>23</v>
      </c>
      <c r="AG13" s="532"/>
      <c r="AH13" s="532"/>
      <c r="AI13" s="532"/>
      <c r="AJ13" s="532"/>
      <c r="AK13" s="532"/>
      <c r="AL13" s="532"/>
      <c r="AM13" s="532"/>
      <c r="AN13" s="532" t="s">
        <v>24</v>
      </c>
      <c r="AO13" s="532"/>
      <c r="AP13" s="532"/>
      <c r="AQ13" s="532"/>
      <c r="AR13" s="532"/>
      <c r="AS13" s="532"/>
      <c r="AT13" s="532"/>
      <c r="AU13" s="532"/>
      <c r="AV13" s="531"/>
      <c r="AW13" s="523" t="s">
        <v>118</v>
      </c>
      <c r="AX13" s="523" t="s">
        <v>22</v>
      </c>
      <c r="AY13" s="523" t="s">
        <v>119</v>
      </c>
      <c r="AZ13" s="523" t="s">
        <v>120</v>
      </c>
      <c r="BA13" s="511" t="s">
        <v>118</v>
      </c>
      <c r="BB13" s="511" t="s">
        <v>121</v>
      </c>
      <c r="BC13" s="511" t="s">
        <v>122</v>
      </c>
      <c r="BD13" s="511" t="s">
        <v>123</v>
      </c>
      <c r="BE13" s="505" t="s">
        <v>21</v>
      </c>
      <c r="BF13" s="505" t="s">
        <v>22</v>
      </c>
      <c r="BG13" s="505" t="s">
        <v>23</v>
      </c>
      <c r="BH13" s="505" t="s">
        <v>24</v>
      </c>
    </row>
    <row r="14" spans="2:60" ht="15.6">
      <c r="B14" s="488"/>
      <c r="C14" s="488"/>
      <c r="D14" s="526"/>
      <c r="E14" s="488"/>
      <c r="F14" s="527"/>
      <c r="G14" s="488"/>
      <c r="H14" s="488"/>
      <c r="I14" s="488"/>
      <c r="J14" s="488"/>
      <c r="K14" s="488"/>
      <c r="L14" s="488"/>
      <c r="M14" s="488"/>
      <c r="N14" s="488"/>
      <c r="O14" s="488"/>
      <c r="P14" s="571" t="s">
        <v>5</v>
      </c>
      <c r="Q14" s="571"/>
      <c r="R14" s="571" t="s">
        <v>6</v>
      </c>
      <c r="S14" s="571"/>
      <c r="T14" s="571" t="s">
        <v>7</v>
      </c>
      <c r="U14" s="571"/>
      <c r="V14" s="533" t="s">
        <v>8</v>
      </c>
      <c r="W14" s="533"/>
      <c r="X14" s="571" t="s">
        <v>27</v>
      </c>
      <c r="Y14" s="571"/>
      <c r="Z14" s="571" t="s">
        <v>9</v>
      </c>
      <c r="AA14" s="571"/>
      <c r="AB14" s="571" t="s">
        <v>10</v>
      </c>
      <c r="AC14" s="571"/>
      <c r="AD14" s="533" t="s">
        <v>8</v>
      </c>
      <c r="AE14" s="533"/>
      <c r="AF14" s="571" t="s">
        <v>11</v>
      </c>
      <c r="AG14" s="571"/>
      <c r="AH14" s="571" t="s">
        <v>12</v>
      </c>
      <c r="AI14" s="571"/>
      <c r="AJ14" s="571" t="s">
        <v>13</v>
      </c>
      <c r="AK14" s="571"/>
      <c r="AL14" s="533" t="s">
        <v>8</v>
      </c>
      <c r="AM14" s="533"/>
      <c r="AN14" s="571" t="s">
        <v>14</v>
      </c>
      <c r="AO14" s="571"/>
      <c r="AP14" s="571" t="s">
        <v>15</v>
      </c>
      <c r="AQ14" s="571"/>
      <c r="AR14" s="571" t="s">
        <v>16</v>
      </c>
      <c r="AS14" s="571"/>
      <c r="AT14" s="533" t="s">
        <v>8</v>
      </c>
      <c r="AU14" s="533"/>
      <c r="AV14" s="531"/>
      <c r="AW14" s="524"/>
      <c r="AX14" s="524"/>
      <c r="AY14" s="524"/>
      <c r="AZ14" s="524"/>
      <c r="BA14" s="512"/>
      <c r="BB14" s="512"/>
      <c r="BC14" s="512"/>
      <c r="BD14" s="512"/>
      <c r="BE14" s="506"/>
      <c r="BF14" s="506"/>
      <c r="BG14" s="506"/>
      <c r="BH14" s="506"/>
    </row>
    <row r="15" spans="2:60" ht="13.2" customHeight="1">
      <c r="B15" s="488"/>
      <c r="C15" s="488"/>
      <c r="D15" s="526"/>
      <c r="E15" s="488"/>
      <c r="F15" s="527"/>
      <c r="G15" s="488"/>
      <c r="H15" s="488"/>
      <c r="I15" s="488"/>
      <c r="J15" s="488"/>
      <c r="K15" s="488"/>
      <c r="L15" s="488"/>
      <c r="M15" s="488"/>
      <c r="N15" s="488"/>
      <c r="O15" s="488"/>
      <c r="P15" s="215" t="s">
        <v>17</v>
      </c>
      <c r="Q15" s="216" t="s">
        <v>18</v>
      </c>
      <c r="R15" s="215" t="s">
        <v>17</v>
      </c>
      <c r="S15" s="216" t="s">
        <v>18</v>
      </c>
      <c r="T15" s="215" t="s">
        <v>17</v>
      </c>
      <c r="U15" s="216" t="s">
        <v>18</v>
      </c>
      <c r="V15" s="61" t="s">
        <v>17</v>
      </c>
      <c r="W15" s="62" t="s">
        <v>18</v>
      </c>
      <c r="X15" s="215" t="s">
        <v>17</v>
      </c>
      <c r="Y15" s="216" t="s">
        <v>18</v>
      </c>
      <c r="Z15" s="215" t="s">
        <v>17</v>
      </c>
      <c r="AA15" s="216" t="s">
        <v>18</v>
      </c>
      <c r="AB15" s="215" t="s">
        <v>17</v>
      </c>
      <c r="AC15" s="216" t="s">
        <v>18</v>
      </c>
      <c r="AD15" s="61" t="s">
        <v>17</v>
      </c>
      <c r="AE15" s="62" t="s">
        <v>18</v>
      </c>
      <c r="AF15" s="215" t="s">
        <v>17</v>
      </c>
      <c r="AG15" s="216" t="s">
        <v>18</v>
      </c>
      <c r="AH15" s="215" t="s">
        <v>17</v>
      </c>
      <c r="AI15" s="216" t="s">
        <v>18</v>
      </c>
      <c r="AJ15" s="215" t="s">
        <v>17</v>
      </c>
      <c r="AK15" s="216" t="s">
        <v>18</v>
      </c>
      <c r="AL15" s="61" t="s">
        <v>17</v>
      </c>
      <c r="AM15" s="62" t="s">
        <v>18</v>
      </c>
      <c r="AN15" s="215" t="s">
        <v>17</v>
      </c>
      <c r="AO15" s="216" t="s">
        <v>18</v>
      </c>
      <c r="AP15" s="215" t="s">
        <v>17</v>
      </c>
      <c r="AQ15" s="216" t="s">
        <v>18</v>
      </c>
      <c r="AR15" s="215" t="s">
        <v>17</v>
      </c>
      <c r="AS15" s="216" t="s">
        <v>18</v>
      </c>
      <c r="AT15" s="61" t="s">
        <v>17</v>
      </c>
      <c r="AU15" s="62" t="s">
        <v>18</v>
      </c>
      <c r="AV15" s="531"/>
      <c r="AW15" s="525"/>
      <c r="AX15" s="525"/>
      <c r="AY15" s="525"/>
      <c r="AZ15" s="525"/>
      <c r="BA15" s="513"/>
      <c r="BB15" s="513"/>
      <c r="BC15" s="513"/>
      <c r="BD15" s="513"/>
      <c r="BE15" s="507"/>
      <c r="BF15" s="507"/>
      <c r="BG15" s="507"/>
      <c r="BH15" s="507"/>
    </row>
    <row r="16" spans="2:60" ht="106.5" customHeight="1">
      <c r="B16" s="500" t="str">
        <f>+'01-FR-03 POA INSTITUCIONAL'!B96</f>
        <v xml:space="preserve">5. Incorporar una cultura del conocimiento y la innovación a través de actividades que permitan el desarrollo de ideas, lecciones aprendidas e investigaciones para mejorar los resultados de la gestión institucional. </v>
      </c>
      <c r="C16" s="568" t="str">
        <f>+'01-FR-03 POA INSTITUCIONAL'!C96</f>
        <v>5.1 Generar el 100% de productos de nuevo conocimiento o transformar los existentes, alineados con proyectos resultados de la investigación, desarrollo e innovación (I+D+I) en la Entidad.</v>
      </c>
      <c r="D16" s="19" t="str">
        <f>+'01-FR-03 POA INSTITUCIONAL'!D96</f>
        <v xml:space="preserve">5.1.1 Elaborar cuatro (4) proyectos de investigación, desarrollo e innovación I+D+I para la Entidad </v>
      </c>
      <c r="E16" s="37">
        <f>+'01-FR-03 POA INSTITUCIONAL'!E96</f>
        <v>0.5</v>
      </c>
      <c r="F16" s="54">
        <f>+'01-FR-03 POA INSTITUCIONAL'!F96</f>
        <v>4</v>
      </c>
      <c r="G16" s="54">
        <f>+'01-FR-03 POA INSTITUCIONAL'!L96</f>
        <v>1</v>
      </c>
      <c r="H16" s="129">
        <f>+'01-FR-03 POA INSTITUCIONAL'!G96</f>
        <v>2</v>
      </c>
      <c r="I16" s="129" t="str">
        <f>+'01-FR-03 POA INSTITUCIONAL'!H96</f>
        <v>Proyectos de Investigación, Desarrollo e Innovación (I+D+I) elaborados</v>
      </c>
      <c r="J16" s="198" t="s">
        <v>666</v>
      </c>
      <c r="K16" s="217" t="s">
        <v>586</v>
      </c>
      <c r="L16" s="201" t="s">
        <v>587</v>
      </c>
      <c r="M16" s="218" t="s">
        <v>588</v>
      </c>
      <c r="N16" s="218" t="s">
        <v>589</v>
      </c>
      <c r="O16" s="64" t="str">
        <f>+'01-FR-03 POA INSTITUCIONAL'!J96</f>
        <v xml:space="preserve">Dirección de Gestión del Conocimiento e Innovación </v>
      </c>
      <c r="P16" s="219">
        <v>0</v>
      </c>
      <c r="Q16" s="219"/>
      <c r="R16" s="219">
        <v>0</v>
      </c>
      <c r="S16" s="219"/>
      <c r="T16" s="219">
        <v>0</v>
      </c>
      <c r="U16" s="219"/>
      <c r="V16" s="82">
        <f>P16+R16+T16</f>
        <v>0</v>
      </c>
      <c r="W16" s="82">
        <f>Q16+S16+U16</f>
        <v>0</v>
      </c>
      <c r="X16" s="341">
        <v>0</v>
      </c>
      <c r="Y16" s="341"/>
      <c r="Z16" s="341">
        <v>0</v>
      </c>
      <c r="AA16" s="341"/>
      <c r="AB16" s="341">
        <v>0</v>
      </c>
      <c r="AC16" s="219"/>
      <c r="AD16" s="82">
        <f>X16+Z16+AB16</f>
        <v>0</v>
      </c>
      <c r="AE16" s="82">
        <f>Y16+AA16+AC16</f>
        <v>0</v>
      </c>
      <c r="AF16" s="341">
        <v>0</v>
      </c>
      <c r="AG16" s="341"/>
      <c r="AH16" s="341">
        <v>0</v>
      </c>
      <c r="AI16" s="341"/>
      <c r="AJ16" s="342">
        <v>0</v>
      </c>
      <c r="AK16" s="220"/>
      <c r="AL16" s="82">
        <f>AF16+AH16+AJ16</f>
        <v>0</v>
      </c>
      <c r="AM16" s="82">
        <f>AG16+AI16+AK16</f>
        <v>0</v>
      </c>
      <c r="AN16" s="341">
        <v>0</v>
      </c>
      <c r="AO16" s="341"/>
      <c r="AP16" s="341">
        <v>1</v>
      </c>
      <c r="AQ16" s="341"/>
      <c r="AR16" s="341">
        <v>0</v>
      </c>
      <c r="AS16" s="219"/>
      <c r="AT16" s="82">
        <f>AN16+AP16+AR16</f>
        <v>1</v>
      </c>
      <c r="AU16" s="82">
        <f>AO16+AQ16+AS16</f>
        <v>0</v>
      </c>
      <c r="AV16" s="221">
        <f>V16+AD16+AL16+AT16</f>
        <v>1</v>
      </c>
      <c r="AW16" s="66">
        <f>+W16</f>
        <v>0</v>
      </c>
      <c r="AX16" s="66">
        <f>+W16+AE16</f>
        <v>0</v>
      </c>
      <c r="AY16" s="66">
        <f>+W16+AE16+AM16</f>
        <v>0</v>
      </c>
      <c r="AZ16" s="66">
        <f>+W16+AE16+AM16+AU16</f>
        <v>0</v>
      </c>
      <c r="BA16" s="28">
        <f>IF(AND(AW16&gt;0,$AV16&gt;0),AW16/$AV16,0)</f>
        <v>0</v>
      </c>
      <c r="BB16" s="28">
        <f t="shared" ref="BB16:BD19" si="0">IF(AND(AX16&gt;0,$AV16&gt;0),AX16/$AV16,0)</f>
        <v>0</v>
      </c>
      <c r="BC16" s="28">
        <f t="shared" si="0"/>
        <v>0</v>
      </c>
      <c r="BD16" s="28">
        <f t="shared" si="0"/>
        <v>0</v>
      </c>
      <c r="BE16" s="28">
        <f>(IF(AND(AW16&gt;0,$AV16&gt;0),AW16/$AV16,0))*$E16</f>
        <v>0</v>
      </c>
      <c r="BF16" s="28">
        <f>(IF(AND(AX16&gt;0,$AV16&gt;0),AX16/$AV16,0))*$E16</f>
        <v>0</v>
      </c>
      <c r="BG16" s="28">
        <f>(IF(AND(AY16&gt;0,$AV16&gt;0),AY16/$AV16,0))*$E16</f>
        <v>0</v>
      </c>
      <c r="BH16" s="28">
        <f>(IF(AND(AZ16&gt;0,$AV16&gt;0),AZ16/$AV16,0))*$E16</f>
        <v>0</v>
      </c>
    </row>
    <row r="17" spans="2:60" ht="106.5" customHeight="1">
      <c r="B17" s="501"/>
      <c r="C17" s="569"/>
      <c r="D17" s="339" t="str">
        <f>+'01-FR-03 POA INSTITUCIONAL'!D97</f>
        <v>5.1.2. Entregar dos (2) productos resultado de los proyectos de investigación, desarrollo e innovación (I+D+I) realizados en la Entidad para la comunidad</v>
      </c>
      <c r="E17" s="37">
        <f>+'01-FR-03 POA INSTITUCIONAL'!E97</f>
        <v>0.5</v>
      </c>
      <c r="F17" s="54">
        <f>+'01-FR-03 POA INSTITUCIONAL'!F97</f>
        <v>2</v>
      </c>
      <c r="G17" s="54">
        <f>+'01-FR-03 POA INSTITUCIONAL'!L97</f>
        <v>1</v>
      </c>
      <c r="H17" s="340" t="str">
        <f>+'01-FR-03 POA INSTITUCIONAL'!G97</f>
        <v>S.I.</v>
      </c>
      <c r="I17" s="340" t="str">
        <f>+'01-FR-03 POA INSTITUCIONAL'!H97</f>
        <v>Productos resultado de investigaciones, entregadas para la comunidad</v>
      </c>
      <c r="J17" s="198" t="s">
        <v>795</v>
      </c>
      <c r="K17" s="47" t="s">
        <v>720</v>
      </c>
      <c r="L17" s="57" t="s">
        <v>721</v>
      </c>
      <c r="M17" s="57" t="s">
        <v>588</v>
      </c>
      <c r="N17" s="218" t="s">
        <v>589</v>
      </c>
      <c r="O17" s="64" t="str">
        <f>+'01-FR-03 POA INSTITUCIONAL'!J97</f>
        <v xml:space="preserve">Dirección de Gestión del Conocimiento e Innovación </v>
      </c>
      <c r="P17" s="219">
        <v>0</v>
      </c>
      <c r="Q17" s="219"/>
      <c r="R17" s="219">
        <v>0</v>
      </c>
      <c r="S17" s="219"/>
      <c r="T17" s="219">
        <v>0</v>
      </c>
      <c r="U17" s="219"/>
      <c r="V17" s="82">
        <f>P17+R17+T17</f>
        <v>0</v>
      </c>
      <c r="W17" s="82">
        <f>Q17+S17+U17</f>
        <v>0</v>
      </c>
      <c r="X17" s="341">
        <v>0</v>
      </c>
      <c r="Y17" s="341"/>
      <c r="Z17" s="341">
        <v>0</v>
      </c>
      <c r="AA17" s="341"/>
      <c r="AB17" s="341">
        <v>0</v>
      </c>
      <c r="AC17" s="219"/>
      <c r="AD17" s="82">
        <f>X17+Z17+AB17</f>
        <v>0</v>
      </c>
      <c r="AE17" s="82">
        <f>Y17+AA17+AC17</f>
        <v>0</v>
      </c>
      <c r="AF17" s="341">
        <v>0</v>
      </c>
      <c r="AG17" s="341"/>
      <c r="AH17" s="341">
        <v>0</v>
      </c>
      <c r="AI17" s="341"/>
      <c r="AJ17" s="342">
        <v>0</v>
      </c>
      <c r="AK17" s="220"/>
      <c r="AL17" s="82">
        <f>AF17+AH17+AJ17</f>
        <v>0</v>
      </c>
      <c r="AM17" s="82">
        <f>AG17+AI17+AK17</f>
        <v>0</v>
      </c>
      <c r="AN17" s="341">
        <v>0</v>
      </c>
      <c r="AO17" s="341"/>
      <c r="AP17" s="341">
        <v>1</v>
      </c>
      <c r="AQ17" s="341"/>
      <c r="AR17" s="341"/>
      <c r="AS17" s="219"/>
      <c r="AT17" s="82">
        <f>AN17+AP17+AR17</f>
        <v>1</v>
      </c>
      <c r="AU17" s="82">
        <f>AO17+AQ17+AS17</f>
        <v>0</v>
      </c>
      <c r="AV17" s="221">
        <f>V17+AD17+AL17+AT17</f>
        <v>1</v>
      </c>
      <c r="AW17" s="324">
        <f>+W17</f>
        <v>0</v>
      </c>
      <c r="AX17" s="324">
        <f>+W17+AE17</f>
        <v>0</v>
      </c>
      <c r="AY17" s="324">
        <f>+W17+AE17+AM17</f>
        <v>0</v>
      </c>
      <c r="AZ17" s="324">
        <f>+W17+AE17+AM17+AU17</f>
        <v>0</v>
      </c>
      <c r="BA17" s="28">
        <f>IF(AND(AW17&gt;0,$AV17&gt;0),AW17/$AV17,0)</f>
        <v>0</v>
      </c>
      <c r="BB17" s="28">
        <f t="shared" ref="BB17" si="1">IF(AND(AX17&gt;0,$AV17&gt;0),AX17/$AV17,0)</f>
        <v>0</v>
      </c>
      <c r="BC17" s="28">
        <f t="shared" ref="BC17" si="2">IF(AND(AY17&gt;0,$AV17&gt;0),AY17/$AV17,0)</f>
        <v>0</v>
      </c>
      <c r="BD17" s="28">
        <f t="shared" ref="BD17" si="3">IF(AND(AZ17&gt;0,$AV17&gt;0),AZ17/$AV17,0)</f>
        <v>0</v>
      </c>
      <c r="BE17" s="28">
        <f t="shared" ref="BE17" si="4">(IF(AND(AW17&gt;0,$AV17&gt;0),AW17/$AV17,0))*$E17</f>
        <v>0</v>
      </c>
      <c r="BF17" s="28">
        <f t="shared" ref="BF17:BH19" si="5">(IF(AND(AX17&gt;0,$AV17&gt;0),AX17/$AV17,0))*$E17</f>
        <v>0</v>
      </c>
      <c r="BG17" s="28">
        <f t="shared" si="5"/>
        <v>0</v>
      </c>
      <c r="BH17" s="28">
        <f t="shared" si="5"/>
        <v>0</v>
      </c>
    </row>
    <row r="18" spans="2:60" ht="90">
      <c r="B18" s="501"/>
      <c r="C18" s="19" t="str">
        <f>+'01-FR-03 POA INSTITUCIONAL'!C98</f>
        <v>5.2 Formular el 100% de herramientas y acciones que permitan categorizar, preservar y utilizar el conocimiento para la toma de decisiones y compartir fácilmente los datos y la información de la Entidad.</v>
      </c>
      <c r="D18" s="19" t="str">
        <f>+'01-FR-03 POA INSTITUCIONAL'!D98</f>
        <v xml:space="preserve">5.2.1 Construir ocho (8) informes de investigación e innovación que reflejen la analítica institucional </v>
      </c>
      <c r="E18" s="37">
        <f>+'01-FR-03 POA INSTITUCIONAL'!E98</f>
        <v>1</v>
      </c>
      <c r="F18" s="54">
        <f>+'01-FR-03 POA INSTITUCIONAL'!F98</f>
        <v>8</v>
      </c>
      <c r="G18" s="54">
        <f>+'01-FR-03 POA INSTITUCIONAL'!L98</f>
        <v>2</v>
      </c>
      <c r="H18" s="340">
        <f>+'01-FR-03 POA INSTITUCIONAL'!G98</f>
        <v>2</v>
      </c>
      <c r="I18" s="129" t="str">
        <f>+'01-FR-03 POA INSTITUCIONAL'!H98</f>
        <v>Informes de investigación e innovación construidos</v>
      </c>
      <c r="J18" s="222" t="s">
        <v>590</v>
      </c>
      <c r="K18" s="217" t="s">
        <v>591</v>
      </c>
      <c r="L18" s="201" t="s">
        <v>592</v>
      </c>
      <c r="M18" s="218" t="s">
        <v>588</v>
      </c>
      <c r="N18" s="218" t="s">
        <v>589</v>
      </c>
      <c r="O18" s="64" t="str">
        <f>+'01-FR-03 POA INSTITUCIONAL'!J98</f>
        <v xml:space="preserve">Dirección de Gestión del Conocimiento e Innovación </v>
      </c>
      <c r="P18" s="219">
        <v>0</v>
      </c>
      <c r="Q18" s="219"/>
      <c r="R18" s="219">
        <v>0</v>
      </c>
      <c r="S18" s="219"/>
      <c r="T18" s="219">
        <v>0</v>
      </c>
      <c r="U18" s="219"/>
      <c r="V18" s="82">
        <f t="shared" ref="V18:W19" si="6">P18+R18+T18</f>
        <v>0</v>
      </c>
      <c r="W18" s="82">
        <f t="shared" si="6"/>
        <v>0</v>
      </c>
      <c r="X18" s="341">
        <v>0</v>
      </c>
      <c r="Y18" s="341"/>
      <c r="Z18" s="341">
        <v>0</v>
      </c>
      <c r="AA18" s="341"/>
      <c r="AB18" s="341">
        <v>1</v>
      </c>
      <c r="AC18" s="219"/>
      <c r="AD18" s="82">
        <f t="shared" ref="AD18:AE19" si="7">X18+Z18+AB18</f>
        <v>1</v>
      </c>
      <c r="AE18" s="82">
        <f t="shared" si="7"/>
        <v>0</v>
      </c>
      <c r="AF18" s="341">
        <v>0</v>
      </c>
      <c r="AG18" s="341"/>
      <c r="AH18" s="341">
        <v>0</v>
      </c>
      <c r="AI18" s="341"/>
      <c r="AJ18" s="342">
        <v>0</v>
      </c>
      <c r="AK18" s="220"/>
      <c r="AL18" s="82">
        <f t="shared" ref="AL18:AM19" si="8">AF18+AH18+AJ18</f>
        <v>0</v>
      </c>
      <c r="AM18" s="82">
        <f t="shared" si="8"/>
        <v>0</v>
      </c>
      <c r="AN18" s="341">
        <v>0</v>
      </c>
      <c r="AO18" s="341"/>
      <c r="AP18" s="341">
        <v>1</v>
      </c>
      <c r="AQ18" s="341"/>
      <c r="AR18" s="341">
        <v>0</v>
      </c>
      <c r="AS18" s="219"/>
      <c r="AT18" s="82">
        <f t="shared" ref="AT18:AU19" si="9">AN18+AP18+AR18</f>
        <v>1</v>
      </c>
      <c r="AU18" s="82">
        <f t="shared" si="9"/>
        <v>0</v>
      </c>
      <c r="AV18" s="221">
        <f t="shared" ref="AV18:AV19" si="10">V18+AD18+AL18+AT18</f>
        <v>2</v>
      </c>
      <c r="AW18" s="66">
        <f t="shared" ref="AW18:AW19" si="11">+W18</f>
        <v>0</v>
      </c>
      <c r="AX18" s="66">
        <f t="shared" ref="AX18:AX19" si="12">+W18+AE18</f>
        <v>0</v>
      </c>
      <c r="AY18" s="66">
        <f t="shared" ref="AY18:AY19" si="13">+W18+AE18+AM18</f>
        <v>0</v>
      </c>
      <c r="AZ18" s="66">
        <f t="shared" ref="AZ18:AZ19" si="14">+W18+AE18+AM18+AU18</f>
        <v>0</v>
      </c>
      <c r="BA18" s="28">
        <f>IF(AND(AW18&gt;0,AV18&gt;0),AW18/AV18,0)</f>
        <v>0</v>
      </c>
      <c r="BB18" s="28">
        <f t="shared" si="0"/>
        <v>0</v>
      </c>
      <c r="BC18" s="28">
        <f t="shared" si="0"/>
        <v>0</v>
      </c>
      <c r="BD18" s="28">
        <f t="shared" si="0"/>
        <v>0</v>
      </c>
      <c r="BE18" s="28">
        <f>(IF(AND(AW18&gt;0,$AV18&gt;0),AW18/$AV18,0))*$E18</f>
        <v>0</v>
      </c>
      <c r="BF18" s="28">
        <f t="shared" si="5"/>
        <v>0</v>
      </c>
      <c r="BG18" s="28">
        <f t="shared" si="5"/>
        <v>0</v>
      </c>
      <c r="BH18" s="28">
        <f t="shared" si="5"/>
        <v>0</v>
      </c>
    </row>
    <row r="19" spans="2:60" ht="105" customHeight="1">
      <c r="B19" s="567"/>
      <c r="C19" s="19" t="str">
        <f>+'01-FR-03 POA INSTITUCIONAL'!C99</f>
        <v xml:space="preserve">5.3 Desarrollar el 100% de espacios y mecanismos para la difusión del conocimiento, mediante la creación de alianzas efectivas y apropiación de la memoria institucional a través del proceso de enseñanza-aprendizaje organizacional. </v>
      </c>
      <c r="D19" s="19" t="str">
        <f>+'01-FR-03 POA INSTITUCIONAL'!D99</f>
        <v>5.3.1 Desarrollar ochenta (80) actividades de apropiación social del conocimiento para la creación de la cultura de la investigación e innovación.</v>
      </c>
      <c r="E19" s="37">
        <f>+'01-FR-03 POA INSTITUCIONAL'!E99</f>
        <v>1</v>
      </c>
      <c r="F19" s="54">
        <f>+'01-FR-03 POA INSTITUCIONAL'!F99</f>
        <v>80</v>
      </c>
      <c r="G19" s="54">
        <f>+'01-FR-03 POA INSTITUCIONAL'!L99</f>
        <v>38</v>
      </c>
      <c r="H19" s="129">
        <f>+'01-FR-03 POA INSTITUCIONAL'!G99</f>
        <v>3</v>
      </c>
      <c r="I19" s="129" t="str">
        <f>+'01-FR-03 POA INSTITUCIONAL'!H99</f>
        <v>Actividades de apropiación social del conocimiento desarrolladas</v>
      </c>
      <c r="J19" s="198" t="s">
        <v>593</v>
      </c>
      <c r="K19" s="217" t="s">
        <v>594</v>
      </c>
      <c r="L19" s="201" t="s">
        <v>595</v>
      </c>
      <c r="M19" s="218" t="s">
        <v>588</v>
      </c>
      <c r="N19" s="218" t="s">
        <v>589</v>
      </c>
      <c r="O19" s="64" t="str">
        <f>+'01-FR-03 POA INSTITUCIONAL'!J99</f>
        <v xml:space="preserve">Dirección de Gestión del Conocimiento e Innovación </v>
      </c>
      <c r="P19" s="219">
        <v>0</v>
      </c>
      <c r="Q19" s="219"/>
      <c r="R19" s="219">
        <v>3</v>
      </c>
      <c r="S19" s="219"/>
      <c r="T19" s="219">
        <v>3</v>
      </c>
      <c r="U19" s="219"/>
      <c r="V19" s="82">
        <f t="shared" si="6"/>
        <v>6</v>
      </c>
      <c r="W19" s="82">
        <f t="shared" si="6"/>
        <v>0</v>
      </c>
      <c r="X19" s="341">
        <v>4</v>
      </c>
      <c r="Y19" s="341"/>
      <c r="Z19" s="341">
        <v>4</v>
      </c>
      <c r="AA19" s="341"/>
      <c r="AB19" s="341">
        <v>4</v>
      </c>
      <c r="AC19" s="219"/>
      <c r="AD19" s="82">
        <f t="shared" si="7"/>
        <v>12</v>
      </c>
      <c r="AE19" s="82">
        <f t="shared" si="7"/>
        <v>0</v>
      </c>
      <c r="AF19" s="341">
        <v>4</v>
      </c>
      <c r="AG19" s="341"/>
      <c r="AH19" s="341">
        <v>4</v>
      </c>
      <c r="AI19" s="341"/>
      <c r="AJ19" s="342">
        <v>4</v>
      </c>
      <c r="AK19" s="220"/>
      <c r="AL19" s="82">
        <f t="shared" si="8"/>
        <v>12</v>
      </c>
      <c r="AM19" s="82">
        <f t="shared" si="8"/>
        <v>0</v>
      </c>
      <c r="AN19" s="341">
        <v>4</v>
      </c>
      <c r="AO19" s="341"/>
      <c r="AP19" s="341">
        <v>4</v>
      </c>
      <c r="AQ19" s="341"/>
      <c r="AR19" s="341">
        <v>0</v>
      </c>
      <c r="AS19" s="219"/>
      <c r="AT19" s="82">
        <f t="shared" si="9"/>
        <v>8</v>
      </c>
      <c r="AU19" s="82">
        <f t="shared" si="9"/>
        <v>0</v>
      </c>
      <c r="AV19" s="221">
        <f t="shared" si="10"/>
        <v>38</v>
      </c>
      <c r="AW19" s="66">
        <f t="shared" si="11"/>
        <v>0</v>
      </c>
      <c r="AX19" s="66">
        <f t="shared" si="12"/>
        <v>0</v>
      </c>
      <c r="AY19" s="66">
        <f t="shared" si="13"/>
        <v>0</v>
      </c>
      <c r="AZ19" s="66">
        <f t="shared" si="14"/>
        <v>0</v>
      </c>
      <c r="BA19" s="28">
        <f t="shared" ref="BA19" si="15">IF(AND(AW19&gt;0,AV19&gt;0),AW19/AV19,0)</f>
        <v>0</v>
      </c>
      <c r="BB19" s="28">
        <f t="shared" si="0"/>
        <v>0</v>
      </c>
      <c r="BC19" s="28">
        <f t="shared" si="0"/>
        <v>0</v>
      </c>
      <c r="BD19" s="28">
        <f t="shared" si="0"/>
        <v>0</v>
      </c>
      <c r="BE19" s="28">
        <f>(IF(AND(AW19&gt;0,$AV19&gt;0),AW19/$AV19,0))*$E19</f>
        <v>0</v>
      </c>
      <c r="BF19" s="28">
        <f t="shared" si="5"/>
        <v>0</v>
      </c>
      <c r="BG19" s="28">
        <f t="shared" si="5"/>
        <v>0</v>
      </c>
      <c r="BH19" s="28">
        <f t="shared" si="5"/>
        <v>0</v>
      </c>
    </row>
    <row r="20" spans="2:60" ht="22.8">
      <c r="B20" s="496"/>
      <c r="C20" s="497"/>
      <c r="D20" s="497"/>
      <c r="E20" s="497"/>
      <c r="F20" s="497"/>
      <c r="G20" s="497"/>
      <c r="H20" s="497"/>
      <c r="I20" s="497"/>
      <c r="J20" s="497"/>
      <c r="K20" s="497"/>
      <c r="L20" s="497"/>
      <c r="M20" s="497"/>
      <c r="N20" s="497"/>
      <c r="O20" s="497"/>
      <c r="P20" s="497"/>
      <c r="Q20" s="497"/>
      <c r="R20" s="497"/>
      <c r="S20" s="497"/>
      <c r="T20" s="497"/>
      <c r="U20" s="497"/>
      <c r="V20" s="497"/>
      <c r="W20" s="497"/>
      <c r="X20" s="497"/>
      <c r="Y20" s="497"/>
      <c r="Z20" s="497"/>
      <c r="AA20" s="497"/>
      <c r="AB20" s="497"/>
      <c r="AC20" s="497"/>
      <c r="AD20" s="497"/>
      <c r="AE20" s="497"/>
      <c r="AF20" s="497"/>
      <c r="AG20" s="497"/>
      <c r="AH20" s="497"/>
      <c r="AI20" s="497"/>
      <c r="AJ20" s="497"/>
      <c r="AK20" s="497"/>
      <c r="AL20" s="497"/>
      <c r="AM20" s="497"/>
      <c r="AN20" s="497"/>
      <c r="AO20" s="497"/>
      <c r="AP20" s="497"/>
      <c r="AQ20" s="497"/>
      <c r="AR20" s="497"/>
      <c r="AS20" s="497"/>
      <c r="AT20" s="497"/>
      <c r="AU20" s="497"/>
      <c r="AV20" s="497"/>
      <c r="AW20" s="548"/>
      <c r="AX20" s="518" t="s">
        <v>19</v>
      </c>
      <c r="AY20" s="570"/>
      <c r="AZ20" s="570"/>
      <c r="BA20" s="56">
        <f t="shared" ref="BA20:BH20" si="16">AVERAGE(BA16:BA19)</f>
        <v>0</v>
      </c>
      <c r="BB20" s="56">
        <f t="shared" si="16"/>
        <v>0</v>
      </c>
      <c r="BC20" s="56">
        <f t="shared" si="16"/>
        <v>0</v>
      </c>
      <c r="BD20" s="56">
        <f t="shared" si="16"/>
        <v>0</v>
      </c>
      <c r="BE20" s="56">
        <f t="shared" si="16"/>
        <v>0</v>
      </c>
      <c r="BF20" s="56">
        <f t="shared" si="16"/>
        <v>0</v>
      </c>
      <c r="BG20" s="56">
        <f t="shared" si="16"/>
        <v>0</v>
      </c>
      <c r="BH20" s="56">
        <f t="shared" si="16"/>
        <v>0</v>
      </c>
    </row>
    <row r="21" spans="2:60">
      <c r="B21" s="453"/>
      <c r="C21" s="453"/>
      <c r="D21" s="453"/>
      <c r="E21" s="453"/>
      <c r="F21" s="453"/>
      <c r="G21" s="453"/>
      <c r="H21" s="223"/>
      <c r="I21" s="224"/>
      <c r="J21" s="224"/>
      <c r="K21" s="224"/>
      <c r="L21" s="224"/>
      <c r="M21" s="224"/>
      <c r="N21" s="224"/>
      <c r="O21" s="224"/>
    </row>
    <row r="22" spans="2:60">
      <c r="B22" s="224"/>
      <c r="C22" s="224"/>
      <c r="D22" s="549"/>
      <c r="E22" s="549"/>
      <c r="F22" s="549"/>
      <c r="G22" s="549"/>
      <c r="H22" s="549"/>
      <c r="I22" s="549"/>
      <c r="J22" s="549"/>
      <c r="K22" s="549"/>
      <c r="L22" s="549"/>
      <c r="M22" s="549"/>
      <c r="N22" s="549"/>
      <c r="O22" s="549"/>
    </row>
    <row r="23" spans="2:60" ht="15.6" customHeight="1">
      <c r="B23" s="63" t="s">
        <v>26</v>
      </c>
      <c r="C23" s="31">
        <v>44221</v>
      </c>
      <c r="D23" s="226"/>
      <c r="E23" s="558" t="s">
        <v>50</v>
      </c>
      <c r="F23" s="561" t="s">
        <v>596</v>
      </c>
      <c r="G23" s="562"/>
      <c r="H23" s="562"/>
      <c r="I23" s="562"/>
      <c r="J23" s="563"/>
      <c r="K23" s="227"/>
      <c r="L23" s="559"/>
      <c r="M23" s="559"/>
      <c r="N23" s="559"/>
      <c r="O23" s="560"/>
    </row>
    <row r="24" spans="2:60" ht="15.6">
      <c r="B24" s="224"/>
      <c r="C24" s="224"/>
      <c r="D24" s="227"/>
      <c r="E24" s="558"/>
      <c r="F24" s="564"/>
      <c r="G24" s="565"/>
      <c r="H24" s="565"/>
      <c r="I24" s="565"/>
      <c r="J24" s="566"/>
      <c r="K24" s="224"/>
      <c r="L24" s="224"/>
      <c r="M24" s="224"/>
      <c r="N24" s="224"/>
      <c r="O24" s="224"/>
    </row>
    <row r="25" spans="2:60" ht="15.6">
      <c r="B25" s="63" t="s">
        <v>49</v>
      </c>
      <c r="C25" s="65">
        <v>44581</v>
      </c>
      <c r="D25" s="224"/>
      <c r="E25" s="224"/>
      <c r="F25" s="224"/>
      <c r="K25" s="224"/>
      <c r="L25" s="224"/>
      <c r="M25" s="224"/>
      <c r="N25" s="224"/>
      <c r="O25" s="224"/>
    </row>
    <row r="26" spans="2:60">
      <c r="B26" s="224"/>
      <c r="C26" s="224"/>
      <c r="D26" s="224"/>
      <c r="E26" s="224"/>
      <c r="F26" s="224"/>
      <c r="K26" s="224"/>
      <c r="L26" s="224"/>
      <c r="M26" s="224"/>
      <c r="N26" s="224"/>
      <c r="O26" s="224"/>
    </row>
    <row r="27" spans="2:60" ht="15" customHeight="1">
      <c r="B27" s="189" t="s">
        <v>673</v>
      </c>
    </row>
  </sheetData>
  <sheetProtection algorithmName="SHA-512" hashValue="Wgg/dA04R/GRzq1U24Vg4u4jkMw6ixuEqirDMDWwvYfDPCLuqZ3PlwcXA2FZX+wNaOCqkfNw1qBsa2UKcDWz6w==" saltValue="7OVGbGDZW7igdbLcKPTC0w==" spinCount="100000" sheet="1" objects="1" scenarios="1"/>
  <mergeCells count="67">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BE13:BE15"/>
    <mergeCell ref="BF13:BF15"/>
    <mergeCell ref="BG13:BG15"/>
    <mergeCell ref="BH13:BH15"/>
    <mergeCell ref="P14:Q14"/>
    <mergeCell ref="R14:S14"/>
    <mergeCell ref="T14:U14"/>
    <mergeCell ref="V14:W14"/>
    <mergeCell ref="X14:Y14"/>
    <mergeCell ref="Z14:AA14"/>
    <mergeCell ref="BD13:BD15"/>
    <mergeCell ref="AB14:AC14"/>
    <mergeCell ref="AX20:AZ20"/>
    <mergeCell ref="AD14:AE14"/>
    <mergeCell ref="AF14:AG14"/>
    <mergeCell ref="AH14:AI14"/>
    <mergeCell ref="AJ14:AK14"/>
    <mergeCell ref="AL14:AM14"/>
    <mergeCell ref="AN14:AO14"/>
    <mergeCell ref="AP14:AQ14"/>
    <mergeCell ref="AR14:AS14"/>
    <mergeCell ref="AT14:AU14"/>
    <mergeCell ref="B16:B19"/>
    <mergeCell ref="B20:AW20"/>
    <mergeCell ref="N12:N15"/>
    <mergeCell ref="O12:O15"/>
    <mergeCell ref="H12:H15"/>
    <mergeCell ref="I12:I15"/>
    <mergeCell ref="J12:J15"/>
    <mergeCell ref="K12:K15"/>
    <mergeCell ref="L12:L15"/>
    <mergeCell ref="M12:M15"/>
    <mergeCell ref="G12:G15"/>
    <mergeCell ref="C16:C17"/>
    <mergeCell ref="F12:F15"/>
    <mergeCell ref="B21:G21"/>
    <mergeCell ref="D22:O22"/>
    <mergeCell ref="E23:E24"/>
    <mergeCell ref="L23:O23"/>
    <mergeCell ref="F23:J24"/>
  </mergeCells>
  <conditionalFormatting sqref="BB18:BD19 BA16:BD17">
    <cfRule type="cellIs" dxfId="173" priority="7" operator="between">
      <formula>0.7</formula>
      <formula>1</formula>
    </cfRule>
    <cfRule type="cellIs" dxfId="172" priority="8" operator="between">
      <formula>0.51</formula>
      <formula>0.69</formula>
    </cfRule>
    <cfRule type="cellIs" dxfId="171" priority="9" operator="between">
      <formula>0</formula>
      <formula>0.5</formula>
    </cfRule>
  </conditionalFormatting>
  <conditionalFormatting sqref="BA18:BA19">
    <cfRule type="cellIs" dxfId="170" priority="4" operator="between">
      <formula>0.7</formula>
      <formula>1</formula>
    </cfRule>
    <cfRule type="cellIs" dxfId="169" priority="5" operator="between">
      <formula>0.51</formula>
      <formula>0.69</formula>
    </cfRule>
    <cfRule type="cellIs" dxfId="168" priority="6" operator="between">
      <formula>0</formula>
      <formula>0.5</formula>
    </cfRule>
  </conditionalFormatting>
  <conditionalFormatting sqref="BE16:BH19">
    <cfRule type="cellIs" dxfId="167" priority="1" operator="between">
      <formula>0.7</formula>
      <formula>1</formula>
    </cfRule>
    <cfRule type="cellIs" dxfId="166" priority="2" operator="between">
      <formula>0.51</formula>
      <formula>0.69</formula>
    </cfRule>
    <cfRule type="cellIs" dxfId="165"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D3DE4E66-EC8D-4E75-B562-B10ED3B6018B}"/>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39451-CFE3-4BAA-BFE5-01A466BDA43D}">
  <sheetPr>
    <tabColor rgb="FF92D050"/>
  </sheetPr>
  <dimension ref="B1:BH34"/>
  <sheetViews>
    <sheetView showGridLines="0" zoomScale="55" zoomScaleNormal="55" workbookViewId="0">
      <selection activeCell="G19" sqref="G19"/>
    </sheetView>
  </sheetViews>
  <sheetFormatPr baseColWidth="10" defaultColWidth="17.33203125" defaultRowHeight="15" customHeight="1"/>
  <cols>
    <col min="1" max="1" width="4.33203125" style="124" customWidth="1"/>
    <col min="2" max="2" width="50.44140625" style="122" customWidth="1"/>
    <col min="3" max="3" width="31.44140625" style="122" customWidth="1"/>
    <col min="4" max="4" width="49.6640625" style="122" customWidth="1"/>
    <col min="5" max="6" width="27.5546875" style="122" customWidth="1"/>
    <col min="7" max="8" width="29.33203125" style="123" customWidth="1"/>
    <col min="9" max="9" width="36.44140625" style="122" customWidth="1"/>
    <col min="10" max="10" width="31.88671875" style="122" customWidth="1"/>
    <col min="11" max="11" width="55.88671875" style="122" customWidth="1"/>
    <col min="12" max="12" width="48.44140625" style="122" customWidth="1"/>
    <col min="13" max="14" width="28.5546875" style="122" customWidth="1"/>
    <col min="15" max="15" width="50" style="122" customWidth="1"/>
    <col min="16" max="47" width="15.88671875" style="124" customWidth="1"/>
    <col min="48" max="48" width="24.5546875" style="124" customWidth="1"/>
    <col min="49" max="49" width="22.88671875" style="124" customWidth="1"/>
    <col min="50" max="50" width="19.33203125" style="124" customWidth="1"/>
    <col min="51" max="51" width="18.44140625" style="124" customWidth="1"/>
    <col min="52" max="52" width="19.44140625" style="124" customWidth="1"/>
    <col min="53" max="53" width="23.33203125" style="124" customWidth="1"/>
    <col min="54" max="55" width="25.109375" style="124" customWidth="1"/>
    <col min="56" max="56" width="26.6640625" style="124" customWidth="1"/>
    <col min="57" max="57" width="26.33203125" style="124" customWidth="1"/>
    <col min="58" max="58" width="26.5546875" style="124" customWidth="1"/>
    <col min="59" max="59" width="26.33203125" style="124" customWidth="1"/>
    <col min="60" max="60" width="27.33203125" style="124" customWidth="1"/>
    <col min="61" max="16384" width="17.33203125" style="124"/>
  </cols>
  <sheetData>
    <row r="1" spans="2:60" ht="15.6" thickBot="1"/>
    <row r="2" spans="2:60" ht="15.6" customHeight="1">
      <c r="B2" s="489" t="s">
        <v>671</v>
      </c>
      <c r="C2" s="534" t="s">
        <v>117</v>
      </c>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35"/>
      <c r="AL2" s="535"/>
      <c r="AM2" s="535"/>
      <c r="AN2" s="535"/>
      <c r="AO2" s="535"/>
      <c r="AP2" s="535"/>
      <c r="AQ2" s="535"/>
      <c r="AR2" s="535"/>
      <c r="AS2" s="535"/>
      <c r="AT2" s="535"/>
      <c r="AU2" s="535"/>
      <c r="AV2" s="535"/>
      <c r="AW2" s="535"/>
      <c r="AX2" s="535"/>
      <c r="AY2" s="535"/>
      <c r="AZ2" s="535"/>
      <c r="BA2" s="535"/>
      <c r="BB2" s="535"/>
      <c r="BC2" s="535"/>
      <c r="BD2" s="535"/>
      <c r="BE2" s="535"/>
      <c r="BF2" s="536"/>
      <c r="BG2" s="190" t="s">
        <v>31</v>
      </c>
      <c r="BH2" s="191"/>
    </row>
    <row r="3" spans="2:60" ht="15.6" customHeight="1">
      <c r="B3" s="490"/>
      <c r="C3" s="537"/>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8"/>
      <c r="AZ3" s="538"/>
      <c r="BA3" s="538"/>
      <c r="BB3" s="538"/>
      <c r="BC3" s="538"/>
      <c r="BD3" s="538"/>
      <c r="BE3" s="538"/>
      <c r="BF3" s="539"/>
      <c r="BG3" s="192" t="s">
        <v>28</v>
      </c>
      <c r="BH3" s="17" t="s">
        <v>29</v>
      </c>
    </row>
    <row r="4" spans="2:60" ht="15" customHeight="1">
      <c r="B4" s="490"/>
      <c r="C4" s="537"/>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538"/>
      <c r="BF4" s="539"/>
      <c r="BG4" s="193">
        <v>5</v>
      </c>
      <c r="BH4" s="18" t="s">
        <v>637</v>
      </c>
    </row>
    <row r="5" spans="2:60" ht="15.6" customHeight="1">
      <c r="B5" s="490"/>
      <c r="C5" s="537"/>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538"/>
      <c r="BF5" s="539"/>
      <c r="BG5" s="194" t="s">
        <v>30</v>
      </c>
      <c r="BH5" s="195"/>
    </row>
    <row r="6" spans="2:60" ht="15.6" customHeight="1" thickBot="1">
      <c r="B6" s="491"/>
      <c r="C6" s="540"/>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1"/>
      <c r="AN6" s="541"/>
      <c r="AO6" s="541"/>
      <c r="AP6" s="541"/>
      <c r="AQ6" s="541"/>
      <c r="AR6" s="541"/>
      <c r="AS6" s="541"/>
      <c r="AT6" s="541"/>
      <c r="AU6" s="541"/>
      <c r="AV6" s="541"/>
      <c r="AW6" s="541"/>
      <c r="AX6" s="541"/>
      <c r="AY6" s="541"/>
      <c r="AZ6" s="541"/>
      <c r="BA6" s="541"/>
      <c r="BB6" s="541"/>
      <c r="BC6" s="541"/>
      <c r="BD6" s="541"/>
      <c r="BE6" s="541"/>
      <c r="BF6" s="542"/>
      <c r="BG6" s="556">
        <v>43941</v>
      </c>
      <c r="BH6" s="557"/>
    </row>
    <row r="7" spans="2:60">
      <c r="B7" s="125"/>
      <c r="C7" s="125"/>
      <c r="D7" s="125"/>
      <c r="E7" s="125"/>
      <c r="F7" s="125"/>
      <c r="G7" s="126"/>
      <c r="H7" s="126"/>
      <c r="I7" s="125"/>
      <c r="J7" s="125"/>
      <c r="K7" s="125"/>
      <c r="L7" s="125"/>
      <c r="M7" s="125"/>
      <c r="N7" s="125"/>
      <c r="O7" s="125"/>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528"/>
      <c r="AX7" s="559"/>
      <c r="AY7" s="559"/>
      <c r="AZ7" s="559"/>
      <c r="BA7" s="530"/>
      <c r="BB7" s="214"/>
      <c r="BC7" s="214"/>
      <c r="BD7" s="214"/>
      <c r="BE7" s="127"/>
      <c r="BF7" s="127"/>
    </row>
    <row r="8" spans="2:60" ht="21">
      <c r="B8" s="196" t="s">
        <v>45</v>
      </c>
      <c r="C8" s="576" t="s">
        <v>80</v>
      </c>
      <c r="D8" s="576"/>
      <c r="E8" s="197"/>
      <c r="F8" s="197"/>
      <c r="G8" s="197"/>
      <c r="H8" s="197"/>
      <c r="I8" s="197"/>
      <c r="J8" s="197"/>
      <c r="K8" s="197"/>
      <c r="L8" s="197"/>
      <c r="M8" s="197"/>
      <c r="N8" s="197"/>
      <c r="O8" s="197"/>
      <c r="AW8" s="214"/>
      <c r="AX8" s="214"/>
      <c r="AY8" s="214"/>
      <c r="AZ8" s="214"/>
      <c r="BA8" s="214"/>
      <c r="BB8" s="214"/>
      <c r="BC8" s="214"/>
      <c r="BD8" s="214"/>
    </row>
    <row r="9" spans="2:60" ht="96.75" customHeight="1">
      <c r="B9" s="196" t="s">
        <v>34</v>
      </c>
      <c r="C9" s="514" t="s">
        <v>342</v>
      </c>
      <c r="D9" s="515"/>
      <c r="E9" s="197"/>
      <c r="F9" s="197"/>
      <c r="G9" s="197"/>
      <c r="H9" s="197"/>
      <c r="I9" s="197"/>
      <c r="J9" s="197"/>
      <c r="K9" s="197"/>
      <c r="L9" s="197"/>
      <c r="M9" s="197"/>
      <c r="N9" s="197"/>
      <c r="O9" s="197"/>
      <c r="AW9" s="214"/>
      <c r="AX9" s="214"/>
      <c r="AY9" s="214"/>
      <c r="AZ9" s="214"/>
      <c r="BA9" s="214"/>
      <c r="BB9" s="214"/>
      <c r="BC9" s="214"/>
      <c r="BD9" s="214"/>
    </row>
    <row r="10" spans="2:60" ht="24.6">
      <c r="B10" s="196" t="s">
        <v>100</v>
      </c>
      <c r="C10" s="516">
        <v>2022</v>
      </c>
      <c r="D10" s="517"/>
      <c r="E10" s="197"/>
      <c r="F10" s="197"/>
      <c r="G10" s="197"/>
      <c r="H10" s="197"/>
      <c r="I10" s="197"/>
      <c r="J10" s="197"/>
      <c r="K10" s="197"/>
      <c r="L10" s="197"/>
      <c r="M10" s="197"/>
      <c r="N10" s="197"/>
      <c r="O10" s="197"/>
      <c r="AW10" s="214"/>
      <c r="AX10" s="214"/>
      <c r="AY10" s="214"/>
      <c r="AZ10" s="214"/>
      <c r="BA10" s="214"/>
      <c r="BB10" s="214"/>
      <c r="BC10" s="214"/>
      <c r="BD10" s="214"/>
    </row>
    <row r="11" spans="2:60">
      <c r="B11" s="125"/>
      <c r="C11" s="125"/>
      <c r="D11" s="125"/>
      <c r="E11" s="125"/>
      <c r="F11" s="125"/>
      <c r="G11" s="126"/>
      <c r="H11" s="126"/>
      <c r="I11" s="125"/>
      <c r="J11" s="125"/>
      <c r="K11" s="125"/>
      <c r="L11" s="125"/>
      <c r="M11" s="125"/>
      <c r="N11" s="125"/>
      <c r="O11" s="125"/>
      <c r="AW11" s="214"/>
      <c r="AX11" s="214"/>
      <c r="AY11" s="214"/>
      <c r="AZ11" s="214"/>
      <c r="BA11" s="214"/>
      <c r="BB11" s="214"/>
      <c r="BC11" s="214"/>
      <c r="BD11" s="214"/>
    </row>
    <row r="12" spans="2:60" ht="30.6" customHeight="1">
      <c r="B12" s="488" t="s">
        <v>0</v>
      </c>
      <c r="C12" s="488" t="s">
        <v>52</v>
      </c>
      <c r="D12" s="526" t="s">
        <v>674</v>
      </c>
      <c r="E12" s="488" t="s">
        <v>60</v>
      </c>
      <c r="F12" s="527" t="s">
        <v>743</v>
      </c>
      <c r="G12" s="488" t="s">
        <v>57</v>
      </c>
      <c r="H12" s="488" t="s">
        <v>25</v>
      </c>
      <c r="I12" s="488" t="s">
        <v>59</v>
      </c>
      <c r="J12" s="488" t="s">
        <v>39</v>
      </c>
      <c r="K12" s="488" t="s">
        <v>36</v>
      </c>
      <c r="L12" s="488" t="s">
        <v>20</v>
      </c>
      <c r="M12" s="488" t="s">
        <v>51</v>
      </c>
      <c r="N12" s="488" t="s">
        <v>40</v>
      </c>
      <c r="O12" s="488" t="s">
        <v>42</v>
      </c>
      <c r="P12" s="533" t="s">
        <v>111</v>
      </c>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3"/>
      <c r="AN12" s="533"/>
      <c r="AO12" s="533"/>
      <c r="AP12" s="533"/>
      <c r="AQ12" s="533"/>
      <c r="AR12" s="533"/>
      <c r="AS12" s="533"/>
      <c r="AT12" s="533"/>
      <c r="AU12" s="533"/>
      <c r="AV12" s="531" t="s">
        <v>61</v>
      </c>
      <c r="AW12" s="520" t="s">
        <v>675</v>
      </c>
      <c r="AX12" s="521"/>
      <c r="AY12" s="521"/>
      <c r="AZ12" s="522"/>
      <c r="BA12" s="508" t="s">
        <v>676</v>
      </c>
      <c r="BB12" s="509"/>
      <c r="BC12" s="509"/>
      <c r="BD12" s="510"/>
      <c r="BE12" s="502" t="s">
        <v>677</v>
      </c>
      <c r="BF12" s="503"/>
      <c r="BG12" s="503"/>
      <c r="BH12" s="504"/>
    </row>
    <row r="13" spans="2:60" ht="15.6">
      <c r="B13" s="488"/>
      <c r="C13" s="488"/>
      <c r="D13" s="526"/>
      <c r="E13" s="488"/>
      <c r="F13" s="527"/>
      <c r="G13" s="488"/>
      <c r="H13" s="488"/>
      <c r="I13" s="488"/>
      <c r="J13" s="488"/>
      <c r="K13" s="488"/>
      <c r="L13" s="488"/>
      <c r="M13" s="488"/>
      <c r="N13" s="488"/>
      <c r="O13" s="488"/>
      <c r="P13" s="532" t="s">
        <v>21</v>
      </c>
      <c r="Q13" s="532"/>
      <c r="R13" s="532"/>
      <c r="S13" s="532"/>
      <c r="T13" s="532"/>
      <c r="U13" s="532"/>
      <c r="V13" s="532"/>
      <c r="W13" s="532"/>
      <c r="X13" s="532" t="s">
        <v>22</v>
      </c>
      <c r="Y13" s="532"/>
      <c r="Z13" s="532"/>
      <c r="AA13" s="532"/>
      <c r="AB13" s="532"/>
      <c r="AC13" s="532"/>
      <c r="AD13" s="532"/>
      <c r="AE13" s="532"/>
      <c r="AF13" s="532" t="s">
        <v>23</v>
      </c>
      <c r="AG13" s="532"/>
      <c r="AH13" s="532"/>
      <c r="AI13" s="532"/>
      <c r="AJ13" s="532"/>
      <c r="AK13" s="532"/>
      <c r="AL13" s="532"/>
      <c r="AM13" s="532"/>
      <c r="AN13" s="532" t="s">
        <v>24</v>
      </c>
      <c r="AO13" s="532"/>
      <c r="AP13" s="532"/>
      <c r="AQ13" s="532"/>
      <c r="AR13" s="532"/>
      <c r="AS13" s="532"/>
      <c r="AT13" s="532"/>
      <c r="AU13" s="532"/>
      <c r="AV13" s="531"/>
      <c r="AW13" s="523" t="s">
        <v>118</v>
      </c>
      <c r="AX13" s="523" t="s">
        <v>22</v>
      </c>
      <c r="AY13" s="523" t="s">
        <v>119</v>
      </c>
      <c r="AZ13" s="523" t="s">
        <v>120</v>
      </c>
      <c r="BA13" s="511" t="s">
        <v>118</v>
      </c>
      <c r="BB13" s="511" t="s">
        <v>121</v>
      </c>
      <c r="BC13" s="511" t="s">
        <v>122</v>
      </c>
      <c r="BD13" s="511" t="s">
        <v>123</v>
      </c>
      <c r="BE13" s="505" t="s">
        <v>21</v>
      </c>
      <c r="BF13" s="505" t="s">
        <v>22</v>
      </c>
      <c r="BG13" s="505" t="s">
        <v>23</v>
      </c>
      <c r="BH13" s="505" t="s">
        <v>24</v>
      </c>
    </row>
    <row r="14" spans="2:60" ht="15.6">
      <c r="B14" s="488"/>
      <c r="C14" s="488"/>
      <c r="D14" s="526"/>
      <c r="E14" s="488"/>
      <c r="F14" s="527"/>
      <c r="G14" s="488"/>
      <c r="H14" s="488"/>
      <c r="I14" s="488"/>
      <c r="J14" s="488"/>
      <c r="K14" s="488"/>
      <c r="L14" s="488"/>
      <c r="M14" s="488"/>
      <c r="N14" s="488"/>
      <c r="O14" s="488"/>
      <c r="P14" s="571" t="s">
        <v>5</v>
      </c>
      <c r="Q14" s="571"/>
      <c r="R14" s="571" t="s">
        <v>6</v>
      </c>
      <c r="S14" s="571"/>
      <c r="T14" s="571" t="s">
        <v>7</v>
      </c>
      <c r="U14" s="571"/>
      <c r="V14" s="533" t="s">
        <v>8</v>
      </c>
      <c r="W14" s="533"/>
      <c r="X14" s="571" t="s">
        <v>27</v>
      </c>
      <c r="Y14" s="571"/>
      <c r="Z14" s="571" t="s">
        <v>9</v>
      </c>
      <c r="AA14" s="571"/>
      <c r="AB14" s="571" t="s">
        <v>10</v>
      </c>
      <c r="AC14" s="571"/>
      <c r="AD14" s="533" t="s">
        <v>8</v>
      </c>
      <c r="AE14" s="533"/>
      <c r="AF14" s="571" t="s">
        <v>11</v>
      </c>
      <c r="AG14" s="571"/>
      <c r="AH14" s="571" t="s">
        <v>12</v>
      </c>
      <c r="AI14" s="571"/>
      <c r="AJ14" s="571" t="s">
        <v>13</v>
      </c>
      <c r="AK14" s="571"/>
      <c r="AL14" s="533" t="s">
        <v>8</v>
      </c>
      <c r="AM14" s="533"/>
      <c r="AN14" s="571" t="s">
        <v>14</v>
      </c>
      <c r="AO14" s="571"/>
      <c r="AP14" s="571" t="s">
        <v>15</v>
      </c>
      <c r="AQ14" s="571"/>
      <c r="AR14" s="571" t="s">
        <v>16</v>
      </c>
      <c r="AS14" s="571"/>
      <c r="AT14" s="533" t="s">
        <v>8</v>
      </c>
      <c r="AU14" s="533"/>
      <c r="AV14" s="531"/>
      <c r="AW14" s="524"/>
      <c r="AX14" s="524"/>
      <c r="AY14" s="524"/>
      <c r="AZ14" s="524"/>
      <c r="BA14" s="512"/>
      <c r="BB14" s="512"/>
      <c r="BC14" s="512"/>
      <c r="BD14" s="512"/>
      <c r="BE14" s="506"/>
      <c r="BF14" s="506"/>
      <c r="BG14" s="506"/>
      <c r="BH14" s="506"/>
    </row>
    <row r="15" spans="2:60" ht="13.2" customHeight="1">
      <c r="B15" s="488"/>
      <c r="C15" s="488"/>
      <c r="D15" s="526"/>
      <c r="E15" s="488"/>
      <c r="F15" s="527"/>
      <c r="G15" s="488"/>
      <c r="H15" s="488"/>
      <c r="I15" s="488"/>
      <c r="J15" s="488"/>
      <c r="K15" s="488"/>
      <c r="L15" s="488"/>
      <c r="M15" s="488"/>
      <c r="N15" s="488"/>
      <c r="O15" s="488"/>
      <c r="P15" s="215" t="s">
        <v>17</v>
      </c>
      <c r="Q15" s="216" t="s">
        <v>18</v>
      </c>
      <c r="R15" s="215" t="s">
        <v>17</v>
      </c>
      <c r="S15" s="216" t="s">
        <v>18</v>
      </c>
      <c r="T15" s="215" t="s">
        <v>17</v>
      </c>
      <c r="U15" s="216" t="s">
        <v>18</v>
      </c>
      <c r="V15" s="61" t="s">
        <v>17</v>
      </c>
      <c r="W15" s="62" t="s">
        <v>18</v>
      </c>
      <c r="X15" s="215" t="s">
        <v>17</v>
      </c>
      <c r="Y15" s="216" t="s">
        <v>18</v>
      </c>
      <c r="Z15" s="215" t="s">
        <v>17</v>
      </c>
      <c r="AA15" s="216" t="s">
        <v>18</v>
      </c>
      <c r="AB15" s="215" t="s">
        <v>17</v>
      </c>
      <c r="AC15" s="216" t="s">
        <v>18</v>
      </c>
      <c r="AD15" s="61" t="s">
        <v>17</v>
      </c>
      <c r="AE15" s="62" t="s">
        <v>18</v>
      </c>
      <c r="AF15" s="215" t="s">
        <v>17</v>
      </c>
      <c r="AG15" s="216" t="s">
        <v>18</v>
      </c>
      <c r="AH15" s="215" t="s">
        <v>17</v>
      </c>
      <c r="AI15" s="216" t="s">
        <v>18</v>
      </c>
      <c r="AJ15" s="215" t="s">
        <v>17</v>
      </c>
      <c r="AK15" s="216" t="s">
        <v>18</v>
      </c>
      <c r="AL15" s="61" t="s">
        <v>17</v>
      </c>
      <c r="AM15" s="62" t="s">
        <v>18</v>
      </c>
      <c r="AN15" s="215" t="s">
        <v>17</v>
      </c>
      <c r="AO15" s="216" t="s">
        <v>18</v>
      </c>
      <c r="AP15" s="215" t="s">
        <v>17</v>
      </c>
      <c r="AQ15" s="216" t="s">
        <v>18</v>
      </c>
      <c r="AR15" s="215" t="s">
        <v>17</v>
      </c>
      <c r="AS15" s="216" t="s">
        <v>18</v>
      </c>
      <c r="AT15" s="61" t="s">
        <v>17</v>
      </c>
      <c r="AU15" s="62" t="s">
        <v>18</v>
      </c>
      <c r="AV15" s="531"/>
      <c r="AW15" s="525"/>
      <c r="AX15" s="525"/>
      <c r="AY15" s="525"/>
      <c r="AZ15" s="525"/>
      <c r="BA15" s="513"/>
      <c r="BB15" s="513"/>
      <c r="BC15" s="513"/>
      <c r="BD15" s="513"/>
      <c r="BE15" s="507"/>
      <c r="BF15" s="507"/>
      <c r="BG15" s="507"/>
      <c r="BH15" s="507"/>
    </row>
    <row r="16" spans="2:60" ht="76.5" customHeight="1">
      <c r="B16" s="500"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500" t="str">
        <f>+'01-FR-03 POA INSTITUCIONAL'!C48</f>
        <v>4.1. Implementar el 100% de las acciones que impulsen el crecimiento del Modelo de Madurez de Transformación Digital de la Entidad, aplicando los principios , lineamientos y normas que lo enmarcan.</v>
      </c>
      <c r="D16" s="19" t="str">
        <f>+'01-FR-03 POA INSTITUCIONAL'!D48</f>
        <v>4.1.1 Implementar el 100 % de los proyectos de hoja de ruta del Plan Estratégico de Tecnología de la Información de tal forma que se optimicen los procesos de la Entidad</v>
      </c>
      <c r="E16" s="37">
        <f>+'01-FR-03 POA INSTITUCIONAL'!E48</f>
        <v>0.14000000000000001</v>
      </c>
      <c r="F16" s="149">
        <f>+'01-FR-03 POA INSTITUCIONAL'!F48</f>
        <v>1</v>
      </c>
      <c r="G16" s="149">
        <f>+'01-FR-03 POA INSTITUCIONAL'!L48</f>
        <v>0.4</v>
      </c>
      <c r="H16" s="129" t="str">
        <f>+'01-FR-03 POA INSTITUCIONAL'!G48</f>
        <v>S.I.</v>
      </c>
      <c r="I16" s="230" t="str">
        <f>+'01-FR-03 POA INSTITUCIONAL'!H48</f>
        <v>Porcentaje de proyectos implementados de acuerdo al plan de tecnologías de la Información</v>
      </c>
      <c r="J16" s="217" t="s">
        <v>324</v>
      </c>
      <c r="K16" s="348" t="s">
        <v>732</v>
      </c>
      <c r="L16" s="312" t="s">
        <v>325</v>
      </c>
      <c r="M16" s="231" t="s">
        <v>326</v>
      </c>
      <c r="N16" s="217" t="s">
        <v>327</v>
      </c>
      <c r="O16" s="67" t="str">
        <f>+'[3]POA Anualizado (Pág 1 de 3)'!J13</f>
        <v>Dirección de Tecnologías de la  Información y las Comunicaciones</v>
      </c>
      <c r="P16" s="134">
        <v>0.02</v>
      </c>
      <c r="Q16" s="134"/>
      <c r="R16" s="134">
        <v>0.02</v>
      </c>
      <c r="S16" s="134"/>
      <c r="T16" s="134">
        <v>0.03</v>
      </c>
      <c r="U16" s="134"/>
      <c r="V16" s="52">
        <f t="shared" ref="V16:W22" si="0">P16+R16+T16</f>
        <v>7.0000000000000007E-2</v>
      </c>
      <c r="W16" s="52">
        <f t="shared" si="0"/>
        <v>0</v>
      </c>
      <c r="X16" s="134">
        <v>0.04</v>
      </c>
      <c r="Y16" s="134"/>
      <c r="Z16" s="134">
        <v>0.04</v>
      </c>
      <c r="AA16" s="134"/>
      <c r="AB16" s="134">
        <v>0.05</v>
      </c>
      <c r="AC16" s="134"/>
      <c r="AD16" s="52">
        <f t="shared" ref="AD16:AE22" si="1">X16+Z16+AB16</f>
        <v>0.13</v>
      </c>
      <c r="AE16" s="52">
        <f t="shared" si="1"/>
        <v>0</v>
      </c>
      <c r="AF16" s="134">
        <v>0.05</v>
      </c>
      <c r="AG16" s="134"/>
      <c r="AH16" s="134">
        <v>0.04</v>
      </c>
      <c r="AI16" s="134"/>
      <c r="AJ16" s="134">
        <v>0.04</v>
      </c>
      <c r="AK16" s="134"/>
      <c r="AL16" s="52">
        <f t="shared" ref="AL16:AM22" si="2">AF16+AH16+AJ16</f>
        <v>0.13</v>
      </c>
      <c r="AM16" s="52">
        <f t="shared" si="2"/>
        <v>0</v>
      </c>
      <c r="AN16" s="134">
        <v>0.03</v>
      </c>
      <c r="AO16" s="134"/>
      <c r="AP16" s="134">
        <v>0.02</v>
      </c>
      <c r="AQ16" s="134"/>
      <c r="AR16" s="134">
        <v>0.02</v>
      </c>
      <c r="AS16" s="134"/>
      <c r="AT16" s="52">
        <f>AN16+AP16+AR16</f>
        <v>7.0000000000000007E-2</v>
      </c>
      <c r="AU16" s="52">
        <f>AO16+AQ16+AS16</f>
        <v>0</v>
      </c>
      <c r="AV16" s="52">
        <f>V16+AD16+AL16+AT16</f>
        <v>0.4</v>
      </c>
      <c r="AW16" s="66">
        <f>+W16</f>
        <v>0</v>
      </c>
      <c r="AX16" s="66">
        <f>+W16+AE16</f>
        <v>0</v>
      </c>
      <c r="AY16" s="66">
        <f>+W16+AE16+AM16</f>
        <v>0</v>
      </c>
      <c r="AZ16" s="66">
        <f>+W16+AE16+AM16+AU16</f>
        <v>0</v>
      </c>
      <c r="BA16" s="28">
        <f>IF(AND(AW16&gt;0,$AV16&gt;0),AW16/$AV16,0)</f>
        <v>0</v>
      </c>
      <c r="BB16" s="28">
        <f t="shared" ref="BB16:BD22" si="3">IF(AND(AX16&gt;0,$AV16&gt;0),AX16/$AV16,0)</f>
        <v>0</v>
      </c>
      <c r="BC16" s="28">
        <f t="shared" si="3"/>
        <v>0</v>
      </c>
      <c r="BD16" s="28">
        <f t="shared" si="3"/>
        <v>0</v>
      </c>
      <c r="BE16" s="28">
        <f t="shared" ref="BE16:BH22" si="4">(IF(AND(AW16&gt;0,$AV16&gt;0),AW16/$AV16,0))*$E16</f>
        <v>0</v>
      </c>
      <c r="BF16" s="28">
        <f t="shared" si="4"/>
        <v>0</v>
      </c>
      <c r="BG16" s="28">
        <f t="shared" si="4"/>
        <v>0</v>
      </c>
      <c r="BH16" s="28">
        <f t="shared" si="4"/>
        <v>0</v>
      </c>
    </row>
    <row r="17" spans="2:60" ht="84.75" customHeight="1">
      <c r="B17" s="501"/>
      <c r="C17" s="501"/>
      <c r="D17" s="19" t="str">
        <f>+'01-FR-03 POA INSTITUCIONAL'!D49</f>
        <v>4.1.2 Ejecutar en un 100 % las actividades programadas en el plan de Seguridad de la Información, garantizando la disponibilidad, confiabilidad e integridad de los activos de información</v>
      </c>
      <c r="E17" s="37">
        <f>+'01-FR-03 POA INSTITUCIONAL'!E49</f>
        <v>0.14000000000000001</v>
      </c>
      <c r="F17" s="149">
        <f>+'01-FR-03 POA INSTITUCIONAL'!F49</f>
        <v>1</v>
      </c>
      <c r="G17" s="149">
        <f>+'01-FR-03 POA INSTITUCIONAL'!L49</f>
        <v>0.4</v>
      </c>
      <c r="H17" s="129" t="str">
        <f>+'01-FR-03 POA INSTITUCIONAL'!G49</f>
        <v>S.I.</v>
      </c>
      <c r="I17" s="230" t="str">
        <f>+'01-FR-03 POA INSTITUCIONAL'!H49</f>
        <v>Porcentaje de actividades ejecutadas de acuerdo al plan de Seguridad de información</v>
      </c>
      <c r="J17" s="217" t="s">
        <v>328</v>
      </c>
      <c r="K17" s="348" t="s">
        <v>733</v>
      </c>
      <c r="L17" s="312" t="s">
        <v>329</v>
      </c>
      <c r="M17" s="231" t="s">
        <v>326</v>
      </c>
      <c r="N17" s="217" t="s">
        <v>330</v>
      </c>
      <c r="O17" s="67" t="str">
        <f>+'[3]POA Anualizado (Pág 1 de 3)'!J19</f>
        <v>Dirección de Tecnologías de la  Información y las Comunicaciones</v>
      </c>
      <c r="P17" s="134">
        <v>0.02</v>
      </c>
      <c r="Q17" s="134"/>
      <c r="R17" s="134">
        <v>0.02</v>
      </c>
      <c r="S17" s="134"/>
      <c r="T17" s="134">
        <v>0.03</v>
      </c>
      <c r="U17" s="134"/>
      <c r="V17" s="52">
        <f t="shared" si="0"/>
        <v>7.0000000000000007E-2</v>
      </c>
      <c r="W17" s="52">
        <f t="shared" si="0"/>
        <v>0</v>
      </c>
      <c r="X17" s="134">
        <v>0.04</v>
      </c>
      <c r="Y17" s="134"/>
      <c r="Z17" s="134">
        <v>0.04</v>
      </c>
      <c r="AA17" s="134"/>
      <c r="AB17" s="134">
        <v>0.05</v>
      </c>
      <c r="AC17" s="134"/>
      <c r="AD17" s="52">
        <f t="shared" si="1"/>
        <v>0.13</v>
      </c>
      <c r="AE17" s="52">
        <f t="shared" si="1"/>
        <v>0</v>
      </c>
      <c r="AF17" s="134">
        <v>0.05</v>
      </c>
      <c r="AG17" s="134"/>
      <c r="AH17" s="134">
        <v>0.04</v>
      </c>
      <c r="AI17" s="134"/>
      <c r="AJ17" s="134">
        <v>0.04</v>
      </c>
      <c r="AK17" s="134"/>
      <c r="AL17" s="52">
        <f t="shared" si="2"/>
        <v>0.13</v>
      </c>
      <c r="AM17" s="52">
        <f t="shared" si="2"/>
        <v>0</v>
      </c>
      <c r="AN17" s="134">
        <v>0.03</v>
      </c>
      <c r="AO17" s="134"/>
      <c r="AP17" s="134">
        <v>0.02</v>
      </c>
      <c r="AQ17" s="134"/>
      <c r="AR17" s="134">
        <v>0.02</v>
      </c>
      <c r="AS17" s="134"/>
      <c r="AT17" s="52">
        <f t="shared" ref="AT17:AU22" si="5">AN17+AP17+AR17</f>
        <v>7.0000000000000007E-2</v>
      </c>
      <c r="AU17" s="52">
        <f t="shared" si="5"/>
        <v>0</v>
      </c>
      <c r="AV17" s="52">
        <f t="shared" ref="AV17:AV22" si="6">V17+AD17+AL17+AT17</f>
        <v>0.4</v>
      </c>
      <c r="AW17" s="66">
        <f t="shared" ref="AW17:AW22" si="7">+W17</f>
        <v>0</v>
      </c>
      <c r="AX17" s="66">
        <f t="shared" ref="AX17:AX22" si="8">+W17+AE17</f>
        <v>0</v>
      </c>
      <c r="AY17" s="66">
        <f t="shared" ref="AY17:AY22" si="9">+W17+AE17+AM17</f>
        <v>0</v>
      </c>
      <c r="AZ17" s="66">
        <f t="shared" ref="AZ17:AZ22" si="10">+W17+AE17+AM17+AU17</f>
        <v>0</v>
      </c>
      <c r="BA17" s="28">
        <f>IF(AND(AW17&gt;0,AV17&gt;0),AW17/AV17,0)</f>
        <v>0</v>
      </c>
      <c r="BB17" s="28">
        <f t="shared" si="3"/>
        <v>0</v>
      </c>
      <c r="BC17" s="28">
        <f t="shared" si="3"/>
        <v>0</v>
      </c>
      <c r="BD17" s="28">
        <f t="shared" si="3"/>
        <v>0</v>
      </c>
      <c r="BE17" s="28">
        <f t="shared" si="4"/>
        <v>0</v>
      </c>
      <c r="BF17" s="28">
        <f t="shared" si="4"/>
        <v>0</v>
      </c>
      <c r="BG17" s="28">
        <f t="shared" si="4"/>
        <v>0</v>
      </c>
      <c r="BH17" s="28">
        <f t="shared" si="4"/>
        <v>0</v>
      </c>
    </row>
    <row r="18" spans="2:60" ht="107.25" customHeight="1">
      <c r="B18" s="501"/>
      <c r="C18" s="501"/>
      <c r="D18" s="19" t="str">
        <f>+'01-FR-03 POA INSTITUCIONAL'!D50</f>
        <v>4.1.3 Realizar el 100% de las actividades definidas en la estrategia de servicios ciudadanos digitales, que permitan acceder a los tramites y servicios de la Entidad a través de canales digitales rápidos, fiables y seguros</v>
      </c>
      <c r="E18" s="37">
        <f>+'01-FR-03 POA INSTITUCIONAL'!E50</f>
        <v>0.14000000000000001</v>
      </c>
      <c r="F18" s="149">
        <f>+'01-FR-03 POA INSTITUCIONAL'!F50</f>
        <v>1</v>
      </c>
      <c r="G18" s="149">
        <f>+'01-FR-03 POA INSTITUCIONAL'!L50</f>
        <v>0.4</v>
      </c>
      <c r="H18" s="129" t="str">
        <f>+'01-FR-03 POA INSTITUCIONAL'!G50</f>
        <v>S.I.</v>
      </c>
      <c r="I18" s="230" t="str">
        <f>+'01-FR-03 POA INSTITUCIONAL'!H50</f>
        <v xml:space="preserve">Porcentaje de actividades ejecutadas  en la estrategia de servicios ciudadanos digitales </v>
      </c>
      <c r="J18" s="217" t="s">
        <v>328</v>
      </c>
      <c r="K18" s="348" t="s">
        <v>734</v>
      </c>
      <c r="L18" s="312" t="s">
        <v>331</v>
      </c>
      <c r="M18" s="231" t="s">
        <v>326</v>
      </c>
      <c r="N18" s="217" t="s">
        <v>330</v>
      </c>
      <c r="O18" s="67" t="s">
        <v>318</v>
      </c>
      <c r="P18" s="134">
        <v>0.02</v>
      </c>
      <c r="Q18" s="134"/>
      <c r="R18" s="134">
        <v>0.02</v>
      </c>
      <c r="S18" s="134"/>
      <c r="T18" s="134">
        <v>0.03</v>
      </c>
      <c r="U18" s="134"/>
      <c r="V18" s="52">
        <f t="shared" si="0"/>
        <v>7.0000000000000007E-2</v>
      </c>
      <c r="W18" s="52">
        <f t="shared" si="0"/>
        <v>0</v>
      </c>
      <c r="X18" s="134">
        <v>0.04</v>
      </c>
      <c r="Y18" s="134"/>
      <c r="Z18" s="134">
        <v>0.04</v>
      </c>
      <c r="AA18" s="134"/>
      <c r="AB18" s="134">
        <v>0.05</v>
      </c>
      <c r="AC18" s="134"/>
      <c r="AD18" s="52">
        <f t="shared" si="1"/>
        <v>0.13</v>
      </c>
      <c r="AE18" s="52">
        <f t="shared" si="1"/>
        <v>0</v>
      </c>
      <c r="AF18" s="134">
        <v>0.05</v>
      </c>
      <c r="AG18" s="134"/>
      <c r="AH18" s="134">
        <v>0.04</v>
      </c>
      <c r="AI18" s="134"/>
      <c r="AJ18" s="134">
        <v>0.04</v>
      </c>
      <c r="AK18" s="134"/>
      <c r="AL18" s="52">
        <f t="shared" si="2"/>
        <v>0.13</v>
      </c>
      <c r="AM18" s="52">
        <f t="shared" si="2"/>
        <v>0</v>
      </c>
      <c r="AN18" s="134">
        <v>0.03</v>
      </c>
      <c r="AO18" s="134"/>
      <c r="AP18" s="134">
        <v>0.02</v>
      </c>
      <c r="AQ18" s="134"/>
      <c r="AR18" s="134">
        <v>0.02</v>
      </c>
      <c r="AS18" s="134"/>
      <c r="AT18" s="52">
        <f t="shared" si="5"/>
        <v>7.0000000000000007E-2</v>
      </c>
      <c r="AU18" s="52">
        <f t="shared" si="5"/>
        <v>0</v>
      </c>
      <c r="AV18" s="52">
        <f t="shared" si="6"/>
        <v>0.4</v>
      </c>
      <c r="AW18" s="66">
        <f t="shared" si="7"/>
        <v>0</v>
      </c>
      <c r="AX18" s="66">
        <f t="shared" si="8"/>
        <v>0</v>
      </c>
      <c r="AY18" s="66">
        <f t="shared" si="9"/>
        <v>0</v>
      </c>
      <c r="AZ18" s="66">
        <f t="shared" si="10"/>
        <v>0</v>
      </c>
      <c r="BA18" s="28">
        <f t="shared" ref="BA18:BA22" si="11">IF(AND(AW18&gt;0,AV18&gt;0),AW18/AV18,0)</f>
        <v>0</v>
      </c>
      <c r="BB18" s="28">
        <f t="shared" si="3"/>
        <v>0</v>
      </c>
      <c r="BC18" s="28">
        <f t="shared" si="3"/>
        <v>0</v>
      </c>
      <c r="BD18" s="28">
        <f t="shared" si="3"/>
        <v>0</v>
      </c>
      <c r="BE18" s="28">
        <f t="shared" si="4"/>
        <v>0</v>
      </c>
      <c r="BF18" s="28">
        <f t="shared" si="4"/>
        <v>0</v>
      </c>
      <c r="BG18" s="28">
        <f t="shared" si="4"/>
        <v>0</v>
      </c>
      <c r="BH18" s="28">
        <f t="shared" si="4"/>
        <v>0</v>
      </c>
    </row>
    <row r="19" spans="2:60" ht="80.25" customHeight="1">
      <c r="B19" s="501"/>
      <c r="C19" s="501"/>
      <c r="D19" s="19" t="str">
        <f>+'01-FR-03 POA INSTITUCIONAL'!D51</f>
        <v>4.1.4 Implementar en un 100% los lineamientos que adopte la Entidad para mejorar la gestión de datos que facilite la toma de decisiones</v>
      </c>
      <c r="E19" s="37">
        <f>+'01-FR-03 POA INSTITUCIONAL'!E51</f>
        <v>0.14000000000000001</v>
      </c>
      <c r="F19" s="149">
        <f>+'01-FR-03 POA INSTITUCIONAL'!F51</f>
        <v>1</v>
      </c>
      <c r="G19" s="149">
        <f>+'01-FR-03 POA INSTITUCIONAL'!L51</f>
        <v>0.4</v>
      </c>
      <c r="H19" s="129" t="str">
        <f>+'01-FR-03 POA INSTITUCIONAL'!G51</f>
        <v>S.I.</v>
      </c>
      <c r="I19" s="230" t="str">
        <f>+'01-FR-03 POA INSTITUCIONAL'!H51</f>
        <v>Porcentaje de lineamientos adoptados  en la estrategia de gestión de datos</v>
      </c>
      <c r="J19" s="217" t="s">
        <v>332</v>
      </c>
      <c r="K19" s="348" t="s">
        <v>735</v>
      </c>
      <c r="L19" s="312" t="s">
        <v>333</v>
      </c>
      <c r="M19" s="231" t="s">
        <v>326</v>
      </c>
      <c r="N19" s="217" t="s">
        <v>330</v>
      </c>
      <c r="O19" s="67" t="s">
        <v>318</v>
      </c>
      <c r="P19" s="134">
        <v>0.02</v>
      </c>
      <c r="Q19" s="134"/>
      <c r="R19" s="134">
        <v>0.02</v>
      </c>
      <c r="S19" s="134"/>
      <c r="T19" s="134">
        <v>0.03</v>
      </c>
      <c r="U19" s="134"/>
      <c r="V19" s="52">
        <f t="shared" si="0"/>
        <v>7.0000000000000007E-2</v>
      </c>
      <c r="W19" s="52">
        <f t="shared" si="0"/>
        <v>0</v>
      </c>
      <c r="X19" s="134">
        <v>0.04</v>
      </c>
      <c r="Y19" s="134"/>
      <c r="Z19" s="134">
        <v>0.04</v>
      </c>
      <c r="AA19" s="134"/>
      <c r="AB19" s="134">
        <v>0.05</v>
      </c>
      <c r="AC19" s="134"/>
      <c r="AD19" s="52">
        <f t="shared" si="1"/>
        <v>0.13</v>
      </c>
      <c r="AE19" s="52">
        <f t="shared" si="1"/>
        <v>0</v>
      </c>
      <c r="AF19" s="134">
        <v>0.05</v>
      </c>
      <c r="AG19" s="134"/>
      <c r="AH19" s="134">
        <v>0.04</v>
      </c>
      <c r="AI19" s="134"/>
      <c r="AJ19" s="134">
        <v>0.04</v>
      </c>
      <c r="AK19" s="134"/>
      <c r="AL19" s="52">
        <f t="shared" si="2"/>
        <v>0.13</v>
      </c>
      <c r="AM19" s="52">
        <f t="shared" si="2"/>
        <v>0</v>
      </c>
      <c r="AN19" s="134">
        <v>0.03</v>
      </c>
      <c r="AO19" s="134"/>
      <c r="AP19" s="134">
        <v>0.02</v>
      </c>
      <c r="AQ19" s="134"/>
      <c r="AR19" s="134">
        <v>0.02</v>
      </c>
      <c r="AS19" s="134"/>
      <c r="AT19" s="52">
        <f t="shared" si="5"/>
        <v>7.0000000000000007E-2</v>
      </c>
      <c r="AU19" s="52">
        <f t="shared" si="5"/>
        <v>0</v>
      </c>
      <c r="AV19" s="52">
        <f t="shared" si="6"/>
        <v>0.4</v>
      </c>
      <c r="AW19" s="66">
        <f t="shared" si="7"/>
        <v>0</v>
      </c>
      <c r="AX19" s="66">
        <f t="shared" si="8"/>
        <v>0</v>
      </c>
      <c r="AY19" s="66">
        <f t="shared" si="9"/>
        <v>0</v>
      </c>
      <c r="AZ19" s="66">
        <f t="shared" si="10"/>
        <v>0</v>
      </c>
      <c r="BA19" s="28">
        <f t="shared" si="11"/>
        <v>0</v>
      </c>
      <c r="BB19" s="28">
        <f t="shared" si="3"/>
        <v>0</v>
      </c>
      <c r="BC19" s="28">
        <f t="shared" si="3"/>
        <v>0</v>
      </c>
      <c r="BD19" s="28">
        <f t="shared" si="3"/>
        <v>0</v>
      </c>
      <c r="BE19" s="28">
        <f t="shared" si="4"/>
        <v>0</v>
      </c>
      <c r="BF19" s="28">
        <f t="shared" si="4"/>
        <v>0</v>
      </c>
      <c r="BG19" s="28">
        <f t="shared" si="4"/>
        <v>0</v>
      </c>
      <c r="BH19" s="28">
        <f t="shared" si="4"/>
        <v>0</v>
      </c>
    </row>
    <row r="20" spans="2:60" ht="88.5" customHeight="1">
      <c r="B20" s="501"/>
      <c r="C20" s="501"/>
      <c r="D20" s="19" t="str">
        <f>+'01-FR-03 POA INSTITUCIONAL'!D52</f>
        <v>4.1.5 Desarrollar el 100% de los requerimientos prioritarios a Sistemas de Información y de apoyo que garanticen el óptimo desempeño de la gestión de los procesos en la Entidad</v>
      </c>
      <c r="E20" s="37">
        <f>+'01-FR-03 POA INSTITUCIONAL'!E52</f>
        <v>0.14000000000000001</v>
      </c>
      <c r="F20" s="149">
        <f>+'01-FR-03 POA INSTITUCIONAL'!F52</f>
        <v>1</v>
      </c>
      <c r="G20" s="149">
        <f>+'01-FR-03 POA INSTITUCIONAL'!L52</f>
        <v>0.4</v>
      </c>
      <c r="H20" s="129" t="str">
        <f>+'01-FR-03 POA INSTITUCIONAL'!G52</f>
        <v>S.I.</v>
      </c>
      <c r="I20" s="230" t="str">
        <f>+'01-FR-03 POA INSTITUCIONAL'!H52</f>
        <v>Cantidad de requerimientos prioritarios desarrollados para los sistemas información</v>
      </c>
      <c r="J20" s="217" t="s">
        <v>343</v>
      </c>
      <c r="K20" s="348" t="s">
        <v>736</v>
      </c>
      <c r="L20" s="312" t="s">
        <v>334</v>
      </c>
      <c r="M20" s="231" t="s">
        <v>326</v>
      </c>
      <c r="N20" s="217" t="s">
        <v>330</v>
      </c>
      <c r="O20" s="67" t="s">
        <v>318</v>
      </c>
      <c r="P20" s="134">
        <v>0.02</v>
      </c>
      <c r="Q20" s="134"/>
      <c r="R20" s="134">
        <v>0.02</v>
      </c>
      <c r="S20" s="134"/>
      <c r="T20" s="134">
        <v>0.03</v>
      </c>
      <c r="U20" s="134"/>
      <c r="V20" s="52">
        <f t="shared" si="0"/>
        <v>7.0000000000000007E-2</v>
      </c>
      <c r="W20" s="52">
        <f t="shared" si="0"/>
        <v>0</v>
      </c>
      <c r="X20" s="134">
        <v>0.04</v>
      </c>
      <c r="Y20" s="134"/>
      <c r="Z20" s="134">
        <v>0.04</v>
      </c>
      <c r="AA20" s="134"/>
      <c r="AB20" s="134">
        <v>0.05</v>
      </c>
      <c r="AC20" s="134"/>
      <c r="AD20" s="52">
        <f t="shared" si="1"/>
        <v>0.13</v>
      </c>
      <c r="AE20" s="52">
        <f t="shared" si="1"/>
        <v>0</v>
      </c>
      <c r="AF20" s="134">
        <v>0.05</v>
      </c>
      <c r="AG20" s="134"/>
      <c r="AH20" s="134">
        <v>0.04</v>
      </c>
      <c r="AI20" s="134"/>
      <c r="AJ20" s="134">
        <v>0.04</v>
      </c>
      <c r="AK20" s="134"/>
      <c r="AL20" s="52">
        <f t="shared" si="2"/>
        <v>0.13</v>
      </c>
      <c r="AM20" s="52">
        <f t="shared" si="2"/>
        <v>0</v>
      </c>
      <c r="AN20" s="134">
        <v>0.03</v>
      </c>
      <c r="AO20" s="134"/>
      <c r="AP20" s="134">
        <v>0.02</v>
      </c>
      <c r="AQ20" s="134"/>
      <c r="AR20" s="134">
        <v>0.02</v>
      </c>
      <c r="AS20" s="134"/>
      <c r="AT20" s="52">
        <f t="shared" si="5"/>
        <v>7.0000000000000007E-2</v>
      </c>
      <c r="AU20" s="52">
        <f t="shared" si="5"/>
        <v>0</v>
      </c>
      <c r="AV20" s="52">
        <f t="shared" si="6"/>
        <v>0.4</v>
      </c>
      <c r="AW20" s="66">
        <f t="shared" si="7"/>
        <v>0</v>
      </c>
      <c r="AX20" s="66">
        <f t="shared" si="8"/>
        <v>0</v>
      </c>
      <c r="AY20" s="66">
        <f t="shared" si="9"/>
        <v>0</v>
      </c>
      <c r="AZ20" s="66">
        <f t="shared" si="10"/>
        <v>0</v>
      </c>
      <c r="BA20" s="28">
        <f t="shared" si="11"/>
        <v>0</v>
      </c>
      <c r="BB20" s="28">
        <f t="shared" si="3"/>
        <v>0</v>
      </c>
      <c r="BC20" s="28">
        <f t="shared" si="3"/>
        <v>0</v>
      </c>
      <c r="BD20" s="28">
        <f t="shared" si="3"/>
        <v>0</v>
      </c>
      <c r="BE20" s="28">
        <f t="shared" si="4"/>
        <v>0</v>
      </c>
      <c r="BF20" s="28">
        <f t="shared" si="4"/>
        <v>0</v>
      </c>
      <c r="BG20" s="28">
        <f t="shared" si="4"/>
        <v>0</v>
      </c>
      <c r="BH20" s="28">
        <f t="shared" si="4"/>
        <v>0</v>
      </c>
    </row>
    <row r="21" spans="2:60" ht="91.5" customHeight="1">
      <c r="B21" s="501"/>
      <c r="C21" s="501"/>
      <c r="D21" s="19" t="str">
        <f>+'01-FR-03 POA INSTITUCIONAL'!D53</f>
        <v>4.1.6 Implementar en un 100% las actividades programadas en el plan de uso y apropiación de las TIC, para una óptima gestión institucional</v>
      </c>
      <c r="E21" s="37">
        <f>+'01-FR-03 POA INSTITUCIONAL'!E53</f>
        <v>0.15</v>
      </c>
      <c r="F21" s="149">
        <f>+'01-FR-03 POA INSTITUCIONAL'!F53</f>
        <v>1</v>
      </c>
      <c r="G21" s="149">
        <f>+'01-FR-03 POA INSTITUCIONAL'!L53</f>
        <v>0.4</v>
      </c>
      <c r="H21" s="129" t="str">
        <f>+'01-FR-03 POA INSTITUCIONAL'!G53</f>
        <v>S.I.</v>
      </c>
      <c r="I21" s="230" t="str">
        <f>+'01-FR-03 POA INSTITUCIONAL'!H53</f>
        <v>Porcentaje de actividades ejecutadas del plan de uso y apropiación</v>
      </c>
      <c r="J21" s="217" t="s">
        <v>335</v>
      </c>
      <c r="K21" s="348" t="s">
        <v>737</v>
      </c>
      <c r="L21" s="312" t="s">
        <v>336</v>
      </c>
      <c r="M21" s="231" t="s">
        <v>326</v>
      </c>
      <c r="N21" s="217" t="s">
        <v>337</v>
      </c>
      <c r="O21" s="67" t="s">
        <v>318</v>
      </c>
      <c r="P21" s="134">
        <v>0.02</v>
      </c>
      <c r="Q21" s="134"/>
      <c r="R21" s="134">
        <v>0.02</v>
      </c>
      <c r="S21" s="134"/>
      <c r="T21" s="134">
        <v>0.03</v>
      </c>
      <c r="U21" s="134"/>
      <c r="V21" s="52">
        <f t="shared" si="0"/>
        <v>7.0000000000000007E-2</v>
      </c>
      <c r="W21" s="52">
        <f t="shared" si="0"/>
        <v>0</v>
      </c>
      <c r="X21" s="134">
        <v>0.04</v>
      </c>
      <c r="Y21" s="134"/>
      <c r="Z21" s="134">
        <v>0.04</v>
      </c>
      <c r="AA21" s="134"/>
      <c r="AB21" s="134">
        <v>0.05</v>
      </c>
      <c r="AC21" s="134"/>
      <c r="AD21" s="52">
        <f t="shared" si="1"/>
        <v>0.13</v>
      </c>
      <c r="AE21" s="52">
        <f t="shared" si="1"/>
        <v>0</v>
      </c>
      <c r="AF21" s="134">
        <v>0.05</v>
      </c>
      <c r="AG21" s="134"/>
      <c r="AH21" s="134">
        <v>0.04</v>
      </c>
      <c r="AI21" s="134"/>
      <c r="AJ21" s="134">
        <v>0.04</v>
      </c>
      <c r="AK21" s="134"/>
      <c r="AL21" s="52">
        <f t="shared" si="2"/>
        <v>0.13</v>
      </c>
      <c r="AM21" s="52">
        <f t="shared" si="2"/>
        <v>0</v>
      </c>
      <c r="AN21" s="134">
        <v>0.03</v>
      </c>
      <c r="AO21" s="134"/>
      <c r="AP21" s="134">
        <v>0.02</v>
      </c>
      <c r="AQ21" s="134"/>
      <c r="AR21" s="134">
        <v>0.02</v>
      </c>
      <c r="AS21" s="134"/>
      <c r="AT21" s="52">
        <f t="shared" si="5"/>
        <v>7.0000000000000007E-2</v>
      </c>
      <c r="AU21" s="52">
        <f t="shared" si="5"/>
        <v>0</v>
      </c>
      <c r="AV21" s="52">
        <f t="shared" si="6"/>
        <v>0.4</v>
      </c>
      <c r="AW21" s="66">
        <f t="shared" si="7"/>
        <v>0</v>
      </c>
      <c r="AX21" s="66">
        <f t="shared" si="8"/>
        <v>0</v>
      </c>
      <c r="AY21" s="66">
        <f t="shared" si="9"/>
        <v>0</v>
      </c>
      <c r="AZ21" s="66">
        <f t="shared" si="10"/>
        <v>0</v>
      </c>
      <c r="BA21" s="28">
        <f t="shared" si="11"/>
        <v>0</v>
      </c>
      <c r="BB21" s="28">
        <f t="shared" si="3"/>
        <v>0</v>
      </c>
      <c r="BC21" s="28">
        <f t="shared" si="3"/>
        <v>0</v>
      </c>
      <c r="BD21" s="28">
        <f t="shared" si="3"/>
        <v>0</v>
      </c>
      <c r="BE21" s="28">
        <f t="shared" si="4"/>
        <v>0</v>
      </c>
      <c r="BF21" s="28">
        <f t="shared" si="4"/>
        <v>0</v>
      </c>
      <c r="BG21" s="28">
        <f t="shared" si="4"/>
        <v>0</v>
      </c>
      <c r="BH21" s="28">
        <f t="shared" si="4"/>
        <v>0</v>
      </c>
    </row>
    <row r="22" spans="2:60" ht="81.75" customHeight="1">
      <c r="B22" s="567"/>
      <c r="C22" s="567"/>
      <c r="D22" s="19" t="str">
        <f>+'01-FR-03 POA INSTITUCIONAL'!D54</f>
        <v>4.1.7 Optimizar la infraestructura tecnológica cumpliendo el 100% de las actividades de la hoja de ruta proyectada para garantizar la prestación continua de los servicios en la Entidad</v>
      </c>
      <c r="E22" s="37">
        <f>+'01-FR-03 POA INSTITUCIONAL'!E54</f>
        <v>0.15</v>
      </c>
      <c r="F22" s="149">
        <f>+'01-FR-03 POA INSTITUCIONAL'!F54</f>
        <v>1</v>
      </c>
      <c r="G22" s="149">
        <f>+'01-FR-03 POA INSTITUCIONAL'!L54</f>
        <v>0.4</v>
      </c>
      <c r="H22" s="129" t="str">
        <f>+'01-FR-03 POA INSTITUCIONAL'!G54</f>
        <v>S.I</v>
      </c>
      <c r="I22" s="230" t="str">
        <f>+'01-FR-03 POA INSTITUCIONAL'!H54</f>
        <v>Porcentaje de actividades ejecutadas de la hoja de ruta de optimización tecnológica</v>
      </c>
      <c r="J22" s="217" t="s">
        <v>339</v>
      </c>
      <c r="K22" s="348" t="s">
        <v>738</v>
      </c>
      <c r="L22" s="312" t="s">
        <v>340</v>
      </c>
      <c r="M22" s="231" t="s">
        <v>326</v>
      </c>
      <c r="N22" s="217" t="s">
        <v>330</v>
      </c>
      <c r="O22" s="67" t="s">
        <v>318</v>
      </c>
      <c r="P22" s="134">
        <v>0.02</v>
      </c>
      <c r="Q22" s="134"/>
      <c r="R22" s="134">
        <v>0.02</v>
      </c>
      <c r="S22" s="134"/>
      <c r="T22" s="134">
        <v>0.03</v>
      </c>
      <c r="U22" s="134"/>
      <c r="V22" s="52">
        <f t="shared" si="0"/>
        <v>7.0000000000000007E-2</v>
      </c>
      <c r="W22" s="52">
        <f t="shared" si="0"/>
        <v>0</v>
      </c>
      <c r="X22" s="134">
        <v>0.04</v>
      </c>
      <c r="Y22" s="134"/>
      <c r="Z22" s="134">
        <v>0.04</v>
      </c>
      <c r="AA22" s="134"/>
      <c r="AB22" s="134">
        <v>0.05</v>
      </c>
      <c r="AC22" s="134"/>
      <c r="AD22" s="52">
        <f t="shared" si="1"/>
        <v>0.13</v>
      </c>
      <c r="AE22" s="52">
        <f t="shared" si="1"/>
        <v>0</v>
      </c>
      <c r="AF22" s="134">
        <v>0.05</v>
      </c>
      <c r="AG22" s="134"/>
      <c r="AH22" s="134">
        <v>0.04</v>
      </c>
      <c r="AI22" s="134"/>
      <c r="AJ22" s="134">
        <v>0.04</v>
      </c>
      <c r="AK22" s="134"/>
      <c r="AL22" s="52">
        <f t="shared" si="2"/>
        <v>0.13</v>
      </c>
      <c r="AM22" s="52">
        <f t="shared" si="2"/>
        <v>0</v>
      </c>
      <c r="AN22" s="134">
        <v>0.03</v>
      </c>
      <c r="AO22" s="134"/>
      <c r="AP22" s="134">
        <v>0.02</v>
      </c>
      <c r="AQ22" s="134"/>
      <c r="AR22" s="134">
        <v>0.02</v>
      </c>
      <c r="AS22" s="134"/>
      <c r="AT22" s="52">
        <f t="shared" si="5"/>
        <v>7.0000000000000007E-2</v>
      </c>
      <c r="AU22" s="52">
        <f t="shared" si="5"/>
        <v>0</v>
      </c>
      <c r="AV22" s="52">
        <f t="shared" si="6"/>
        <v>0.4</v>
      </c>
      <c r="AW22" s="66">
        <f t="shared" si="7"/>
        <v>0</v>
      </c>
      <c r="AX22" s="66">
        <f t="shared" si="8"/>
        <v>0</v>
      </c>
      <c r="AY22" s="66">
        <f t="shared" si="9"/>
        <v>0</v>
      </c>
      <c r="AZ22" s="66">
        <f t="shared" si="10"/>
        <v>0</v>
      </c>
      <c r="BA22" s="28">
        <f t="shared" si="11"/>
        <v>0</v>
      </c>
      <c r="BB22" s="28">
        <f t="shared" si="3"/>
        <v>0</v>
      </c>
      <c r="BC22" s="28">
        <f t="shared" si="3"/>
        <v>0</v>
      </c>
      <c r="BD22" s="28">
        <f t="shared" si="3"/>
        <v>0</v>
      </c>
      <c r="BE22" s="28">
        <f t="shared" si="4"/>
        <v>0</v>
      </c>
      <c r="BF22" s="28">
        <f t="shared" si="4"/>
        <v>0</v>
      </c>
      <c r="BG22" s="28">
        <f t="shared" si="4"/>
        <v>0</v>
      </c>
      <c r="BH22" s="28">
        <f t="shared" si="4"/>
        <v>0</v>
      </c>
    </row>
    <row r="23" spans="2:60" ht="22.8">
      <c r="B23" s="496"/>
      <c r="C23" s="497"/>
      <c r="D23" s="497"/>
      <c r="E23" s="497"/>
      <c r="F23" s="497"/>
      <c r="G23" s="497"/>
      <c r="H23" s="497"/>
      <c r="I23" s="497"/>
      <c r="J23" s="497"/>
      <c r="K23" s="497"/>
      <c r="L23" s="497"/>
      <c r="M23" s="497"/>
      <c r="N23" s="497"/>
      <c r="O23" s="497"/>
      <c r="P23" s="497"/>
      <c r="Q23" s="497"/>
      <c r="R23" s="497"/>
      <c r="S23" s="497"/>
      <c r="T23" s="497"/>
      <c r="U23" s="497"/>
      <c r="V23" s="497"/>
      <c r="W23" s="497"/>
      <c r="X23" s="497"/>
      <c r="Y23" s="497"/>
      <c r="Z23" s="497"/>
      <c r="AA23" s="497"/>
      <c r="AB23" s="497"/>
      <c r="AC23" s="497"/>
      <c r="AD23" s="497"/>
      <c r="AE23" s="497"/>
      <c r="AF23" s="497"/>
      <c r="AG23" s="497"/>
      <c r="AH23" s="497"/>
      <c r="AI23" s="497"/>
      <c r="AJ23" s="497"/>
      <c r="AK23" s="497"/>
      <c r="AL23" s="497"/>
      <c r="AM23" s="497"/>
      <c r="AN23" s="497"/>
      <c r="AO23" s="497"/>
      <c r="AP23" s="497"/>
      <c r="AQ23" s="497"/>
      <c r="AR23" s="497"/>
      <c r="AS23" s="497"/>
      <c r="AT23" s="497"/>
      <c r="AU23" s="497"/>
      <c r="AV23" s="497"/>
      <c r="AW23" s="548"/>
      <c r="AX23" s="518" t="s">
        <v>19</v>
      </c>
      <c r="AY23" s="570"/>
      <c r="AZ23" s="570"/>
      <c r="BA23" s="56">
        <f t="shared" ref="BA23:BH23" si="12">AVERAGE(BA16:BA22)</f>
        <v>0</v>
      </c>
      <c r="BB23" s="56">
        <f t="shared" si="12"/>
        <v>0</v>
      </c>
      <c r="BC23" s="56">
        <f t="shared" si="12"/>
        <v>0</v>
      </c>
      <c r="BD23" s="56">
        <f t="shared" si="12"/>
        <v>0</v>
      </c>
      <c r="BE23" s="56">
        <f t="shared" si="12"/>
        <v>0</v>
      </c>
      <c r="BF23" s="56">
        <f t="shared" si="12"/>
        <v>0</v>
      </c>
      <c r="BG23" s="56">
        <f t="shared" si="12"/>
        <v>0</v>
      </c>
      <c r="BH23" s="56">
        <f t="shared" si="12"/>
        <v>0</v>
      </c>
    </row>
    <row r="24" spans="2:60">
      <c r="B24" s="453"/>
      <c r="C24" s="453"/>
      <c r="D24" s="453"/>
      <c r="E24" s="453"/>
      <c r="F24" s="453"/>
      <c r="G24" s="453"/>
      <c r="H24" s="223"/>
      <c r="I24" s="224"/>
      <c r="J24" s="224"/>
      <c r="K24" s="224"/>
      <c r="L24" s="224"/>
      <c r="M24" s="224"/>
      <c r="N24" s="224"/>
      <c r="O24" s="224"/>
    </row>
    <row r="25" spans="2:60">
      <c r="B25" s="224"/>
      <c r="C25" s="224"/>
      <c r="D25" s="549"/>
      <c r="E25" s="549"/>
      <c r="F25" s="549"/>
      <c r="G25" s="549"/>
      <c r="H25" s="549"/>
      <c r="I25" s="549"/>
      <c r="J25" s="549"/>
      <c r="K25" s="549"/>
      <c r="L25" s="549"/>
      <c r="M25" s="549"/>
      <c r="N25" s="549"/>
      <c r="O25" s="549"/>
    </row>
    <row r="26" spans="2:60" ht="15.6" customHeight="1">
      <c r="B26" s="63" t="s">
        <v>26</v>
      </c>
      <c r="C26" s="31">
        <v>44221</v>
      </c>
      <c r="D26" s="226"/>
      <c r="E26" s="558" t="s">
        <v>50</v>
      </c>
      <c r="F26" s="550" t="s">
        <v>344</v>
      </c>
      <c r="G26" s="551"/>
      <c r="H26" s="551"/>
      <c r="I26" s="551"/>
      <c r="J26" s="552"/>
      <c r="K26" s="227"/>
      <c r="L26" s="559"/>
      <c r="M26" s="559"/>
      <c r="N26" s="559"/>
      <c r="O26" s="560"/>
    </row>
    <row r="27" spans="2:60" ht="15.6">
      <c r="B27" s="224"/>
      <c r="C27" s="224"/>
      <c r="D27" s="227"/>
      <c r="E27" s="558"/>
      <c r="F27" s="553"/>
      <c r="G27" s="554"/>
      <c r="H27" s="554"/>
      <c r="I27" s="554"/>
      <c r="J27" s="555"/>
      <c r="K27" s="224"/>
      <c r="L27" s="224"/>
      <c r="M27" s="224"/>
      <c r="N27" s="224"/>
      <c r="O27" s="224"/>
    </row>
    <row r="28" spans="2:60" ht="15.6">
      <c r="B28" s="63" t="s">
        <v>49</v>
      </c>
      <c r="C28" s="65">
        <v>44581</v>
      </c>
      <c r="D28" s="224"/>
      <c r="E28" s="224"/>
      <c r="F28" s="224"/>
      <c r="K28" s="224"/>
      <c r="L28" s="224"/>
      <c r="M28" s="224"/>
      <c r="N28" s="224"/>
      <c r="O28" s="224"/>
    </row>
    <row r="29" spans="2:60">
      <c r="B29" s="224"/>
      <c r="C29" s="224"/>
      <c r="D29" s="224"/>
      <c r="E29" s="224"/>
      <c r="F29" s="224"/>
      <c r="K29" s="224"/>
      <c r="L29" s="224"/>
      <c r="M29" s="224"/>
      <c r="N29" s="224"/>
      <c r="O29" s="224"/>
    </row>
    <row r="30" spans="2:60">
      <c r="B30" s="189" t="s">
        <v>673</v>
      </c>
      <c r="C30" s="224"/>
      <c r="D30" s="224"/>
      <c r="E30" s="224"/>
      <c r="F30" s="224"/>
      <c r="G30" s="223"/>
      <c r="H30" s="223"/>
      <c r="I30" s="575"/>
      <c r="J30" s="575"/>
      <c r="K30" s="575"/>
      <c r="L30" s="575"/>
      <c r="M30" s="228"/>
      <c r="N30" s="228"/>
      <c r="O30" s="228"/>
    </row>
    <row r="31" spans="2:60">
      <c r="B31" s="224"/>
      <c r="C31" s="224"/>
      <c r="D31" s="224"/>
      <c r="E31" s="224"/>
      <c r="F31" s="224"/>
      <c r="G31" s="223"/>
      <c r="H31" s="223"/>
      <c r="I31" s="224"/>
      <c r="J31" s="224"/>
      <c r="K31" s="229"/>
      <c r="L31" s="224"/>
      <c r="M31" s="224"/>
      <c r="N31" s="224"/>
      <c r="O31" s="224"/>
    </row>
    <row r="32" spans="2:60">
      <c r="B32" s="224"/>
      <c r="C32" s="224"/>
      <c r="D32" s="224"/>
      <c r="E32" s="224"/>
      <c r="F32" s="224"/>
      <c r="G32" s="223"/>
      <c r="H32" s="223"/>
      <c r="I32" s="575"/>
      <c r="J32" s="575"/>
      <c r="K32" s="575"/>
      <c r="L32" s="575"/>
      <c r="M32" s="228"/>
      <c r="N32" s="228"/>
      <c r="O32" s="228"/>
    </row>
    <row r="33" spans="2:15">
      <c r="B33" s="224"/>
      <c r="C33" s="224"/>
      <c r="D33" s="224"/>
      <c r="E33" s="224"/>
      <c r="F33" s="224"/>
      <c r="G33" s="223"/>
      <c r="H33" s="223"/>
      <c r="I33" s="224"/>
      <c r="J33" s="224"/>
      <c r="K33" s="229"/>
      <c r="L33" s="224"/>
      <c r="M33" s="224"/>
      <c r="N33" s="224"/>
      <c r="O33" s="224"/>
    </row>
    <row r="34" spans="2:15">
      <c r="B34" s="224"/>
      <c r="C34" s="224"/>
      <c r="D34" s="224"/>
      <c r="E34" s="224"/>
      <c r="F34" s="224"/>
      <c r="G34" s="223"/>
      <c r="H34" s="223"/>
      <c r="I34" s="575"/>
      <c r="J34" s="575"/>
      <c r="K34" s="575"/>
      <c r="L34" s="575"/>
      <c r="M34" s="228"/>
      <c r="N34" s="228"/>
      <c r="O34" s="228"/>
    </row>
  </sheetData>
  <sheetProtection algorithmName="SHA-512" hashValue="73ezbUQmoqWfBHZLOxq++v8XbEztK9HqmgrVjYPZH2KxbNbFEsGyxK1PDa7oh/OsD2/xN0Np7lp9UFTw3lt61g==" saltValue="c+yLx632vQ1RfkBQFbPF+w==" spinCount="100000" sheet="1" objects="1" scenarios="1"/>
  <mergeCells count="70">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16:B22"/>
    <mergeCell ref="C16:C22"/>
    <mergeCell ref="AD14:AE14"/>
    <mergeCell ref="AF14:AG14"/>
    <mergeCell ref="AH14:AI14"/>
    <mergeCell ref="K12:K15"/>
    <mergeCell ref="L12:L15"/>
    <mergeCell ref="M12:M15"/>
    <mergeCell ref="G12:G15"/>
    <mergeCell ref="F12:F15"/>
    <mergeCell ref="AL14:AM14"/>
    <mergeCell ref="AN14:AO14"/>
    <mergeCell ref="N12:N15"/>
    <mergeCell ref="O12:O15"/>
    <mergeCell ref="H12:H15"/>
    <mergeCell ref="I12:I15"/>
    <mergeCell ref="J12:J15"/>
    <mergeCell ref="I32:L32"/>
    <mergeCell ref="I34:L34"/>
    <mergeCell ref="B24:G24"/>
    <mergeCell ref="AX23:AZ23"/>
    <mergeCell ref="D25:O25"/>
    <mergeCell ref="E26:E27"/>
    <mergeCell ref="L26:O26"/>
    <mergeCell ref="I30:L30"/>
    <mergeCell ref="B23:AW23"/>
    <mergeCell ref="F26:J27"/>
  </mergeCells>
  <conditionalFormatting sqref="BA16:BD16 BB17:BD22">
    <cfRule type="cellIs" dxfId="164" priority="7" operator="between">
      <formula>0.7</formula>
      <formula>1</formula>
    </cfRule>
    <cfRule type="cellIs" dxfId="163" priority="8" operator="between">
      <formula>0.51</formula>
      <formula>0.69</formula>
    </cfRule>
    <cfRule type="cellIs" dxfId="162" priority="9" operator="between">
      <formula>0</formula>
      <formula>0.5</formula>
    </cfRule>
  </conditionalFormatting>
  <conditionalFormatting sqref="BA17:BA22">
    <cfRule type="cellIs" dxfId="161" priority="4" operator="between">
      <formula>0.7</formula>
      <formula>1</formula>
    </cfRule>
    <cfRule type="cellIs" dxfId="160" priority="5" operator="between">
      <formula>0.51</formula>
      <formula>0.69</formula>
    </cfRule>
    <cfRule type="cellIs" dxfId="159" priority="6" operator="between">
      <formula>0</formula>
      <formula>0.5</formula>
    </cfRule>
  </conditionalFormatting>
  <conditionalFormatting sqref="BE16:BH22">
    <cfRule type="cellIs" dxfId="158" priority="1" operator="between">
      <formula>0.7</formula>
      <formula>1</formula>
    </cfRule>
    <cfRule type="cellIs" dxfId="157" priority="2" operator="between">
      <formula>0.51</formula>
      <formula>0.69</formula>
    </cfRule>
    <cfRule type="cellIs" dxfId="156"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9B34EA13-6FCC-480D-84D3-ED35F4079A67}"/>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2635A-C279-4598-ABE3-DAD82A9CF677}">
  <sheetPr>
    <tabColor rgb="FF92D050"/>
  </sheetPr>
  <dimension ref="B1:BH29"/>
  <sheetViews>
    <sheetView showGridLines="0" zoomScale="70" zoomScaleNormal="70" workbookViewId="0">
      <selection activeCell="C23" sqref="C23"/>
    </sheetView>
  </sheetViews>
  <sheetFormatPr baseColWidth="10" defaultColWidth="17.33203125" defaultRowHeight="15" customHeight="1"/>
  <cols>
    <col min="1" max="1" width="4.33203125" style="1" customWidth="1"/>
    <col min="2" max="2" width="50.44140625" style="3" customWidth="1"/>
    <col min="3" max="3" width="37.6640625" style="3" customWidth="1"/>
    <col min="4" max="4" width="49.6640625" style="3" customWidth="1"/>
    <col min="5" max="6" width="27.44140625" style="3" customWidth="1"/>
    <col min="7" max="8" width="29.33203125" style="5" customWidth="1"/>
    <col min="9" max="9" width="21.44140625" style="3" customWidth="1"/>
    <col min="10" max="10" width="31.88671875" style="3" customWidth="1"/>
    <col min="11" max="11" width="55.88671875" style="3" customWidth="1"/>
    <col min="12" max="12" width="48.44140625" style="3" customWidth="1"/>
    <col min="13" max="14" width="28.44140625" style="3" customWidth="1"/>
    <col min="15" max="15" width="50" style="3" customWidth="1"/>
    <col min="16" max="47" width="15.88671875" style="1" customWidth="1"/>
    <col min="48" max="48" width="24.44140625" style="1" customWidth="1"/>
    <col min="49" max="49" width="22.88671875" style="1" customWidth="1"/>
    <col min="50" max="50" width="19.33203125" style="1" customWidth="1"/>
    <col min="51" max="51" width="18.44140625" style="1" customWidth="1"/>
    <col min="52" max="52" width="19.44140625" style="1" customWidth="1"/>
    <col min="53" max="53" width="23.33203125" style="1" customWidth="1"/>
    <col min="54" max="55" width="25.109375" style="1" customWidth="1"/>
    <col min="56" max="56" width="26.6640625" style="1" customWidth="1"/>
    <col min="57" max="57" width="26.33203125" style="1" customWidth="1"/>
    <col min="58" max="58" width="26.44140625" style="1" customWidth="1"/>
    <col min="59" max="59" width="26.33203125" style="1" customWidth="1"/>
    <col min="60" max="60" width="27.33203125" style="1" customWidth="1"/>
    <col min="61" max="16384" width="17.33203125" style="1"/>
  </cols>
  <sheetData>
    <row r="1" spans="2:60" ht="15.6" thickBot="1"/>
    <row r="2" spans="2:60" ht="15.6" customHeight="1">
      <c r="B2" s="489" t="s">
        <v>671</v>
      </c>
      <c r="C2" s="534" t="s">
        <v>117</v>
      </c>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35"/>
      <c r="AL2" s="535"/>
      <c r="AM2" s="535"/>
      <c r="AN2" s="535"/>
      <c r="AO2" s="535"/>
      <c r="AP2" s="535"/>
      <c r="AQ2" s="535"/>
      <c r="AR2" s="535"/>
      <c r="AS2" s="535"/>
      <c r="AT2" s="535"/>
      <c r="AU2" s="535"/>
      <c r="AV2" s="535"/>
      <c r="AW2" s="535"/>
      <c r="AX2" s="535"/>
      <c r="AY2" s="535"/>
      <c r="AZ2" s="535"/>
      <c r="BA2" s="535"/>
      <c r="BB2" s="535"/>
      <c r="BC2" s="535"/>
      <c r="BD2" s="535"/>
      <c r="BE2" s="535"/>
      <c r="BF2" s="536"/>
      <c r="BG2" s="190" t="s">
        <v>31</v>
      </c>
      <c r="BH2" s="191"/>
    </row>
    <row r="3" spans="2:60" ht="15.6" customHeight="1">
      <c r="B3" s="490"/>
      <c r="C3" s="537"/>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8"/>
      <c r="AZ3" s="538"/>
      <c r="BA3" s="538"/>
      <c r="BB3" s="538"/>
      <c r="BC3" s="538"/>
      <c r="BD3" s="538"/>
      <c r="BE3" s="538"/>
      <c r="BF3" s="539"/>
      <c r="BG3" s="192" t="s">
        <v>28</v>
      </c>
      <c r="BH3" s="17" t="s">
        <v>29</v>
      </c>
    </row>
    <row r="4" spans="2:60" ht="15" customHeight="1">
      <c r="B4" s="490"/>
      <c r="C4" s="537"/>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538"/>
      <c r="BF4" s="539"/>
      <c r="BG4" s="193">
        <v>5</v>
      </c>
      <c r="BH4" s="18" t="s">
        <v>641</v>
      </c>
    </row>
    <row r="5" spans="2:60" ht="15.6" customHeight="1">
      <c r="B5" s="490"/>
      <c r="C5" s="537"/>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538"/>
      <c r="BF5" s="539"/>
      <c r="BG5" s="194" t="s">
        <v>30</v>
      </c>
      <c r="BH5" s="195"/>
    </row>
    <row r="6" spans="2:60" ht="15.6" customHeight="1" thickBot="1">
      <c r="B6" s="491"/>
      <c r="C6" s="540"/>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1"/>
      <c r="AN6" s="541"/>
      <c r="AO6" s="541"/>
      <c r="AP6" s="541"/>
      <c r="AQ6" s="541"/>
      <c r="AR6" s="541"/>
      <c r="AS6" s="541"/>
      <c r="AT6" s="541"/>
      <c r="AU6" s="541"/>
      <c r="AV6" s="541"/>
      <c r="AW6" s="541"/>
      <c r="AX6" s="541"/>
      <c r="AY6" s="541"/>
      <c r="AZ6" s="541"/>
      <c r="BA6" s="541"/>
      <c r="BB6" s="541"/>
      <c r="BC6" s="541"/>
      <c r="BD6" s="541"/>
      <c r="BE6" s="541"/>
      <c r="BF6" s="542"/>
      <c r="BG6" s="556">
        <v>43941</v>
      </c>
      <c r="BH6" s="557"/>
    </row>
    <row r="7" spans="2:60">
      <c r="B7" s="2"/>
      <c r="C7" s="2"/>
      <c r="D7" s="2"/>
      <c r="E7" s="2"/>
      <c r="F7" s="2"/>
      <c r="G7" s="4"/>
      <c r="H7" s="4"/>
      <c r="I7" s="2"/>
      <c r="J7" s="2"/>
      <c r="K7" s="2"/>
      <c r="L7" s="2"/>
      <c r="M7" s="2"/>
      <c r="N7" s="2"/>
      <c r="O7" s="2"/>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07"/>
      <c r="AX7" s="608"/>
      <c r="AY7" s="608"/>
      <c r="AZ7" s="608"/>
      <c r="BA7" s="609"/>
      <c r="BB7" s="25"/>
      <c r="BC7" s="25"/>
      <c r="BD7" s="25"/>
      <c r="BE7" s="6"/>
      <c r="BF7" s="6"/>
    </row>
    <row r="8" spans="2:60" ht="24.6">
      <c r="B8" s="11" t="s">
        <v>45</v>
      </c>
      <c r="C8" s="610" t="s">
        <v>85</v>
      </c>
      <c r="D8" s="610"/>
      <c r="E8" s="9"/>
      <c r="F8" s="9"/>
      <c r="G8" s="9"/>
      <c r="H8" s="9"/>
      <c r="I8" s="9"/>
      <c r="J8" s="9"/>
      <c r="K8" s="9"/>
      <c r="L8" s="9"/>
      <c r="M8" s="9"/>
      <c r="N8" s="9"/>
      <c r="O8" s="9"/>
      <c r="AW8" s="25"/>
      <c r="AX8" s="25"/>
      <c r="AY8" s="25"/>
      <c r="AZ8" s="25"/>
      <c r="BA8" s="25"/>
      <c r="BB8" s="25"/>
      <c r="BC8" s="25"/>
      <c r="BD8" s="25"/>
    </row>
    <row r="9" spans="2:60" ht="50.25" customHeight="1">
      <c r="B9" s="11" t="s">
        <v>34</v>
      </c>
      <c r="C9" s="611" t="s">
        <v>246</v>
      </c>
      <c r="D9" s="612"/>
      <c r="E9" s="9"/>
      <c r="F9" s="9"/>
      <c r="G9" s="9"/>
      <c r="H9" s="9"/>
      <c r="I9" s="9"/>
      <c r="J9" s="9"/>
      <c r="K9" s="9"/>
      <c r="L9" s="9"/>
      <c r="M9" s="9"/>
      <c r="N9" s="9"/>
      <c r="O9" s="9"/>
      <c r="AW9" s="25"/>
      <c r="AX9" s="25"/>
      <c r="AY9" s="25"/>
      <c r="AZ9" s="25"/>
      <c r="BA9" s="25"/>
      <c r="BB9" s="25"/>
      <c r="BC9" s="25"/>
      <c r="BD9" s="25"/>
    </row>
    <row r="10" spans="2:60" ht="24.6">
      <c r="B10" s="11" t="s">
        <v>100</v>
      </c>
      <c r="C10" s="615">
        <v>2022</v>
      </c>
      <c r="D10" s="616"/>
      <c r="E10" s="9"/>
      <c r="F10" s="9"/>
      <c r="G10" s="9"/>
      <c r="H10" s="9"/>
      <c r="I10" s="9"/>
      <c r="J10" s="9"/>
      <c r="K10" s="9"/>
      <c r="L10" s="9"/>
      <c r="M10" s="9"/>
      <c r="N10" s="9"/>
      <c r="O10" s="9"/>
      <c r="AW10" s="25"/>
      <c r="AX10" s="25"/>
      <c r="AY10" s="25"/>
      <c r="AZ10" s="25"/>
      <c r="BA10" s="25"/>
      <c r="BB10" s="25"/>
      <c r="BC10" s="25"/>
      <c r="BD10" s="25"/>
    </row>
    <row r="11" spans="2:60">
      <c r="B11" s="2"/>
      <c r="C11" s="2"/>
      <c r="D11" s="2"/>
      <c r="E11" s="2"/>
      <c r="F11" s="2"/>
      <c r="G11" s="4"/>
      <c r="H11" s="4"/>
      <c r="I11" s="2"/>
      <c r="J11" s="2"/>
      <c r="K11" s="2"/>
      <c r="L11" s="2"/>
      <c r="M11" s="2"/>
      <c r="N11" s="2"/>
      <c r="O11" s="2"/>
      <c r="AW11" s="25"/>
      <c r="AX11" s="25"/>
      <c r="AY11" s="25"/>
      <c r="AZ11" s="25"/>
      <c r="BA11" s="25"/>
      <c r="BB11" s="25"/>
      <c r="BC11" s="25"/>
      <c r="BD11" s="25"/>
    </row>
    <row r="12" spans="2:60" ht="15.6" customHeight="1">
      <c r="B12" s="527" t="s">
        <v>0</v>
      </c>
      <c r="C12" s="527" t="s">
        <v>52</v>
      </c>
      <c r="D12" s="526" t="s">
        <v>674</v>
      </c>
      <c r="E12" s="527" t="s">
        <v>60</v>
      </c>
      <c r="F12" s="527" t="s">
        <v>743</v>
      </c>
      <c r="G12" s="527" t="s">
        <v>57</v>
      </c>
      <c r="H12" s="527" t="s">
        <v>25</v>
      </c>
      <c r="I12" s="527" t="s">
        <v>59</v>
      </c>
      <c r="J12" s="527" t="s">
        <v>39</v>
      </c>
      <c r="K12" s="527" t="s">
        <v>36</v>
      </c>
      <c r="L12" s="527" t="s">
        <v>20</v>
      </c>
      <c r="M12" s="527" t="s">
        <v>51</v>
      </c>
      <c r="N12" s="527" t="s">
        <v>40</v>
      </c>
      <c r="O12" s="527" t="s">
        <v>42</v>
      </c>
      <c r="P12" s="597" t="s">
        <v>111</v>
      </c>
      <c r="Q12" s="597"/>
      <c r="R12" s="597"/>
      <c r="S12" s="597"/>
      <c r="T12" s="597"/>
      <c r="U12" s="597"/>
      <c r="V12" s="597"/>
      <c r="W12" s="597"/>
      <c r="X12" s="597"/>
      <c r="Y12" s="597"/>
      <c r="Z12" s="597"/>
      <c r="AA12" s="597"/>
      <c r="AB12" s="597"/>
      <c r="AC12" s="597"/>
      <c r="AD12" s="597"/>
      <c r="AE12" s="597"/>
      <c r="AF12" s="597"/>
      <c r="AG12" s="597"/>
      <c r="AH12" s="597"/>
      <c r="AI12" s="597"/>
      <c r="AJ12" s="597"/>
      <c r="AK12" s="597"/>
      <c r="AL12" s="597"/>
      <c r="AM12" s="597"/>
      <c r="AN12" s="597"/>
      <c r="AO12" s="597"/>
      <c r="AP12" s="597"/>
      <c r="AQ12" s="597"/>
      <c r="AR12" s="597"/>
      <c r="AS12" s="597"/>
      <c r="AT12" s="597"/>
      <c r="AU12" s="597"/>
      <c r="AV12" s="614" t="s">
        <v>61</v>
      </c>
      <c r="AW12" s="520" t="s">
        <v>675</v>
      </c>
      <c r="AX12" s="521"/>
      <c r="AY12" s="521"/>
      <c r="AZ12" s="522"/>
      <c r="BA12" s="508" t="s">
        <v>676</v>
      </c>
      <c r="BB12" s="509"/>
      <c r="BC12" s="509"/>
      <c r="BD12" s="510"/>
      <c r="BE12" s="502" t="s">
        <v>677</v>
      </c>
      <c r="BF12" s="503"/>
      <c r="BG12" s="503"/>
      <c r="BH12" s="504"/>
    </row>
    <row r="13" spans="2:60" ht="15.6">
      <c r="B13" s="527"/>
      <c r="C13" s="527"/>
      <c r="D13" s="526"/>
      <c r="E13" s="527"/>
      <c r="F13" s="527"/>
      <c r="G13" s="527"/>
      <c r="H13" s="527"/>
      <c r="I13" s="527"/>
      <c r="J13" s="527"/>
      <c r="K13" s="527"/>
      <c r="L13" s="527"/>
      <c r="M13" s="527"/>
      <c r="N13" s="527"/>
      <c r="O13" s="527"/>
      <c r="P13" s="613" t="s">
        <v>21</v>
      </c>
      <c r="Q13" s="613"/>
      <c r="R13" s="613"/>
      <c r="S13" s="613"/>
      <c r="T13" s="613"/>
      <c r="U13" s="613"/>
      <c r="V13" s="613"/>
      <c r="W13" s="613"/>
      <c r="X13" s="613" t="s">
        <v>22</v>
      </c>
      <c r="Y13" s="613"/>
      <c r="Z13" s="613"/>
      <c r="AA13" s="613"/>
      <c r="AB13" s="613"/>
      <c r="AC13" s="613"/>
      <c r="AD13" s="613"/>
      <c r="AE13" s="613"/>
      <c r="AF13" s="613" t="s">
        <v>23</v>
      </c>
      <c r="AG13" s="613"/>
      <c r="AH13" s="613"/>
      <c r="AI13" s="613"/>
      <c r="AJ13" s="613"/>
      <c r="AK13" s="613"/>
      <c r="AL13" s="613"/>
      <c r="AM13" s="613"/>
      <c r="AN13" s="613" t="s">
        <v>24</v>
      </c>
      <c r="AO13" s="613"/>
      <c r="AP13" s="613"/>
      <c r="AQ13" s="613"/>
      <c r="AR13" s="613"/>
      <c r="AS13" s="613"/>
      <c r="AT13" s="613"/>
      <c r="AU13" s="613"/>
      <c r="AV13" s="614"/>
      <c r="AW13" s="601" t="s">
        <v>118</v>
      </c>
      <c r="AX13" s="601" t="s">
        <v>22</v>
      </c>
      <c r="AY13" s="601" t="s">
        <v>119</v>
      </c>
      <c r="AZ13" s="601" t="s">
        <v>120</v>
      </c>
      <c r="BA13" s="604" t="s">
        <v>118</v>
      </c>
      <c r="BB13" s="604" t="s">
        <v>121</v>
      </c>
      <c r="BC13" s="604" t="s">
        <v>122</v>
      </c>
      <c r="BD13" s="604" t="s">
        <v>123</v>
      </c>
      <c r="BE13" s="598" t="s">
        <v>21</v>
      </c>
      <c r="BF13" s="598" t="s">
        <v>22</v>
      </c>
      <c r="BG13" s="598" t="s">
        <v>23</v>
      </c>
      <c r="BH13" s="598" t="s">
        <v>24</v>
      </c>
    </row>
    <row r="14" spans="2:60" ht="15.6">
      <c r="B14" s="527"/>
      <c r="C14" s="527"/>
      <c r="D14" s="526"/>
      <c r="E14" s="527"/>
      <c r="F14" s="527"/>
      <c r="G14" s="527"/>
      <c r="H14" s="527"/>
      <c r="I14" s="527"/>
      <c r="J14" s="527"/>
      <c r="K14" s="527"/>
      <c r="L14" s="527"/>
      <c r="M14" s="527"/>
      <c r="N14" s="527"/>
      <c r="O14" s="527"/>
      <c r="P14" s="596" t="s">
        <v>5</v>
      </c>
      <c r="Q14" s="596"/>
      <c r="R14" s="596" t="s">
        <v>6</v>
      </c>
      <c r="S14" s="596"/>
      <c r="T14" s="596" t="s">
        <v>7</v>
      </c>
      <c r="U14" s="596"/>
      <c r="V14" s="597" t="s">
        <v>8</v>
      </c>
      <c r="W14" s="597"/>
      <c r="X14" s="596" t="s">
        <v>27</v>
      </c>
      <c r="Y14" s="596"/>
      <c r="Z14" s="596" t="s">
        <v>9</v>
      </c>
      <c r="AA14" s="596"/>
      <c r="AB14" s="596" t="s">
        <v>10</v>
      </c>
      <c r="AC14" s="596"/>
      <c r="AD14" s="597" t="s">
        <v>8</v>
      </c>
      <c r="AE14" s="597"/>
      <c r="AF14" s="596" t="s">
        <v>11</v>
      </c>
      <c r="AG14" s="596"/>
      <c r="AH14" s="596" t="s">
        <v>12</v>
      </c>
      <c r="AI14" s="596"/>
      <c r="AJ14" s="596" t="s">
        <v>13</v>
      </c>
      <c r="AK14" s="596"/>
      <c r="AL14" s="597" t="s">
        <v>8</v>
      </c>
      <c r="AM14" s="597"/>
      <c r="AN14" s="596" t="s">
        <v>14</v>
      </c>
      <c r="AO14" s="596"/>
      <c r="AP14" s="596" t="s">
        <v>15</v>
      </c>
      <c r="AQ14" s="596"/>
      <c r="AR14" s="596" t="s">
        <v>16</v>
      </c>
      <c r="AS14" s="596"/>
      <c r="AT14" s="597" t="s">
        <v>8</v>
      </c>
      <c r="AU14" s="597"/>
      <c r="AV14" s="614"/>
      <c r="AW14" s="602"/>
      <c r="AX14" s="602"/>
      <c r="AY14" s="602"/>
      <c r="AZ14" s="602"/>
      <c r="BA14" s="605"/>
      <c r="BB14" s="605"/>
      <c r="BC14" s="605"/>
      <c r="BD14" s="605"/>
      <c r="BE14" s="599"/>
      <c r="BF14" s="599"/>
      <c r="BG14" s="599"/>
      <c r="BH14" s="599"/>
    </row>
    <row r="15" spans="2:60" ht="13.2" customHeight="1">
      <c r="B15" s="527"/>
      <c r="C15" s="527"/>
      <c r="D15" s="526"/>
      <c r="E15" s="527"/>
      <c r="F15" s="527"/>
      <c r="G15" s="527"/>
      <c r="H15" s="527"/>
      <c r="I15" s="527"/>
      <c r="J15" s="527"/>
      <c r="K15" s="527"/>
      <c r="L15" s="527"/>
      <c r="M15" s="527"/>
      <c r="N15" s="527"/>
      <c r="O15" s="527"/>
      <c r="P15" s="40" t="s">
        <v>17</v>
      </c>
      <c r="Q15" s="41" t="s">
        <v>18</v>
      </c>
      <c r="R15" s="40" t="s">
        <v>17</v>
      </c>
      <c r="S15" s="41" t="s">
        <v>18</v>
      </c>
      <c r="T15" s="40" t="s">
        <v>17</v>
      </c>
      <c r="U15" s="41" t="s">
        <v>18</v>
      </c>
      <c r="V15" s="42" t="s">
        <v>17</v>
      </c>
      <c r="W15" s="43" t="s">
        <v>18</v>
      </c>
      <c r="X15" s="40" t="s">
        <v>17</v>
      </c>
      <c r="Y15" s="41" t="s">
        <v>18</v>
      </c>
      <c r="Z15" s="40" t="s">
        <v>17</v>
      </c>
      <c r="AA15" s="41" t="s">
        <v>18</v>
      </c>
      <c r="AB15" s="40" t="s">
        <v>17</v>
      </c>
      <c r="AC15" s="41" t="s">
        <v>18</v>
      </c>
      <c r="AD15" s="42" t="s">
        <v>17</v>
      </c>
      <c r="AE15" s="43" t="s">
        <v>18</v>
      </c>
      <c r="AF15" s="40" t="s">
        <v>17</v>
      </c>
      <c r="AG15" s="41" t="s">
        <v>18</v>
      </c>
      <c r="AH15" s="40" t="s">
        <v>17</v>
      </c>
      <c r="AI15" s="41" t="s">
        <v>18</v>
      </c>
      <c r="AJ15" s="40" t="s">
        <v>17</v>
      </c>
      <c r="AK15" s="41" t="s">
        <v>18</v>
      </c>
      <c r="AL15" s="42" t="s">
        <v>17</v>
      </c>
      <c r="AM15" s="43" t="s">
        <v>18</v>
      </c>
      <c r="AN15" s="40" t="s">
        <v>17</v>
      </c>
      <c r="AO15" s="41" t="s">
        <v>18</v>
      </c>
      <c r="AP15" s="40" t="s">
        <v>17</v>
      </c>
      <c r="AQ15" s="41" t="s">
        <v>18</v>
      </c>
      <c r="AR15" s="40" t="s">
        <v>17</v>
      </c>
      <c r="AS15" s="41" t="s">
        <v>18</v>
      </c>
      <c r="AT15" s="42" t="s">
        <v>17</v>
      </c>
      <c r="AU15" s="43" t="s">
        <v>18</v>
      </c>
      <c r="AV15" s="614"/>
      <c r="AW15" s="603"/>
      <c r="AX15" s="603"/>
      <c r="AY15" s="603"/>
      <c r="AZ15" s="603"/>
      <c r="BA15" s="606"/>
      <c r="BB15" s="606"/>
      <c r="BC15" s="606"/>
      <c r="BD15" s="606"/>
      <c r="BE15" s="600"/>
      <c r="BF15" s="600"/>
      <c r="BG15" s="600"/>
      <c r="BH15" s="600"/>
    </row>
    <row r="16" spans="2:60" ht="92.4" customHeight="1">
      <c r="B16" s="594"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594" t="str">
        <f>+'01-FR-03 POA INSTITUCIONAL'!C93</f>
        <v>4.6. Desarrollar el 100% de las estrategias de comunicación organizacional y de medios que contribuyan al logro de los objetivos institucionales y al posicionamiento de la Entidad.</v>
      </c>
      <c r="D16" s="36" t="str">
        <f>+'01-FR-03 POA INSTITUCIONAL'!D93</f>
        <v>4.6.1  Desarrollar el 100% de los productos para comunicación y divulgación externa que promuevan y difundan la gestión institucional</v>
      </c>
      <c r="E16" s="37">
        <f>+'01-FR-03 POA INSTITUCIONAL'!E93</f>
        <v>0.5</v>
      </c>
      <c r="F16" s="37">
        <f>+'01-FR-03 POA INSTITUCIONAL'!F93</f>
        <v>1</v>
      </c>
      <c r="G16" s="37">
        <f>+'01-FR-03 POA INSTITUCIONAL'!L93</f>
        <v>1</v>
      </c>
      <c r="H16" s="37">
        <f>+'01-FR-03 POA INSTITUCIONAL'!G93</f>
        <v>1</v>
      </c>
      <c r="I16" s="26" t="str">
        <f>+'01-FR-03 POA INSTITUCIONAL'!H93</f>
        <v>Productos de comunicación externa desarrollados</v>
      </c>
      <c r="J16" s="58" t="s">
        <v>570</v>
      </c>
      <c r="K16" s="47" t="s">
        <v>576</v>
      </c>
      <c r="L16" s="57" t="s">
        <v>571</v>
      </c>
      <c r="M16" s="57" t="s">
        <v>572</v>
      </c>
      <c r="N16" s="57" t="s">
        <v>573</v>
      </c>
      <c r="O16" s="48" t="str">
        <f>+'[4]POA Anualizado (Pág 1 de 3)'!J13</f>
        <v>Oficina Asesora de Comunicaciones</v>
      </c>
      <c r="P16" s="83">
        <v>1</v>
      </c>
      <c r="Q16" s="76"/>
      <c r="R16" s="83">
        <v>1</v>
      </c>
      <c r="S16" s="76"/>
      <c r="T16" s="83">
        <v>1</v>
      </c>
      <c r="U16" s="76"/>
      <c r="V16" s="75">
        <f>AVERAGE(P16,R16,T16)</f>
        <v>1</v>
      </c>
      <c r="W16" s="75">
        <f>IFERROR(AVERAGE(Q16,S16,U16),0)</f>
        <v>0</v>
      </c>
      <c r="X16" s="83">
        <v>1</v>
      </c>
      <c r="Y16" s="76"/>
      <c r="Z16" s="83">
        <v>1</v>
      </c>
      <c r="AA16" s="76"/>
      <c r="AB16" s="83">
        <v>1</v>
      </c>
      <c r="AC16" s="76"/>
      <c r="AD16" s="75">
        <f>AVERAGE(X16,Z16,AB16)</f>
        <v>1</v>
      </c>
      <c r="AE16" s="75">
        <f>IFERROR(AVERAGE(Y16,AA16,AC16),0)</f>
        <v>0</v>
      </c>
      <c r="AF16" s="83">
        <v>1</v>
      </c>
      <c r="AG16" s="76"/>
      <c r="AH16" s="83">
        <v>1</v>
      </c>
      <c r="AI16" s="76"/>
      <c r="AJ16" s="83">
        <v>1</v>
      </c>
      <c r="AK16" s="77"/>
      <c r="AL16" s="75">
        <f>AVERAGE(AF16,AH16,AJ16)</f>
        <v>1</v>
      </c>
      <c r="AM16" s="75">
        <f>IFERROR(AVERAGE(AG16,AI16,AK16),0)</f>
        <v>0</v>
      </c>
      <c r="AN16" s="83">
        <v>1</v>
      </c>
      <c r="AO16" s="76"/>
      <c r="AP16" s="83">
        <v>1</v>
      </c>
      <c r="AQ16" s="76"/>
      <c r="AR16" s="83">
        <v>1</v>
      </c>
      <c r="AS16" s="76"/>
      <c r="AT16" s="75">
        <f>AVERAGE(AN16,AP16,AR16)</f>
        <v>1</v>
      </c>
      <c r="AU16" s="75">
        <f>IFERROR(AVERAGE(AO16,AQ16,AS16),0)</f>
        <v>0</v>
      </c>
      <c r="AV16" s="75">
        <f>AVERAGE(P16,R16,T16,X16,Z16,AB16,AF16,AH16,AJ16,AN16,AP16,AR16)</f>
        <v>1</v>
      </c>
      <c r="AW16" s="66">
        <f>+W16</f>
        <v>0</v>
      </c>
      <c r="AX16" s="66">
        <f>+W16+AE16</f>
        <v>0</v>
      </c>
      <c r="AY16" s="66">
        <f>+W16+AE16+AM16</f>
        <v>0</v>
      </c>
      <c r="AZ16" s="66">
        <f>+W16+AE16+AM16+AU16</f>
        <v>0</v>
      </c>
      <c r="BA16" s="28">
        <f>IF(AND(AW16&gt;0,$AV16&gt;0),AW16/$AV16,0)</f>
        <v>0</v>
      </c>
      <c r="BB16" s="28">
        <f t="shared" ref="BB16:BD17" si="0">IF(AND(AX16&gt;0,$AV16&gt;0),AX16/$AV16,0)</f>
        <v>0</v>
      </c>
      <c r="BC16" s="28">
        <f t="shared" si="0"/>
        <v>0</v>
      </c>
      <c r="BD16" s="28">
        <f t="shared" si="0"/>
        <v>0</v>
      </c>
      <c r="BE16" s="28">
        <f t="shared" ref="BE16:BH17" si="1">(IF(AND(AW16&gt;0,$AV16&gt;0),AW16/$AV16,0))*$E16</f>
        <v>0</v>
      </c>
      <c r="BF16" s="28">
        <f t="shared" si="1"/>
        <v>0</v>
      </c>
      <c r="BG16" s="28">
        <f t="shared" si="1"/>
        <v>0</v>
      </c>
      <c r="BH16" s="28">
        <f t="shared" si="1"/>
        <v>0</v>
      </c>
    </row>
    <row r="17" spans="2:60" ht="75">
      <c r="B17" s="595"/>
      <c r="C17" s="595"/>
      <c r="D17" s="36" t="str">
        <f>+'01-FR-03 POA INSTITUCIONAL'!D94</f>
        <v>4.6.2 Desarrollar el 100% de los productos para comunicación y divulgación interna que contribuyan a la consecución de objetivos institucionales</v>
      </c>
      <c r="E17" s="37">
        <f>+'01-FR-03 POA INSTITUCIONAL'!E94</f>
        <v>0.5</v>
      </c>
      <c r="F17" s="37">
        <f>+'01-FR-03 POA INSTITUCIONAL'!F94</f>
        <v>1</v>
      </c>
      <c r="G17" s="37">
        <f>+'01-FR-03 POA INSTITUCIONAL'!L94</f>
        <v>1</v>
      </c>
      <c r="H17" s="37">
        <f>+'01-FR-03 POA INSTITUCIONAL'!G94</f>
        <v>1</v>
      </c>
      <c r="I17" s="26" t="str">
        <f>+'01-FR-03 POA INSTITUCIONAL'!H94</f>
        <v>Productos  de comunicación interna
desarrollados</v>
      </c>
      <c r="J17" s="58" t="s">
        <v>574</v>
      </c>
      <c r="K17" s="47" t="s">
        <v>577</v>
      </c>
      <c r="L17" s="57" t="s">
        <v>575</v>
      </c>
      <c r="M17" s="57" t="s">
        <v>572</v>
      </c>
      <c r="N17" s="57" t="s">
        <v>573</v>
      </c>
      <c r="O17" s="48" t="str">
        <f>+'[4]POA Anualizado (Pág 1 de 3)'!J14</f>
        <v>Oficina Asesora de Comunicaciones</v>
      </c>
      <c r="P17" s="83">
        <v>1</v>
      </c>
      <c r="Q17" s="76"/>
      <c r="R17" s="83">
        <v>1</v>
      </c>
      <c r="S17" s="76"/>
      <c r="T17" s="83">
        <v>1</v>
      </c>
      <c r="U17" s="76"/>
      <c r="V17" s="75">
        <f t="shared" ref="V17" si="2">AVERAGE(P17,R17,T17)</f>
        <v>1</v>
      </c>
      <c r="W17" s="75">
        <f t="shared" ref="W17" si="3">IFERROR(AVERAGE(Q17,S17,U17),0)</f>
        <v>0</v>
      </c>
      <c r="X17" s="83">
        <v>1</v>
      </c>
      <c r="Y17" s="76"/>
      <c r="Z17" s="83">
        <v>1</v>
      </c>
      <c r="AA17" s="76"/>
      <c r="AB17" s="83">
        <v>1</v>
      </c>
      <c r="AC17" s="76"/>
      <c r="AD17" s="75">
        <f t="shared" ref="AD17" si="4">AVERAGE(X17,Z17,AB17)</f>
        <v>1</v>
      </c>
      <c r="AE17" s="75">
        <f t="shared" ref="AE17" si="5">IFERROR(AVERAGE(Y17,AA17,AC17),0)</f>
        <v>0</v>
      </c>
      <c r="AF17" s="83">
        <v>1</v>
      </c>
      <c r="AG17" s="76"/>
      <c r="AH17" s="83">
        <v>1</v>
      </c>
      <c r="AI17" s="76"/>
      <c r="AJ17" s="83">
        <v>1</v>
      </c>
      <c r="AK17" s="77"/>
      <c r="AL17" s="75">
        <f t="shared" ref="AL17" si="6">AVERAGE(AF17,AH17,AJ17)</f>
        <v>1</v>
      </c>
      <c r="AM17" s="75">
        <f t="shared" ref="AM17" si="7">IFERROR(AVERAGE(AG17,AI17,AK17),0)</f>
        <v>0</v>
      </c>
      <c r="AN17" s="83">
        <v>1</v>
      </c>
      <c r="AO17" s="76"/>
      <c r="AP17" s="83">
        <v>1</v>
      </c>
      <c r="AQ17" s="76"/>
      <c r="AR17" s="83">
        <v>1</v>
      </c>
      <c r="AS17" s="76"/>
      <c r="AT17" s="75">
        <f t="shared" ref="AT17" si="8">AVERAGE(AN17,AP17,AR17)</f>
        <v>1</v>
      </c>
      <c r="AU17" s="75">
        <f t="shared" ref="AU17" si="9">IFERROR(AVERAGE(AO17,AQ17,AS17),0)</f>
        <v>0</v>
      </c>
      <c r="AV17" s="75">
        <f t="shared" ref="AV17" si="10">AVERAGE(P17,R17,T17,X17,Z17,AB17,AF17,AH17,AJ17,AN17,AP17,AR17)</f>
        <v>1</v>
      </c>
      <c r="AW17" s="66">
        <f t="shared" ref="AW17" si="11">+W17</f>
        <v>0</v>
      </c>
      <c r="AX17" s="66">
        <f t="shared" ref="AX17" si="12">+W17+AE17</f>
        <v>0</v>
      </c>
      <c r="AY17" s="66">
        <f t="shared" ref="AY17" si="13">+W17+AE17+AM17</f>
        <v>0</v>
      </c>
      <c r="AZ17" s="66">
        <f t="shared" ref="AZ17" si="14">+W17+AE17+AM17+AU17</f>
        <v>0</v>
      </c>
      <c r="BA17" s="28">
        <f t="shared" ref="BA17" si="15">IF(AND(AW17&gt;0,AV17&gt;0),AW17/AV17,0)</f>
        <v>0</v>
      </c>
      <c r="BB17" s="28">
        <f t="shared" si="0"/>
        <v>0</v>
      </c>
      <c r="BC17" s="28">
        <f t="shared" si="0"/>
        <v>0</v>
      </c>
      <c r="BD17" s="28">
        <f t="shared" si="0"/>
        <v>0</v>
      </c>
      <c r="BE17" s="28">
        <f t="shared" si="1"/>
        <v>0</v>
      </c>
      <c r="BF17" s="28">
        <f t="shared" si="1"/>
        <v>0</v>
      </c>
      <c r="BG17" s="28">
        <f t="shared" si="1"/>
        <v>0</v>
      </c>
      <c r="BH17" s="28">
        <f t="shared" si="1"/>
        <v>0</v>
      </c>
    </row>
    <row r="18" spans="2:60" ht="22.8">
      <c r="B18" s="579"/>
      <c r="C18" s="580"/>
      <c r="D18" s="580"/>
      <c r="E18" s="580"/>
      <c r="F18" s="580"/>
      <c r="G18" s="580"/>
      <c r="H18" s="580"/>
      <c r="I18" s="580"/>
      <c r="J18" s="580"/>
      <c r="K18" s="580"/>
      <c r="L18" s="580"/>
      <c r="M18" s="580"/>
      <c r="N18" s="580"/>
      <c r="O18" s="580"/>
      <c r="P18" s="580"/>
      <c r="Q18" s="580"/>
      <c r="R18" s="580"/>
      <c r="S18" s="580"/>
      <c r="T18" s="580"/>
      <c r="U18" s="580"/>
      <c r="V18" s="580"/>
      <c r="W18" s="580"/>
      <c r="X18" s="580"/>
      <c r="Y18" s="580"/>
      <c r="Z18" s="580"/>
      <c r="AA18" s="580"/>
      <c r="AB18" s="580"/>
      <c r="AC18" s="580"/>
      <c r="AD18" s="580"/>
      <c r="AE18" s="580"/>
      <c r="AF18" s="580"/>
      <c r="AG18" s="580"/>
      <c r="AH18" s="580"/>
      <c r="AI18" s="580"/>
      <c r="AJ18" s="580"/>
      <c r="AK18" s="580"/>
      <c r="AL18" s="580"/>
      <c r="AM18" s="580"/>
      <c r="AN18" s="580"/>
      <c r="AO18" s="580"/>
      <c r="AP18" s="580"/>
      <c r="AQ18" s="580"/>
      <c r="AR18" s="580"/>
      <c r="AS18" s="580"/>
      <c r="AT18" s="580"/>
      <c r="AU18" s="580"/>
      <c r="AV18" s="580"/>
      <c r="AW18" s="581"/>
      <c r="AX18" s="582" t="s">
        <v>19</v>
      </c>
      <c r="AY18" s="583"/>
      <c r="AZ18" s="583"/>
      <c r="BA18" s="56">
        <f t="shared" ref="BA18:BH18" si="16">AVERAGE(BA16:BA17)</f>
        <v>0</v>
      </c>
      <c r="BB18" s="56">
        <f t="shared" si="16"/>
        <v>0</v>
      </c>
      <c r="BC18" s="56">
        <f t="shared" si="16"/>
        <v>0</v>
      </c>
      <c r="BD18" s="56">
        <f t="shared" si="16"/>
        <v>0</v>
      </c>
      <c r="BE18" s="56">
        <f t="shared" si="16"/>
        <v>0</v>
      </c>
      <c r="BF18" s="56">
        <f t="shared" si="16"/>
        <v>0</v>
      </c>
      <c r="BG18" s="56">
        <f t="shared" si="16"/>
        <v>0</v>
      </c>
      <c r="BH18" s="56">
        <f t="shared" si="16"/>
        <v>0</v>
      </c>
    </row>
    <row r="19" spans="2:60">
      <c r="B19" s="578"/>
      <c r="C19" s="578"/>
      <c r="D19" s="578"/>
      <c r="E19" s="578"/>
      <c r="F19" s="578"/>
      <c r="G19" s="578"/>
      <c r="H19" s="30"/>
      <c r="I19" s="29"/>
      <c r="J19" s="29"/>
      <c r="K19" s="29"/>
      <c r="L19" s="29"/>
      <c r="M19" s="29"/>
      <c r="N19" s="29"/>
      <c r="O19" s="29"/>
    </row>
    <row r="20" spans="2:60">
      <c r="B20" s="29"/>
      <c r="C20" s="29"/>
      <c r="D20" s="584"/>
      <c r="E20" s="584"/>
      <c r="F20" s="584"/>
      <c r="G20" s="584"/>
      <c r="H20" s="584"/>
      <c r="I20" s="584"/>
      <c r="J20" s="584"/>
      <c r="K20" s="584"/>
      <c r="L20" s="584"/>
      <c r="M20" s="584"/>
      <c r="N20" s="584"/>
      <c r="O20" s="584"/>
    </row>
    <row r="21" spans="2:60" ht="15.6" customHeight="1">
      <c r="B21" s="63" t="s">
        <v>26</v>
      </c>
      <c r="C21" s="31">
        <v>44221</v>
      </c>
      <c r="D21" s="32"/>
      <c r="E21" s="585" t="s">
        <v>50</v>
      </c>
      <c r="F21" s="588" t="s">
        <v>678</v>
      </c>
      <c r="G21" s="589"/>
      <c r="H21" s="589"/>
      <c r="I21" s="589"/>
      <c r="J21" s="590"/>
      <c r="K21" s="33"/>
      <c r="L21" s="586"/>
      <c r="M21" s="586"/>
      <c r="N21" s="586"/>
      <c r="O21" s="587"/>
    </row>
    <row r="22" spans="2:60" ht="15.6">
      <c r="B22" s="224"/>
      <c r="C22" s="224"/>
      <c r="D22" s="33"/>
      <c r="E22" s="585"/>
      <c r="F22" s="591"/>
      <c r="G22" s="592"/>
      <c r="H22" s="592"/>
      <c r="I22" s="592"/>
      <c r="J22" s="593"/>
      <c r="K22" s="29"/>
      <c r="L22" s="29"/>
      <c r="M22" s="29"/>
      <c r="N22" s="29"/>
      <c r="O22" s="29"/>
    </row>
    <row r="23" spans="2:60" ht="15.6">
      <c r="B23" s="63" t="s">
        <v>49</v>
      </c>
      <c r="C23" s="65">
        <v>44581</v>
      </c>
      <c r="D23" s="29"/>
      <c r="E23" s="29"/>
      <c r="F23" s="29"/>
      <c r="K23" s="29"/>
      <c r="L23" s="29"/>
      <c r="M23" s="29"/>
      <c r="N23" s="29"/>
      <c r="O23" s="29"/>
    </row>
    <row r="24" spans="2:60">
      <c r="B24" s="29"/>
      <c r="C24" s="29"/>
      <c r="D24" s="29"/>
      <c r="E24" s="29"/>
      <c r="F24" s="29"/>
      <c r="K24" s="29"/>
      <c r="L24" s="29"/>
      <c r="M24" s="29"/>
      <c r="N24" s="29"/>
      <c r="O24" s="29"/>
    </row>
    <row r="25" spans="2:60">
      <c r="B25" s="189" t="s">
        <v>673</v>
      </c>
      <c r="C25" s="29"/>
      <c r="D25" s="29"/>
      <c r="E25" s="29"/>
      <c r="F25" s="29"/>
      <c r="G25" s="30"/>
      <c r="H25" s="30"/>
      <c r="I25" s="577"/>
      <c r="J25" s="577"/>
      <c r="K25" s="577"/>
      <c r="L25" s="577"/>
      <c r="M25" s="34"/>
      <c r="N25" s="34"/>
      <c r="O25" s="34"/>
    </row>
    <row r="26" spans="2:60">
      <c r="B26" s="29"/>
      <c r="C26" s="29"/>
      <c r="D26" s="29"/>
      <c r="E26" s="29"/>
      <c r="F26" s="29"/>
      <c r="G26" s="30"/>
      <c r="H26" s="30"/>
      <c r="I26" s="29"/>
      <c r="J26" s="29"/>
      <c r="K26" s="35"/>
      <c r="L26" s="29"/>
      <c r="M26" s="29"/>
      <c r="N26" s="29"/>
      <c r="O26" s="29"/>
    </row>
    <row r="27" spans="2:60">
      <c r="B27" s="29"/>
      <c r="C27" s="29"/>
      <c r="D27" s="29"/>
      <c r="E27" s="29"/>
      <c r="F27" s="29"/>
      <c r="G27" s="30"/>
      <c r="H27" s="30"/>
      <c r="I27" s="577"/>
      <c r="J27" s="577"/>
      <c r="K27" s="577"/>
      <c r="L27" s="577"/>
      <c r="M27" s="34"/>
      <c r="N27" s="34"/>
      <c r="O27" s="34"/>
    </row>
    <row r="28" spans="2:60">
      <c r="B28" s="29"/>
      <c r="C28" s="29"/>
      <c r="D28" s="29"/>
      <c r="E28" s="29"/>
      <c r="F28" s="29"/>
      <c r="G28" s="30"/>
      <c r="H28" s="30"/>
      <c r="I28" s="29"/>
      <c r="J28" s="29"/>
      <c r="K28" s="35"/>
      <c r="L28" s="29"/>
      <c r="M28" s="29"/>
      <c r="N28" s="29"/>
      <c r="O28" s="29"/>
    </row>
    <row r="29" spans="2:60">
      <c r="B29" s="29"/>
      <c r="C29" s="29"/>
      <c r="D29" s="29"/>
      <c r="E29" s="29"/>
      <c r="F29" s="29"/>
      <c r="G29" s="30"/>
      <c r="H29" s="30"/>
      <c r="I29" s="577"/>
      <c r="J29" s="577"/>
      <c r="K29" s="577"/>
      <c r="L29" s="577"/>
      <c r="M29" s="34"/>
      <c r="N29" s="34"/>
      <c r="O29" s="34"/>
    </row>
  </sheetData>
  <sheetProtection algorithmName="SHA-512" hashValue="80wfoP9k7Vi/PvRdguIxAd/nmVyBvm396DTHfxdhKjdZvrAPWO/y8MDOTATmaKqBMQBnVeK4YU3ITYCmkRDYzg==" saltValue="gNGrxbFo7iPopJ0GejKOQQ==" spinCount="100000" sheet="1" objects="1" scenarios="1"/>
  <mergeCells count="70">
    <mergeCell ref="B2:B6"/>
    <mergeCell ref="B12:B15"/>
    <mergeCell ref="C12:C15"/>
    <mergeCell ref="D12:D15"/>
    <mergeCell ref="E12:E15"/>
    <mergeCell ref="C10:D10"/>
    <mergeCell ref="K12:K15"/>
    <mergeCell ref="C2:BF6"/>
    <mergeCell ref="AJ14:AK14"/>
    <mergeCell ref="AL14:AM14"/>
    <mergeCell ref="P13:W13"/>
    <mergeCell ref="AV12:AV15"/>
    <mergeCell ref="AW12:AZ12"/>
    <mergeCell ref="BA12:BD12"/>
    <mergeCell ref="BF13:BF15"/>
    <mergeCell ref="F12:F15"/>
    <mergeCell ref="BG6:BH6"/>
    <mergeCell ref="AW7:BA7"/>
    <mergeCell ref="C8:D8"/>
    <mergeCell ref="C9:D9"/>
    <mergeCell ref="X13:AE13"/>
    <mergeCell ref="AF13:AM13"/>
    <mergeCell ref="AN13:AU13"/>
    <mergeCell ref="O12:O15"/>
    <mergeCell ref="P12:AU12"/>
    <mergeCell ref="X14:Y14"/>
    <mergeCell ref="Z14:AA14"/>
    <mergeCell ref="AN14:AO14"/>
    <mergeCell ref="AP14:AQ14"/>
    <mergeCell ref="AR14:AS14"/>
    <mergeCell ref="AT14:AU14"/>
    <mergeCell ref="AH14:AI14"/>
    <mergeCell ref="BG13:BG15"/>
    <mergeCell ref="BE12:BH12"/>
    <mergeCell ref="BH13:BH15"/>
    <mergeCell ref="AW13:AW15"/>
    <mergeCell ref="AX13:AX15"/>
    <mergeCell ref="AY13:AY15"/>
    <mergeCell ref="AZ13:AZ15"/>
    <mergeCell ref="BA13:BA15"/>
    <mergeCell ref="BB13:BB15"/>
    <mergeCell ref="BC13:BC15"/>
    <mergeCell ref="BD13:BD15"/>
    <mergeCell ref="BE13:BE15"/>
    <mergeCell ref="B16:B17"/>
    <mergeCell ref="C16:C17"/>
    <mergeCell ref="AB14:AC14"/>
    <mergeCell ref="AD14:AE14"/>
    <mergeCell ref="AF14:AG14"/>
    <mergeCell ref="P14:Q14"/>
    <mergeCell ref="R14:S14"/>
    <mergeCell ref="T14:U14"/>
    <mergeCell ref="V14:W14"/>
    <mergeCell ref="G12:G15"/>
    <mergeCell ref="N12:N15"/>
    <mergeCell ref="L12:L15"/>
    <mergeCell ref="M12:M15"/>
    <mergeCell ref="H12:H15"/>
    <mergeCell ref="I12:I15"/>
    <mergeCell ref="J12:J15"/>
    <mergeCell ref="AX18:AZ18"/>
    <mergeCell ref="D20:O20"/>
    <mergeCell ref="E21:E22"/>
    <mergeCell ref="L21:O21"/>
    <mergeCell ref="F21:J22"/>
    <mergeCell ref="I25:L25"/>
    <mergeCell ref="I27:L27"/>
    <mergeCell ref="I29:L29"/>
    <mergeCell ref="B19:G19"/>
    <mergeCell ref="B18:AW18"/>
  </mergeCells>
  <conditionalFormatting sqref="BA16:BH17">
    <cfRule type="cellIs" dxfId="155" priority="1" operator="between">
      <formula>0.7</formula>
      <formula>1</formula>
    </cfRule>
    <cfRule type="cellIs" dxfId="154" priority="2" operator="between">
      <formula>0.51</formula>
      <formula>0.69</formula>
    </cfRule>
    <cfRule type="cellIs" dxfId="153"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86AC6917-9672-480A-A256-2BAAA53018BA}"/>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D4C3A-E9B0-4D23-9F26-A9322F7807EB}">
  <sheetPr>
    <tabColor rgb="FF92D050"/>
  </sheetPr>
  <dimension ref="B1:BH49"/>
  <sheetViews>
    <sheetView showGridLines="0" zoomScale="50" zoomScaleNormal="50" workbookViewId="0">
      <selection activeCell="L30" sqref="L30"/>
    </sheetView>
  </sheetViews>
  <sheetFormatPr baseColWidth="10" defaultColWidth="17.33203125" defaultRowHeight="15" customHeight="1"/>
  <cols>
    <col min="1" max="1" width="4.33203125" style="124" customWidth="1"/>
    <col min="2" max="2" width="50.44140625" style="122" customWidth="1"/>
    <col min="3" max="3" width="39.6640625" style="122" customWidth="1"/>
    <col min="4" max="4" width="66.109375" style="122" customWidth="1"/>
    <col min="5" max="6" width="27.88671875" style="122" customWidth="1"/>
    <col min="7" max="7" width="23.5546875" style="123" customWidth="1"/>
    <col min="8" max="8" width="13.33203125" style="123" customWidth="1"/>
    <col min="9" max="9" width="46.88671875" style="122" customWidth="1"/>
    <col min="10" max="10" width="63" style="122" customWidth="1"/>
    <col min="11" max="11" width="69.33203125" style="122" customWidth="1"/>
    <col min="12" max="12" width="48.44140625" style="122" customWidth="1"/>
    <col min="13" max="13" width="28.5546875" style="122" customWidth="1"/>
    <col min="14" max="14" width="30.6640625" style="122" customWidth="1"/>
    <col min="15" max="15" width="60.44140625" style="122" customWidth="1"/>
    <col min="16" max="47" width="15.88671875" style="124" customWidth="1"/>
    <col min="48" max="48" width="24.5546875" style="124" customWidth="1"/>
    <col min="49" max="52" width="17.88671875" style="124" customWidth="1"/>
    <col min="53" max="56" width="18.88671875" style="124" customWidth="1"/>
    <col min="57" max="60" width="18.44140625" style="124" customWidth="1"/>
    <col min="61" max="16384" width="17.33203125" style="124"/>
  </cols>
  <sheetData>
    <row r="1" spans="2:60" ht="15" customHeight="1" thickBot="1"/>
    <row r="2" spans="2:60" ht="16.5" customHeight="1">
      <c r="B2" s="489" t="s">
        <v>671</v>
      </c>
      <c r="C2" s="534" t="s">
        <v>117</v>
      </c>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35"/>
      <c r="AL2" s="535"/>
      <c r="AM2" s="535"/>
      <c r="AN2" s="535"/>
      <c r="AO2" s="535"/>
      <c r="AP2" s="535"/>
      <c r="AQ2" s="535"/>
      <c r="AR2" s="535"/>
      <c r="AS2" s="535"/>
      <c r="AT2" s="535"/>
      <c r="AU2" s="535"/>
      <c r="AV2" s="535"/>
      <c r="AW2" s="535"/>
      <c r="AX2" s="535"/>
      <c r="AY2" s="535"/>
      <c r="AZ2" s="535"/>
      <c r="BA2" s="535"/>
      <c r="BB2" s="535"/>
      <c r="BC2" s="535"/>
      <c r="BD2" s="535"/>
      <c r="BE2" s="535"/>
      <c r="BF2" s="536"/>
      <c r="BG2" s="190" t="s">
        <v>31</v>
      </c>
      <c r="BH2" s="191"/>
    </row>
    <row r="3" spans="2:60" ht="16.5" customHeight="1">
      <c r="B3" s="490"/>
      <c r="C3" s="537"/>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8"/>
      <c r="AZ3" s="538"/>
      <c r="BA3" s="538"/>
      <c r="BB3" s="538"/>
      <c r="BC3" s="538"/>
      <c r="BD3" s="538"/>
      <c r="BE3" s="538"/>
      <c r="BF3" s="539"/>
      <c r="BG3" s="192" t="s">
        <v>28</v>
      </c>
      <c r="BH3" s="17" t="s">
        <v>29</v>
      </c>
    </row>
    <row r="4" spans="2:60" ht="16.5" customHeight="1">
      <c r="B4" s="490"/>
      <c r="C4" s="537"/>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538"/>
      <c r="BF4" s="539"/>
      <c r="BG4" s="193">
        <v>5</v>
      </c>
      <c r="BH4" s="18" t="s">
        <v>642</v>
      </c>
    </row>
    <row r="5" spans="2:60" ht="16.5" customHeight="1">
      <c r="B5" s="490"/>
      <c r="C5" s="537"/>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538"/>
      <c r="BF5" s="539"/>
      <c r="BG5" s="194" t="s">
        <v>30</v>
      </c>
      <c r="BH5" s="195"/>
    </row>
    <row r="6" spans="2:60" ht="16.5" customHeight="1" thickBot="1">
      <c r="B6" s="491"/>
      <c r="C6" s="540"/>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1"/>
      <c r="AN6" s="541"/>
      <c r="AO6" s="541"/>
      <c r="AP6" s="541"/>
      <c r="AQ6" s="541"/>
      <c r="AR6" s="541"/>
      <c r="AS6" s="541"/>
      <c r="AT6" s="541"/>
      <c r="AU6" s="541"/>
      <c r="AV6" s="541"/>
      <c r="AW6" s="541"/>
      <c r="AX6" s="541"/>
      <c r="AY6" s="541"/>
      <c r="AZ6" s="541"/>
      <c r="BA6" s="541"/>
      <c r="BB6" s="541"/>
      <c r="BC6" s="541"/>
      <c r="BD6" s="541"/>
      <c r="BE6" s="541"/>
      <c r="BF6" s="542"/>
      <c r="BG6" s="556">
        <v>43941</v>
      </c>
      <c r="BH6" s="557"/>
    </row>
    <row r="7" spans="2:60" ht="19.5" customHeight="1">
      <c r="B7" s="125"/>
      <c r="C7" s="125"/>
      <c r="D7" s="125"/>
      <c r="E7" s="125"/>
      <c r="F7" s="125"/>
      <c r="G7" s="126"/>
      <c r="H7" s="126"/>
      <c r="I7" s="125"/>
      <c r="J7" s="125"/>
      <c r="K7" s="125"/>
      <c r="L7" s="125"/>
      <c r="M7" s="125"/>
      <c r="N7" s="125"/>
      <c r="O7" s="125"/>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528"/>
      <c r="AX7" s="559"/>
      <c r="AY7" s="559"/>
      <c r="AZ7" s="559"/>
      <c r="BA7" s="530"/>
      <c r="BB7" s="214"/>
      <c r="BC7" s="214"/>
      <c r="BD7" s="214"/>
      <c r="BE7" s="127"/>
      <c r="BF7" s="127"/>
    </row>
    <row r="8" spans="2:60" ht="28.5" customHeight="1">
      <c r="B8" s="196" t="s">
        <v>45</v>
      </c>
      <c r="C8" s="544" t="s">
        <v>87</v>
      </c>
      <c r="D8" s="544"/>
      <c r="E8" s="197"/>
      <c r="F8" s="197"/>
      <c r="G8" s="197"/>
      <c r="H8" s="197"/>
      <c r="I8" s="197"/>
      <c r="J8" s="197"/>
      <c r="K8" s="197"/>
      <c r="L8" s="197"/>
      <c r="M8" s="197"/>
      <c r="N8" s="197"/>
      <c r="O8" s="197"/>
      <c r="AW8" s="214"/>
      <c r="AX8" s="214"/>
      <c r="AY8" s="214"/>
      <c r="AZ8" s="214"/>
      <c r="BA8" s="214"/>
      <c r="BB8" s="214"/>
      <c r="BC8" s="214"/>
      <c r="BD8" s="214"/>
    </row>
    <row r="9" spans="2:60" ht="98.25" customHeight="1">
      <c r="B9" s="196" t="s">
        <v>34</v>
      </c>
      <c r="C9" s="572" t="s">
        <v>192</v>
      </c>
      <c r="D9" s="573"/>
      <c r="E9" s="197"/>
      <c r="F9" s="197"/>
      <c r="G9" s="197"/>
      <c r="H9" s="197"/>
      <c r="I9" s="197"/>
      <c r="J9" s="197"/>
      <c r="K9" s="197"/>
      <c r="L9" s="197"/>
      <c r="M9" s="197"/>
      <c r="N9" s="197"/>
      <c r="O9" s="197"/>
      <c r="AW9" s="214"/>
      <c r="AX9" s="214"/>
      <c r="AY9" s="214"/>
      <c r="AZ9" s="214"/>
      <c r="BA9" s="214"/>
      <c r="BB9" s="214"/>
      <c r="BC9" s="214"/>
      <c r="BD9" s="214"/>
    </row>
    <row r="10" spans="2:60" ht="30" customHeight="1">
      <c r="B10" s="196" t="s">
        <v>100</v>
      </c>
      <c r="C10" s="516">
        <v>2022</v>
      </c>
      <c r="D10" s="517"/>
      <c r="E10" s="197"/>
      <c r="F10" s="197"/>
      <c r="G10" s="197"/>
      <c r="H10" s="197"/>
      <c r="I10" s="197"/>
      <c r="J10" s="197"/>
      <c r="K10" s="197"/>
      <c r="L10" s="197"/>
      <c r="M10" s="197"/>
      <c r="N10" s="197"/>
      <c r="O10" s="197"/>
      <c r="AW10" s="214"/>
      <c r="AX10" s="214"/>
      <c r="AY10" s="214"/>
      <c r="AZ10" s="214"/>
      <c r="BA10" s="214"/>
      <c r="BB10" s="214"/>
      <c r="BC10" s="214"/>
      <c r="BD10" s="214"/>
    </row>
    <row r="11" spans="2:60" ht="14.25" customHeight="1">
      <c r="B11" s="125"/>
      <c r="C11" s="125"/>
      <c r="D11" s="125"/>
      <c r="E11" s="125"/>
      <c r="F11" s="125"/>
      <c r="G11" s="126"/>
      <c r="H11" s="126"/>
      <c r="I11" s="125"/>
      <c r="J11" s="125"/>
      <c r="K11" s="125"/>
      <c r="L11" s="125"/>
      <c r="M11" s="125"/>
      <c r="N11" s="125"/>
      <c r="O11" s="125"/>
      <c r="AW11" s="214"/>
      <c r="AX11" s="214"/>
      <c r="AY11" s="214"/>
      <c r="AZ11" s="214"/>
      <c r="BA11" s="214"/>
      <c r="BB11" s="214"/>
      <c r="BC11" s="214"/>
      <c r="BD11" s="214"/>
    </row>
    <row r="12" spans="2:60" ht="33" customHeight="1">
      <c r="B12" s="488" t="s">
        <v>0</v>
      </c>
      <c r="C12" s="488" t="s">
        <v>52</v>
      </c>
      <c r="D12" s="526" t="s">
        <v>674</v>
      </c>
      <c r="E12" s="488" t="s">
        <v>60</v>
      </c>
      <c r="F12" s="527" t="s">
        <v>743</v>
      </c>
      <c r="G12" s="488" t="s">
        <v>57</v>
      </c>
      <c r="H12" s="488" t="s">
        <v>25</v>
      </c>
      <c r="I12" s="488" t="s">
        <v>59</v>
      </c>
      <c r="J12" s="488" t="s">
        <v>39</v>
      </c>
      <c r="K12" s="488" t="s">
        <v>36</v>
      </c>
      <c r="L12" s="488" t="s">
        <v>20</v>
      </c>
      <c r="M12" s="488" t="s">
        <v>51</v>
      </c>
      <c r="N12" s="488" t="s">
        <v>40</v>
      </c>
      <c r="O12" s="488" t="s">
        <v>42</v>
      </c>
      <c r="P12" s="533" t="s">
        <v>111</v>
      </c>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3"/>
      <c r="AN12" s="533"/>
      <c r="AO12" s="533"/>
      <c r="AP12" s="533"/>
      <c r="AQ12" s="533"/>
      <c r="AR12" s="533"/>
      <c r="AS12" s="533"/>
      <c r="AT12" s="533"/>
      <c r="AU12" s="533"/>
      <c r="AV12" s="531" t="s">
        <v>61</v>
      </c>
      <c r="AW12" s="520" t="s">
        <v>675</v>
      </c>
      <c r="AX12" s="521"/>
      <c r="AY12" s="521"/>
      <c r="AZ12" s="522"/>
      <c r="BA12" s="508" t="s">
        <v>676</v>
      </c>
      <c r="BB12" s="509"/>
      <c r="BC12" s="509"/>
      <c r="BD12" s="510"/>
      <c r="BE12" s="502" t="s">
        <v>677</v>
      </c>
      <c r="BF12" s="503"/>
      <c r="BG12" s="503"/>
      <c r="BH12" s="504"/>
    </row>
    <row r="13" spans="2:60" ht="21.75" customHeight="1">
      <c r="B13" s="488"/>
      <c r="C13" s="488"/>
      <c r="D13" s="526"/>
      <c r="E13" s="488"/>
      <c r="F13" s="527"/>
      <c r="G13" s="488"/>
      <c r="H13" s="488"/>
      <c r="I13" s="488"/>
      <c r="J13" s="488"/>
      <c r="K13" s="488"/>
      <c r="L13" s="488"/>
      <c r="M13" s="488"/>
      <c r="N13" s="488"/>
      <c r="O13" s="488"/>
      <c r="P13" s="532" t="s">
        <v>21</v>
      </c>
      <c r="Q13" s="532"/>
      <c r="R13" s="532"/>
      <c r="S13" s="532"/>
      <c r="T13" s="532"/>
      <c r="U13" s="532"/>
      <c r="V13" s="532"/>
      <c r="W13" s="532"/>
      <c r="X13" s="532" t="s">
        <v>22</v>
      </c>
      <c r="Y13" s="532"/>
      <c r="Z13" s="532"/>
      <c r="AA13" s="532"/>
      <c r="AB13" s="532"/>
      <c r="AC13" s="532"/>
      <c r="AD13" s="532"/>
      <c r="AE13" s="532"/>
      <c r="AF13" s="532" t="s">
        <v>23</v>
      </c>
      <c r="AG13" s="532"/>
      <c r="AH13" s="532"/>
      <c r="AI13" s="532"/>
      <c r="AJ13" s="532"/>
      <c r="AK13" s="532"/>
      <c r="AL13" s="532"/>
      <c r="AM13" s="532"/>
      <c r="AN13" s="532" t="s">
        <v>24</v>
      </c>
      <c r="AO13" s="532"/>
      <c r="AP13" s="532"/>
      <c r="AQ13" s="532"/>
      <c r="AR13" s="532"/>
      <c r="AS13" s="532"/>
      <c r="AT13" s="532"/>
      <c r="AU13" s="532"/>
      <c r="AV13" s="531"/>
      <c r="AW13" s="523" t="s">
        <v>118</v>
      </c>
      <c r="AX13" s="523" t="s">
        <v>22</v>
      </c>
      <c r="AY13" s="523" t="s">
        <v>119</v>
      </c>
      <c r="AZ13" s="523" t="s">
        <v>120</v>
      </c>
      <c r="BA13" s="511" t="s">
        <v>118</v>
      </c>
      <c r="BB13" s="511" t="s">
        <v>121</v>
      </c>
      <c r="BC13" s="511" t="s">
        <v>122</v>
      </c>
      <c r="BD13" s="511" t="s">
        <v>123</v>
      </c>
      <c r="BE13" s="505" t="s">
        <v>21</v>
      </c>
      <c r="BF13" s="505" t="s">
        <v>22</v>
      </c>
      <c r="BG13" s="505" t="s">
        <v>23</v>
      </c>
      <c r="BH13" s="505" t="s">
        <v>24</v>
      </c>
    </row>
    <row r="14" spans="2:60" ht="21.75" customHeight="1">
      <c r="B14" s="488"/>
      <c r="C14" s="488"/>
      <c r="D14" s="526"/>
      <c r="E14" s="488"/>
      <c r="F14" s="527"/>
      <c r="G14" s="488"/>
      <c r="H14" s="488"/>
      <c r="I14" s="488"/>
      <c r="J14" s="488"/>
      <c r="K14" s="488"/>
      <c r="L14" s="488"/>
      <c r="M14" s="488"/>
      <c r="N14" s="488"/>
      <c r="O14" s="488"/>
      <c r="P14" s="571" t="s">
        <v>5</v>
      </c>
      <c r="Q14" s="571"/>
      <c r="R14" s="571" t="s">
        <v>6</v>
      </c>
      <c r="S14" s="571"/>
      <c r="T14" s="571" t="s">
        <v>7</v>
      </c>
      <c r="U14" s="571"/>
      <c r="V14" s="533" t="s">
        <v>8</v>
      </c>
      <c r="W14" s="533"/>
      <c r="X14" s="571" t="s">
        <v>27</v>
      </c>
      <c r="Y14" s="571"/>
      <c r="Z14" s="571" t="s">
        <v>9</v>
      </c>
      <c r="AA14" s="571"/>
      <c r="AB14" s="571" t="s">
        <v>10</v>
      </c>
      <c r="AC14" s="571"/>
      <c r="AD14" s="533" t="s">
        <v>8</v>
      </c>
      <c r="AE14" s="533"/>
      <c r="AF14" s="571" t="s">
        <v>11</v>
      </c>
      <c r="AG14" s="571"/>
      <c r="AH14" s="571" t="s">
        <v>12</v>
      </c>
      <c r="AI14" s="571"/>
      <c r="AJ14" s="571" t="s">
        <v>13</v>
      </c>
      <c r="AK14" s="571"/>
      <c r="AL14" s="533" t="s">
        <v>8</v>
      </c>
      <c r="AM14" s="533"/>
      <c r="AN14" s="571" t="s">
        <v>14</v>
      </c>
      <c r="AO14" s="571"/>
      <c r="AP14" s="571" t="s">
        <v>15</v>
      </c>
      <c r="AQ14" s="571"/>
      <c r="AR14" s="571" t="s">
        <v>16</v>
      </c>
      <c r="AS14" s="571"/>
      <c r="AT14" s="533" t="s">
        <v>8</v>
      </c>
      <c r="AU14" s="533"/>
      <c r="AV14" s="531"/>
      <c r="AW14" s="524"/>
      <c r="AX14" s="524"/>
      <c r="AY14" s="524"/>
      <c r="AZ14" s="524"/>
      <c r="BA14" s="512"/>
      <c r="BB14" s="512"/>
      <c r="BC14" s="512"/>
      <c r="BD14" s="512"/>
      <c r="BE14" s="506"/>
      <c r="BF14" s="506"/>
      <c r="BG14" s="506"/>
      <c r="BH14" s="506"/>
    </row>
    <row r="15" spans="2:60" ht="21.75" customHeight="1">
      <c r="B15" s="488"/>
      <c r="C15" s="488"/>
      <c r="D15" s="526"/>
      <c r="E15" s="488"/>
      <c r="F15" s="527"/>
      <c r="G15" s="488"/>
      <c r="H15" s="488"/>
      <c r="I15" s="488"/>
      <c r="J15" s="488"/>
      <c r="K15" s="488"/>
      <c r="L15" s="488"/>
      <c r="M15" s="488"/>
      <c r="N15" s="488"/>
      <c r="O15" s="488"/>
      <c r="P15" s="232" t="s">
        <v>17</v>
      </c>
      <c r="Q15" s="233" t="s">
        <v>18</v>
      </c>
      <c r="R15" s="232" t="s">
        <v>17</v>
      </c>
      <c r="S15" s="233" t="s">
        <v>18</v>
      </c>
      <c r="T15" s="232" t="s">
        <v>17</v>
      </c>
      <c r="U15" s="233" t="s">
        <v>18</v>
      </c>
      <c r="V15" s="234" t="s">
        <v>17</v>
      </c>
      <c r="W15" s="235" t="s">
        <v>18</v>
      </c>
      <c r="X15" s="232" t="s">
        <v>17</v>
      </c>
      <c r="Y15" s="233" t="s">
        <v>18</v>
      </c>
      <c r="Z15" s="232" t="s">
        <v>17</v>
      </c>
      <c r="AA15" s="233" t="s">
        <v>18</v>
      </c>
      <c r="AB15" s="232" t="s">
        <v>17</v>
      </c>
      <c r="AC15" s="233" t="s">
        <v>18</v>
      </c>
      <c r="AD15" s="234" t="s">
        <v>17</v>
      </c>
      <c r="AE15" s="235" t="s">
        <v>18</v>
      </c>
      <c r="AF15" s="232" t="s">
        <v>17</v>
      </c>
      <c r="AG15" s="233" t="s">
        <v>18</v>
      </c>
      <c r="AH15" s="232" t="s">
        <v>17</v>
      </c>
      <c r="AI15" s="233" t="s">
        <v>18</v>
      </c>
      <c r="AJ15" s="232" t="s">
        <v>17</v>
      </c>
      <c r="AK15" s="233" t="s">
        <v>18</v>
      </c>
      <c r="AL15" s="234" t="s">
        <v>17</v>
      </c>
      <c r="AM15" s="235" t="s">
        <v>18</v>
      </c>
      <c r="AN15" s="232" t="s">
        <v>17</v>
      </c>
      <c r="AO15" s="233" t="s">
        <v>18</v>
      </c>
      <c r="AP15" s="232" t="s">
        <v>17</v>
      </c>
      <c r="AQ15" s="233" t="s">
        <v>18</v>
      </c>
      <c r="AR15" s="232" t="s">
        <v>17</v>
      </c>
      <c r="AS15" s="233" t="s">
        <v>18</v>
      </c>
      <c r="AT15" s="234" t="s">
        <v>17</v>
      </c>
      <c r="AU15" s="235" t="s">
        <v>18</v>
      </c>
      <c r="AV15" s="531"/>
      <c r="AW15" s="525"/>
      <c r="AX15" s="525"/>
      <c r="AY15" s="525"/>
      <c r="AZ15" s="525"/>
      <c r="BA15" s="513"/>
      <c r="BB15" s="513"/>
      <c r="BC15" s="513"/>
      <c r="BD15" s="513"/>
      <c r="BE15" s="507"/>
      <c r="BF15" s="507"/>
      <c r="BG15" s="507"/>
      <c r="BH15" s="507"/>
    </row>
    <row r="16" spans="2:60" ht="92.25" customHeight="1">
      <c r="B16" s="618" t="str" cm="1">
        <f t="array" ref="B16">'[5]POA Anualizado (Pág 1 de 3)'!B13:B13</f>
        <v>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16" s="462" t="str">
        <f>+'01-FR-03 POA INSTITUCIONAL'!C13</f>
        <v>1.1. Realizar 884.203 acciones que promuevan la defensa, garantía y restablecimiento de los derechos de las personas en el Distrito Capital.</v>
      </c>
      <c r="D16" s="309" t="str">
        <f>+'01-FR-03 POA INSTITUCIONAL'!D13</f>
        <v>1.1.1 Realizar 356.610 intervenciones dentro del ejercicio del Ministerio Público para prevenir la vulneración de derechos y/o lograr el  restablecimiento de los mismos.</v>
      </c>
      <c r="E16" s="37">
        <f>+'01-FR-03 POA INSTITUCIONAL'!E13</f>
        <v>0.38</v>
      </c>
      <c r="F16" s="128">
        <f>+'01-FR-03 POA INSTITUCIONAL'!F13</f>
        <v>356610</v>
      </c>
      <c r="G16" s="128">
        <f>+'01-FR-03 POA INSTITUCIONAL'!L13</f>
        <v>106660</v>
      </c>
      <c r="H16" s="129">
        <f>+'01-FR-03 POA INSTITUCIONAL'!G13</f>
        <v>102450</v>
      </c>
      <c r="I16" s="129" t="str">
        <f>+'01-FR-03 POA INSTITUCIONAL'!H13</f>
        <v>Intervenciones realizadas en defensa de los derechos</v>
      </c>
      <c r="J16" s="129" t="s">
        <v>217</v>
      </c>
      <c r="K16" s="137" t="s">
        <v>193</v>
      </c>
      <c r="L16" s="364" t="s">
        <v>760</v>
      </c>
      <c r="M16" s="200" t="s">
        <v>194</v>
      </c>
      <c r="N16" s="200" t="s">
        <v>195</v>
      </c>
      <c r="O16" s="22" t="str">
        <f>+'01-FR-03 POA INSTITUCIONAL'!J13</f>
        <v>P.D. para Asuntos Penales I, Penales II, Derechos Humanos y Policivos y Civiles
P.D. para los Sectores Planeación y Movilidad y la P.D. para los Sectores Educación y Cultura, Recreación y Deporte</v>
      </c>
      <c r="P16" s="236">
        <f>15+6610</f>
        <v>6625</v>
      </c>
      <c r="Q16" s="236"/>
      <c r="R16" s="236">
        <f>50+9290</f>
        <v>9340</v>
      </c>
      <c r="S16" s="236"/>
      <c r="T16" s="236">
        <f>50+9290</f>
        <v>9340</v>
      </c>
      <c r="U16" s="236"/>
      <c r="V16" s="38">
        <f>P16+R16+T16</f>
        <v>25305</v>
      </c>
      <c r="W16" s="38">
        <f>Q16+S16+U16</f>
        <v>0</v>
      </c>
      <c r="X16" s="236">
        <f>50+9290</f>
        <v>9340</v>
      </c>
      <c r="Y16" s="236"/>
      <c r="Z16" s="236">
        <f>50+9290</f>
        <v>9340</v>
      </c>
      <c r="AA16" s="236"/>
      <c r="AB16" s="236">
        <f>50+9290</f>
        <v>9340</v>
      </c>
      <c r="AC16" s="236"/>
      <c r="AD16" s="38">
        <f>X16+Z16+AB16</f>
        <v>28020</v>
      </c>
      <c r="AE16" s="38">
        <f>Y16+AA16+AC16</f>
        <v>0</v>
      </c>
      <c r="AF16" s="236">
        <f>50+9290</f>
        <v>9340</v>
      </c>
      <c r="AG16" s="236"/>
      <c r="AH16" s="236">
        <f>50+9290</f>
        <v>9340</v>
      </c>
      <c r="AI16" s="236"/>
      <c r="AJ16" s="236">
        <f>50+9290</f>
        <v>9340</v>
      </c>
      <c r="AK16" s="237"/>
      <c r="AL16" s="38">
        <f>AF16+AH16+AJ16</f>
        <v>28020</v>
      </c>
      <c r="AM16" s="38">
        <f>AG16+AI16+AK16</f>
        <v>0</v>
      </c>
      <c r="AN16" s="236">
        <f>50+9290</f>
        <v>9340</v>
      </c>
      <c r="AO16" s="334"/>
      <c r="AP16" s="236">
        <f>50+9290</f>
        <v>9340</v>
      </c>
      <c r="AQ16" s="334"/>
      <c r="AR16" s="336">
        <f>25+6610</f>
        <v>6635</v>
      </c>
      <c r="AS16" s="236"/>
      <c r="AT16" s="38">
        <f>AN16+AP16+AR16</f>
        <v>25315</v>
      </c>
      <c r="AU16" s="38">
        <f>AO16+AQ16+AS16</f>
        <v>0</v>
      </c>
      <c r="AV16" s="238">
        <f>V16+AD16+AL16+AT16</f>
        <v>106660</v>
      </c>
      <c r="AW16" s="66">
        <f>+W16</f>
        <v>0</v>
      </c>
      <c r="AX16" s="66">
        <f>+W16+AE16</f>
        <v>0</v>
      </c>
      <c r="AY16" s="66">
        <f>+W16+AE16+AM16</f>
        <v>0</v>
      </c>
      <c r="AZ16" s="66">
        <f>+W16+AE16+AM16+AU16</f>
        <v>0</v>
      </c>
      <c r="BA16" s="28">
        <f>IF(AND(AW16&gt;0,$AV16&gt;0),AW16/$AV16,0)</f>
        <v>0</v>
      </c>
      <c r="BB16" s="28">
        <f t="shared" ref="BB16:BD31" si="0">IF(AND(AX16&gt;0,$AV16&gt;0),AX16/$AV16,0)</f>
        <v>0</v>
      </c>
      <c r="BC16" s="28">
        <f t="shared" si="0"/>
        <v>0</v>
      </c>
      <c r="BD16" s="28">
        <f t="shared" si="0"/>
        <v>0</v>
      </c>
      <c r="BE16" s="28">
        <f t="shared" ref="BE16:BH21" si="1">(IF(AND(AW16&gt;0,$AV16&gt;0),AW16/$AV16,0))*$E16</f>
        <v>0</v>
      </c>
      <c r="BF16" s="28">
        <f t="shared" si="1"/>
        <v>0</v>
      </c>
      <c r="BG16" s="28">
        <f t="shared" si="1"/>
        <v>0</v>
      </c>
      <c r="BH16" s="28">
        <f t="shared" si="1"/>
        <v>0</v>
      </c>
    </row>
    <row r="17" spans="2:60" ht="111.75" customHeight="1">
      <c r="B17" s="619"/>
      <c r="C17" s="620"/>
      <c r="D17" s="309" t="str">
        <f>+'01-FR-03 POA INSTITUCIONAL'!D14</f>
        <v>1.1.2 Orientar 292.755 personas en garantía de derechos.</v>
      </c>
      <c r="E17" s="37">
        <f>+'01-FR-03 POA INSTITUCIONAL'!E14</f>
        <v>0.3</v>
      </c>
      <c r="F17" s="128">
        <f>+'01-FR-03 POA INSTITUCIONAL'!F14</f>
        <v>292755</v>
      </c>
      <c r="G17" s="128">
        <f>+'01-FR-03 POA INSTITUCIONAL'!L14</f>
        <v>97105</v>
      </c>
      <c r="H17" s="129">
        <f>+'01-FR-03 POA INSTITUCIONAL'!G14</f>
        <v>78750</v>
      </c>
      <c r="I17" s="129" t="str">
        <f>+'01-FR-03 POA INSTITUCIONAL'!H14</f>
        <v>Personas orientadas en garantía de derechos</v>
      </c>
      <c r="J17" s="129" t="s">
        <v>218</v>
      </c>
      <c r="K17" s="137" t="s">
        <v>196</v>
      </c>
      <c r="L17" s="364" t="s">
        <v>761</v>
      </c>
      <c r="M17" s="200" t="s">
        <v>194</v>
      </c>
      <c r="N17" s="200" t="s">
        <v>195</v>
      </c>
      <c r="O17" s="22" t="str">
        <f>+'01-FR-03 POA INSTITUCIONAL'!J14</f>
        <v>P.D. para la Coordinación del MP y DDHH y sus dependencias adscritas
P.D. para la Coordinación de la Gestión de Personerías Locales y sus Personerías Locales adscritas
P.D. para la Coordinación de la Prevención y Control a la Función Pública y sus dependencias adscritas</v>
      </c>
      <c r="P17" s="236">
        <f>800+450+4200</f>
        <v>5450</v>
      </c>
      <c r="Q17" s="236"/>
      <c r="R17" s="236">
        <f>1000+450+6166</f>
        <v>7616</v>
      </c>
      <c r="S17" s="236"/>
      <c r="T17" s="236">
        <f>1100+450+7005</f>
        <v>8555</v>
      </c>
      <c r="U17" s="236"/>
      <c r="V17" s="38">
        <f t="shared" ref="V17:W35" si="2">P17+R17+T17</f>
        <v>21621</v>
      </c>
      <c r="W17" s="38">
        <f t="shared" si="2"/>
        <v>0</v>
      </c>
      <c r="X17" s="236">
        <f>1100+450+6772</f>
        <v>8322</v>
      </c>
      <c r="Y17" s="236"/>
      <c r="Z17" s="236">
        <f>1000+450+7373</f>
        <v>8823</v>
      </c>
      <c r="AA17" s="236"/>
      <c r="AB17" s="236">
        <f>1000+450+7402</f>
        <v>8852</v>
      </c>
      <c r="AC17" s="237"/>
      <c r="AD17" s="38">
        <f t="shared" ref="AD17:AE35" si="3">X17+Z17+AB17</f>
        <v>25997</v>
      </c>
      <c r="AE17" s="38">
        <f t="shared" si="3"/>
        <v>0</v>
      </c>
      <c r="AF17" s="236">
        <f>1000+450+7432</f>
        <v>8882</v>
      </c>
      <c r="AG17" s="236"/>
      <c r="AH17" s="236">
        <f>1000+450+7432</f>
        <v>8882</v>
      </c>
      <c r="AI17" s="236"/>
      <c r="AJ17" s="236">
        <f>1000+450+7431</f>
        <v>8881</v>
      </c>
      <c r="AK17" s="237"/>
      <c r="AL17" s="38">
        <f t="shared" ref="AL17:AM35" si="4">AF17+AH17+AJ17</f>
        <v>26645</v>
      </c>
      <c r="AM17" s="38">
        <f t="shared" si="4"/>
        <v>0</v>
      </c>
      <c r="AN17" s="336">
        <f>1000+450+7211</f>
        <v>8661</v>
      </c>
      <c r="AO17" s="334"/>
      <c r="AP17" s="336">
        <f>1000+450+7096</f>
        <v>8546</v>
      </c>
      <c r="AQ17" s="334"/>
      <c r="AR17" s="336">
        <f>1000+50+4585</f>
        <v>5635</v>
      </c>
      <c r="AS17" s="236"/>
      <c r="AT17" s="38">
        <f t="shared" ref="AT17:AU35" si="5">AN17+AP17+AR17</f>
        <v>22842</v>
      </c>
      <c r="AU17" s="38">
        <f t="shared" si="5"/>
        <v>0</v>
      </c>
      <c r="AV17" s="238">
        <f t="shared" ref="AV17:AV35" si="6">V17+AD17+AL17+AT17</f>
        <v>97105</v>
      </c>
      <c r="AW17" s="66">
        <f t="shared" ref="AW17:AW35" si="7">+W17</f>
        <v>0</v>
      </c>
      <c r="AX17" s="66">
        <f t="shared" ref="AX17:AX35" si="8">+W17+AE17</f>
        <v>0</v>
      </c>
      <c r="AY17" s="66">
        <f t="shared" ref="AY17:AY35" si="9">+W17+AE17+AM17</f>
        <v>0</v>
      </c>
      <c r="AZ17" s="66">
        <f t="shared" ref="AZ17:AZ35" si="10">+W17+AE17+AM17+AU17</f>
        <v>0</v>
      </c>
      <c r="BA17" s="28">
        <f t="shared" ref="BA17:BD35" si="11">IF(AND(AW17&gt;0,$AV17&gt;0),AW17/$AV17,0)</f>
        <v>0</v>
      </c>
      <c r="BB17" s="28">
        <f t="shared" si="0"/>
        <v>0</v>
      </c>
      <c r="BC17" s="28">
        <f t="shared" si="0"/>
        <v>0</v>
      </c>
      <c r="BD17" s="28">
        <f t="shared" si="0"/>
        <v>0</v>
      </c>
      <c r="BE17" s="28">
        <f t="shared" si="1"/>
        <v>0</v>
      </c>
      <c r="BF17" s="28">
        <f t="shared" si="1"/>
        <v>0</v>
      </c>
      <c r="BG17" s="28">
        <f t="shared" si="1"/>
        <v>0</v>
      </c>
      <c r="BH17" s="28">
        <f t="shared" si="1"/>
        <v>0</v>
      </c>
    </row>
    <row r="18" spans="2:60" ht="138.75" customHeight="1">
      <c r="B18" s="619"/>
      <c r="C18" s="620"/>
      <c r="D18" s="309" t="str">
        <f>+'01-FR-03 POA INSTITUCIONAL'!D15</f>
        <v>1.1.3 Asistir 117.610 personas en garantía de derechos.</v>
      </c>
      <c r="E18" s="37">
        <f>+'01-FR-03 POA INSTITUCIONAL'!E15</f>
        <v>0.15</v>
      </c>
      <c r="F18" s="128">
        <f>+'01-FR-03 POA INSTITUCIONAL'!F15</f>
        <v>117610</v>
      </c>
      <c r="G18" s="128">
        <f>+'01-FR-03 POA INSTITUCIONAL'!L15</f>
        <v>26115</v>
      </c>
      <c r="H18" s="129">
        <f>+'01-FR-03 POA INSTITUCIONAL'!G15</f>
        <v>28695</v>
      </c>
      <c r="I18" s="129" t="str">
        <f>+'01-FR-03 POA INSTITUCIONAL'!H15</f>
        <v>Personas asistidas en garantía de derechos</v>
      </c>
      <c r="J18" s="129" t="s">
        <v>219</v>
      </c>
      <c r="K18" s="137" t="s">
        <v>197</v>
      </c>
      <c r="L18" s="364" t="s">
        <v>762</v>
      </c>
      <c r="M18" s="200" t="s">
        <v>194</v>
      </c>
      <c r="N18" s="200" t="s">
        <v>195</v>
      </c>
      <c r="O18" s="22" t="str">
        <f>+'01-FR-03 POA INSTITUCIONAL'!J15</f>
        <v>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v>
      </c>
      <c r="P18" s="236">
        <f>150+0+1050</f>
        <v>1200</v>
      </c>
      <c r="Q18" s="236"/>
      <c r="R18" s="236">
        <f>350+800+1580</f>
        <v>2730</v>
      </c>
      <c r="S18" s="236"/>
      <c r="T18" s="236">
        <f>350+800+1590</f>
        <v>2740</v>
      </c>
      <c r="U18" s="236"/>
      <c r="V18" s="38">
        <f t="shared" si="2"/>
        <v>6670</v>
      </c>
      <c r="W18" s="38">
        <f t="shared" si="2"/>
        <v>0</v>
      </c>
      <c r="X18" s="236">
        <f>350+800+1440</f>
        <v>2590</v>
      </c>
      <c r="Y18" s="236"/>
      <c r="Z18" s="236">
        <f>350+800+1640</f>
        <v>2790</v>
      </c>
      <c r="AA18" s="236"/>
      <c r="AB18" s="236">
        <f>350+800+1635</f>
        <v>2785</v>
      </c>
      <c r="AC18" s="236"/>
      <c r="AD18" s="38">
        <f t="shared" si="3"/>
        <v>8165</v>
      </c>
      <c r="AE18" s="38">
        <f t="shared" si="3"/>
        <v>0</v>
      </c>
      <c r="AF18" s="236">
        <f>350+800+1635</f>
        <v>2785</v>
      </c>
      <c r="AG18" s="236"/>
      <c r="AH18" s="236">
        <f>350+800+840</f>
        <v>1990</v>
      </c>
      <c r="AI18" s="236"/>
      <c r="AJ18" s="236">
        <f>350+800+840</f>
        <v>1990</v>
      </c>
      <c r="AK18" s="236"/>
      <c r="AL18" s="38">
        <f t="shared" si="4"/>
        <v>6765</v>
      </c>
      <c r="AM18" s="38">
        <f t="shared" si="4"/>
        <v>0</v>
      </c>
      <c r="AN18" s="236">
        <f>350+800+785</f>
        <v>1935</v>
      </c>
      <c r="AO18" s="334"/>
      <c r="AP18" s="236">
        <f>350+800+790</f>
        <v>1940</v>
      </c>
      <c r="AQ18" s="334"/>
      <c r="AR18" s="336">
        <f>150+0+490</f>
        <v>640</v>
      </c>
      <c r="AS18" s="236"/>
      <c r="AT18" s="38">
        <f t="shared" si="5"/>
        <v>4515</v>
      </c>
      <c r="AU18" s="38">
        <f t="shared" si="5"/>
        <v>0</v>
      </c>
      <c r="AV18" s="238">
        <f t="shared" si="6"/>
        <v>26115</v>
      </c>
      <c r="AW18" s="66">
        <f t="shared" si="7"/>
        <v>0</v>
      </c>
      <c r="AX18" s="66">
        <f t="shared" si="8"/>
        <v>0</v>
      </c>
      <c r="AY18" s="66">
        <f t="shared" si="9"/>
        <v>0</v>
      </c>
      <c r="AZ18" s="66">
        <f t="shared" si="10"/>
        <v>0</v>
      </c>
      <c r="BA18" s="28">
        <f t="shared" si="11"/>
        <v>0</v>
      </c>
      <c r="BB18" s="28">
        <f t="shared" si="0"/>
        <v>0</v>
      </c>
      <c r="BC18" s="28">
        <f t="shared" si="0"/>
        <v>0</v>
      </c>
      <c r="BD18" s="28">
        <f t="shared" si="0"/>
        <v>0</v>
      </c>
      <c r="BE18" s="28">
        <f t="shared" si="1"/>
        <v>0</v>
      </c>
      <c r="BF18" s="28">
        <f t="shared" si="1"/>
        <v>0</v>
      </c>
      <c r="BG18" s="28">
        <f t="shared" si="1"/>
        <v>0</v>
      </c>
      <c r="BH18" s="28">
        <f t="shared" si="1"/>
        <v>0</v>
      </c>
    </row>
    <row r="19" spans="2:60" ht="84" customHeight="1">
      <c r="B19" s="619"/>
      <c r="C19" s="620"/>
      <c r="D19" s="309" t="str">
        <f>+'01-FR-03 POA INSTITUCIONAL'!D16</f>
        <v>1.1.4 Asistir a 28.586 personas en mecanismos alternativos de solución de conflictos.</v>
      </c>
      <c r="E19" s="37">
        <f>+'01-FR-03 POA INSTITUCIONAL'!E16</f>
        <v>0.04</v>
      </c>
      <c r="F19" s="128">
        <f>+'01-FR-03 POA INSTITUCIONAL'!F16</f>
        <v>28586</v>
      </c>
      <c r="G19" s="128">
        <f>+'01-FR-03 POA INSTITUCIONAL'!L16</f>
        <v>6900</v>
      </c>
      <c r="H19" s="129">
        <f>+'01-FR-03 POA INSTITUCIONAL'!G16</f>
        <v>6810</v>
      </c>
      <c r="I19" s="129" t="str">
        <f>+'01-FR-03 POA INSTITUCIONAL'!H16</f>
        <v>Personas asistidas en Mecanismos Alternativos de Solución de Conflictos</v>
      </c>
      <c r="J19" s="129" t="s">
        <v>220</v>
      </c>
      <c r="K19" s="137" t="s">
        <v>198</v>
      </c>
      <c r="L19" s="365" t="s">
        <v>763</v>
      </c>
      <c r="M19" s="200" t="s">
        <v>194</v>
      </c>
      <c r="N19" s="200" t="s">
        <v>195</v>
      </c>
      <c r="O19" s="22" t="str">
        <f>+'01-FR-03 POA INSTITUCIONAL'!J16</f>
        <v>Dirección de Conciliación y M.A.S.C.</v>
      </c>
      <c r="P19" s="236">
        <v>300</v>
      </c>
      <c r="Q19" s="236"/>
      <c r="R19" s="236">
        <v>300</v>
      </c>
      <c r="S19" s="236"/>
      <c r="T19" s="236">
        <v>300</v>
      </c>
      <c r="U19" s="236"/>
      <c r="V19" s="38">
        <f t="shared" si="2"/>
        <v>900</v>
      </c>
      <c r="W19" s="38">
        <f t="shared" si="2"/>
        <v>0</v>
      </c>
      <c r="X19" s="236">
        <v>500</v>
      </c>
      <c r="Y19" s="236"/>
      <c r="Z19" s="236">
        <v>500</v>
      </c>
      <c r="AA19" s="236"/>
      <c r="AB19" s="236">
        <v>500</v>
      </c>
      <c r="AC19" s="236"/>
      <c r="AD19" s="38">
        <f t="shared" si="3"/>
        <v>1500</v>
      </c>
      <c r="AE19" s="38">
        <f t="shared" si="3"/>
        <v>0</v>
      </c>
      <c r="AF19" s="236">
        <v>700</v>
      </c>
      <c r="AG19" s="236"/>
      <c r="AH19" s="236">
        <v>700</v>
      </c>
      <c r="AI19" s="236"/>
      <c r="AJ19" s="236">
        <v>700</v>
      </c>
      <c r="AK19" s="236"/>
      <c r="AL19" s="38">
        <f t="shared" si="4"/>
        <v>2100</v>
      </c>
      <c r="AM19" s="38">
        <f t="shared" si="4"/>
        <v>0</v>
      </c>
      <c r="AN19" s="236">
        <v>800</v>
      </c>
      <c r="AO19" s="236"/>
      <c r="AP19" s="236">
        <v>800</v>
      </c>
      <c r="AQ19" s="236"/>
      <c r="AR19" s="236">
        <v>800</v>
      </c>
      <c r="AS19" s="236"/>
      <c r="AT19" s="38">
        <f t="shared" si="5"/>
        <v>2400</v>
      </c>
      <c r="AU19" s="38">
        <f t="shared" si="5"/>
        <v>0</v>
      </c>
      <c r="AV19" s="238">
        <f t="shared" si="6"/>
        <v>6900</v>
      </c>
      <c r="AW19" s="66">
        <f t="shared" si="7"/>
        <v>0</v>
      </c>
      <c r="AX19" s="66">
        <f t="shared" si="8"/>
        <v>0</v>
      </c>
      <c r="AY19" s="66">
        <f t="shared" si="9"/>
        <v>0</v>
      </c>
      <c r="AZ19" s="66">
        <f t="shared" si="10"/>
        <v>0</v>
      </c>
      <c r="BA19" s="28">
        <f t="shared" si="11"/>
        <v>0</v>
      </c>
      <c r="BB19" s="28">
        <f t="shared" si="0"/>
        <v>0</v>
      </c>
      <c r="BC19" s="28">
        <f t="shared" si="0"/>
        <v>0</v>
      </c>
      <c r="BD19" s="28">
        <f t="shared" si="0"/>
        <v>0</v>
      </c>
      <c r="BE19" s="28">
        <f t="shared" si="1"/>
        <v>0</v>
      </c>
      <c r="BF19" s="28">
        <f t="shared" si="1"/>
        <v>0</v>
      </c>
      <c r="BG19" s="28">
        <f t="shared" si="1"/>
        <v>0</v>
      </c>
      <c r="BH19" s="28">
        <f t="shared" si="1"/>
        <v>0</v>
      </c>
    </row>
    <row r="20" spans="2:60" ht="144.75" customHeight="1">
      <c r="B20" s="619"/>
      <c r="C20" s="620"/>
      <c r="D20" s="309" t="str">
        <f>+'01-FR-03 POA INSTITUCIONAL'!D17</f>
        <v>1.1.5 Atender y gestionar 55.722 peticiones y/o requerimientos presentados por la comunidad en garantía de derechos.</v>
      </c>
      <c r="E20" s="37">
        <f>+'01-FR-03 POA INSTITUCIONAL'!E17</f>
        <v>0.06</v>
      </c>
      <c r="F20" s="128">
        <f>+'01-FR-03 POA INSTITUCIONAL'!F17</f>
        <v>55722</v>
      </c>
      <c r="G20" s="128">
        <f>+'01-FR-03 POA INSTITUCIONAL'!L17</f>
        <v>16115</v>
      </c>
      <c r="H20" s="129">
        <f>+'01-FR-03 POA INSTITUCIONAL'!G17</f>
        <v>14307</v>
      </c>
      <c r="I20" s="129" t="str">
        <f>+'01-FR-03 POA INSTITUCIONAL'!H17</f>
        <v>Peticiones o requerimientos ciudadanos atendidos en garantía de derechos</v>
      </c>
      <c r="J20" s="129" t="s">
        <v>229</v>
      </c>
      <c r="K20" s="137" t="s">
        <v>197</v>
      </c>
      <c r="L20" s="364" t="s">
        <v>764</v>
      </c>
      <c r="M20" s="200" t="s">
        <v>194</v>
      </c>
      <c r="N20" s="200" t="s">
        <v>195</v>
      </c>
      <c r="O20" s="22" t="str">
        <f>+'01-FR-03 POA INSTITUCIONAL'!J17</f>
        <v>* P.D. para la Coordinación del MP y DDHH, P.D. para Asuntos Penales I, Penales II, Policivos y Civiles, Derechos Humanos, Familia y Orientación y Asistencia.
* P.D. para la Coordinación de la Gestión de Personerías Locales y sus Personerías Locales adscritas
* P.D. para la Coordinación de la Prevención y Control a la Función Pública y sus dependencias adscritas</v>
      </c>
      <c r="P20" s="236">
        <f>400+150+268</f>
        <v>818</v>
      </c>
      <c r="Q20" s="236"/>
      <c r="R20" s="236">
        <f>600+150+525</f>
        <v>1275</v>
      </c>
      <c r="S20" s="236"/>
      <c r="T20" s="236">
        <f>600+150+565</f>
        <v>1315</v>
      </c>
      <c r="U20" s="236"/>
      <c r="V20" s="38">
        <f t="shared" si="2"/>
        <v>3408</v>
      </c>
      <c r="W20" s="38">
        <f t="shared" si="2"/>
        <v>0</v>
      </c>
      <c r="X20" s="236">
        <f>700+150+565</f>
        <v>1415</v>
      </c>
      <c r="Y20" s="236"/>
      <c r="Z20" s="236">
        <f>700+150+575</f>
        <v>1425</v>
      </c>
      <c r="AA20" s="236"/>
      <c r="AB20" s="236">
        <f>700+150+575</f>
        <v>1425</v>
      </c>
      <c r="AC20" s="236"/>
      <c r="AD20" s="38">
        <f t="shared" si="3"/>
        <v>4265</v>
      </c>
      <c r="AE20" s="38">
        <f t="shared" si="3"/>
        <v>0</v>
      </c>
      <c r="AF20" s="236">
        <f>700+150+575</f>
        <v>1425</v>
      </c>
      <c r="AG20" s="236"/>
      <c r="AH20" s="236">
        <f>700+150+575</f>
        <v>1425</v>
      </c>
      <c r="AI20" s="236"/>
      <c r="AJ20" s="236">
        <f>700+150+575</f>
        <v>1425</v>
      </c>
      <c r="AK20" s="236"/>
      <c r="AL20" s="38">
        <f t="shared" si="4"/>
        <v>4275</v>
      </c>
      <c r="AM20" s="38">
        <f t="shared" si="4"/>
        <v>0</v>
      </c>
      <c r="AN20" s="236">
        <f>800+150+570</f>
        <v>1520</v>
      </c>
      <c r="AO20" s="334"/>
      <c r="AP20" s="236">
        <f>800+150+570</f>
        <v>1520</v>
      </c>
      <c r="AQ20" s="334"/>
      <c r="AR20" s="236">
        <f>600+150+377</f>
        <v>1127</v>
      </c>
      <c r="AS20" s="236"/>
      <c r="AT20" s="38">
        <f t="shared" si="5"/>
        <v>4167</v>
      </c>
      <c r="AU20" s="38">
        <f t="shared" si="5"/>
        <v>0</v>
      </c>
      <c r="AV20" s="238">
        <f t="shared" si="6"/>
        <v>16115</v>
      </c>
      <c r="AW20" s="66">
        <f t="shared" si="7"/>
        <v>0</v>
      </c>
      <c r="AX20" s="66">
        <f t="shared" si="8"/>
        <v>0</v>
      </c>
      <c r="AY20" s="66">
        <f t="shared" si="9"/>
        <v>0</v>
      </c>
      <c r="AZ20" s="66">
        <f t="shared" si="10"/>
        <v>0</v>
      </c>
      <c r="BA20" s="28">
        <f t="shared" si="11"/>
        <v>0</v>
      </c>
      <c r="BB20" s="28">
        <f t="shared" si="0"/>
        <v>0</v>
      </c>
      <c r="BC20" s="28">
        <f t="shared" si="0"/>
        <v>0</v>
      </c>
      <c r="BD20" s="28">
        <f t="shared" si="0"/>
        <v>0</v>
      </c>
      <c r="BE20" s="28">
        <f t="shared" si="1"/>
        <v>0</v>
      </c>
      <c r="BF20" s="28">
        <f t="shared" si="1"/>
        <v>0</v>
      </c>
      <c r="BG20" s="28">
        <f t="shared" si="1"/>
        <v>0</v>
      </c>
      <c r="BH20" s="28">
        <f t="shared" si="1"/>
        <v>0</v>
      </c>
    </row>
    <row r="21" spans="2:60" ht="189.75" customHeight="1">
      <c r="B21" s="619"/>
      <c r="C21" s="620"/>
      <c r="D21" s="309" t="str">
        <f>+'01-FR-03 POA INSTITUCIONAL'!D18</f>
        <v>1.1.6 Generar 80 espacios de mejora, de transferencia de conocimientos y buenas prácticas que permitan brindar una atención idónea a las personas que acuden a la Personería de Bogotá, D. C</v>
      </c>
      <c r="E21" s="37">
        <f>+'01-FR-03 POA INSTITUCIONAL'!E18</f>
        <v>0.01</v>
      </c>
      <c r="F21" s="128">
        <f>+'01-FR-03 POA INSTITUCIONAL'!F18</f>
        <v>80</v>
      </c>
      <c r="G21" s="128">
        <f>+'01-FR-03 POA INSTITUCIONAL'!L18</f>
        <v>20</v>
      </c>
      <c r="H21" s="129">
        <f>+'01-FR-03 POA INSTITUCIONAL'!G18</f>
        <v>20</v>
      </c>
      <c r="I21" s="129" t="str">
        <f>+'01-FR-03 POA INSTITUCIONAL'!H18</f>
        <v>Espacios de mejora y transferencia de conocimiento realizados</v>
      </c>
      <c r="J21" s="129" t="s">
        <v>221</v>
      </c>
      <c r="K21" s="137" t="s">
        <v>199</v>
      </c>
      <c r="L21" s="364" t="s">
        <v>200</v>
      </c>
      <c r="M21" s="200" t="s">
        <v>194</v>
      </c>
      <c r="N21" s="200" t="s">
        <v>195</v>
      </c>
      <c r="O21" s="22" t="str">
        <f>+'01-FR-03 POA INSTITUCIONAL'!J18</f>
        <v>P.D. para la Coordinación del MP y DDHH y sus dependencias adscritas.</v>
      </c>
      <c r="P21" s="236">
        <v>0</v>
      </c>
      <c r="Q21" s="236"/>
      <c r="R21" s="236">
        <v>0</v>
      </c>
      <c r="S21" s="236"/>
      <c r="T21" s="236">
        <v>2</v>
      </c>
      <c r="U21" s="236"/>
      <c r="V21" s="38">
        <f t="shared" si="2"/>
        <v>2</v>
      </c>
      <c r="W21" s="38">
        <f t="shared" si="2"/>
        <v>0</v>
      </c>
      <c r="X21" s="236">
        <v>5</v>
      </c>
      <c r="Y21" s="236"/>
      <c r="Z21" s="236">
        <v>3</v>
      </c>
      <c r="AA21" s="236"/>
      <c r="AB21" s="236">
        <v>3</v>
      </c>
      <c r="AC21" s="236"/>
      <c r="AD21" s="38">
        <f t="shared" si="3"/>
        <v>11</v>
      </c>
      <c r="AE21" s="38">
        <f t="shared" si="3"/>
        <v>0</v>
      </c>
      <c r="AF21" s="236">
        <v>3</v>
      </c>
      <c r="AG21" s="236"/>
      <c r="AH21" s="236">
        <v>2</v>
      </c>
      <c r="AI21" s="236"/>
      <c r="AJ21" s="237">
        <v>1</v>
      </c>
      <c r="AK21" s="237"/>
      <c r="AL21" s="38">
        <f t="shared" si="4"/>
        <v>6</v>
      </c>
      <c r="AM21" s="38">
        <f t="shared" si="4"/>
        <v>0</v>
      </c>
      <c r="AN21" s="236">
        <v>1</v>
      </c>
      <c r="AO21" s="236"/>
      <c r="AP21" s="236">
        <v>0</v>
      </c>
      <c r="AQ21" s="236"/>
      <c r="AR21" s="236">
        <v>0</v>
      </c>
      <c r="AS21" s="236"/>
      <c r="AT21" s="38">
        <f t="shared" si="5"/>
        <v>1</v>
      </c>
      <c r="AU21" s="38">
        <f t="shared" si="5"/>
        <v>0</v>
      </c>
      <c r="AV21" s="238">
        <f t="shared" si="6"/>
        <v>20</v>
      </c>
      <c r="AW21" s="66">
        <f t="shared" si="7"/>
        <v>0</v>
      </c>
      <c r="AX21" s="66">
        <f t="shared" si="8"/>
        <v>0</v>
      </c>
      <c r="AY21" s="66">
        <f t="shared" si="9"/>
        <v>0</v>
      </c>
      <c r="AZ21" s="66">
        <f t="shared" si="10"/>
        <v>0</v>
      </c>
      <c r="BA21" s="28">
        <f t="shared" si="11"/>
        <v>0</v>
      </c>
      <c r="BB21" s="28">
        <f t="shared" si="0"/>
        <v>0</v>
      </c>
      <c r="BC21" s="28">
        <f t="shared" si="0"/>
        <v>0</v>
      </c>
      <c r="BD21" s="28">
        <f t="shared" si="0"/>
        <v>0</v>
      </c>
      <c r="BE21" s="28">
        <f t="shared" si="1"/>
        <v>0</v>
      </c>
      <c r="BF21" s="28">
        <f t="shared" si="1"/>
        <v>0</v>
      </c>
      <c r="BG21" s="28">
        <f t="shared" si="1"/>
        <v>0</v>
      </c>
      <c r="BH21" s="28">
        <f t="shared" si="1"/>
        <v>0</v>
      </c>
    </row>
    <row r="22" spans="2:60" ht="160.5" customHeight="1">
      <c r="B22" s="619"/>
      <c r="C22" s="620"/>
      <c r="D22" s="309" t="str">
        <f>+'01-FR-03 POA INSTITUCIONAL'!D19</f>
        <v>1.1.7 Entregar en un termino menor a los cinco (5) días hábiles, mas del 95% de las solicitudes de elaboración de tutelas, desacatos e impugnaciones que realicen las personas en el Distrito Capital.</v>
      </c>
      <c r="E22" s="37">
        <f>+'01-FR-03 POA INSTITUCIONAL'!E19</f>
        <v>0.01</v>
      </c>
      <c r="F22" s="128" t="str">
        <f>+'01-FR-03 POA INSTITUCIONAL'!F19</f>
        <v>&gt;=95%</v>
      </c>
      <c r="G22" s="128" t="str">
        <f>+'01-FR-03 POA INSTITUCIONAL'!L19</f>
        <v>&gt;=95%</v>
      </c>
      <c r="H22" s="129" t="str">
        <f>+'01-FR-03 POA INSTITUCIONAL'!G19</f>
        <v>S.I.</v>
      </c>
      <c r="I22" s="129" t="str">
        <f>+'01-FR-03 POA INSTITUCIONAL'!H19</f>
        <v>Porcentaje de Acciones de Tutela, Desacatos e Impugnaciones Entregadas en un Termino Menor a Cinco (5) Días Hábiles</v>
      </c>
      <c r="J22" s="129" t="s">
        <v>222</v>
      </c>
      <c r="K22" s="137" t="s">
        <v>201</v>
      </c>
      <c r="L22" s="26" t="s">
        <v>202</v>
      </c>
      <c r="M22" s="200" t="s">
        <v>194</v>
      </c>
      <c r="N22" s="200" t="s">
        <v>195</v>
      </c>
      <c r="O22" s="22" t="str">
        <f>+'01-FR-03 POA INSTITUCIONAL'!J19</f>
        <v>P.D. para Asuntos Jurisdiccionales, Víctimas y Penal II.
P.D. para la Coordinación de la Gestión de Personerías Locales y sus Personerías Locales adscritas</v>
      </c>
      <c r="P22" s="239">
        <v>0.95</v>
      </c>
      <c r="Q22" s="236"/>
      <c r="R22" s="239">
        <v>0.95</v>
      </c>
      <c r="S22" s="236"/>
      <c r="T22" s="239">
        <v>0.95</v>
      </c>
      <c r="U22" s="236"/>
      <c r="V22" s="39">
        <f>IFERROR(AVERAGE(P22,R22,T22),0)</f>
        <v>0.94999999999999984</v>
      </c>
      <c r="W22" s="39">
        <f>IFERROR(AVERAGE(Q22,S22,U22),0)</f>
        <v>0</v>
      </c>
      <c r="X22" s="239">
        <v>0.95</v>
      </c>
      <c r="Y22" s="367"/>
      <c r="Z22" s="239">
        <v>0.95</v>
      </c>
      <c r="AA22" s="367"/>
      <c r="AB22" s="239">
        <v>0.95</v>
      </c>
      <c r="AC22" s="236"/>
      <c r="AD22" s="39">
        <f>IFERROR(AVERAGE(X22,Z22,AB22),0)</f>
        <v>0.94999999999999984</v>
      </c>
      <c r="AE22" s="39">
        <f>IFERROR(AVERAGE(Y22,AA22,AC22),0)</f>
        <v>0</v>
      </c>
      <c r="AF22" s="239">
        <v>0.95</v>
      </c>
      <c r="AG22" s="367"/>
      <c r="AH22" s="239">
        <v>0.95</v>
      </c>
      <c r="AI22" s="367"/>
      <c r="AJ22" s="239">
        <v>0.95</v>
      </c>
      <c r="AK22" s="236"/>
      <c r="AL22" s="39">
        <f>IFERROR(AVERAGE(AF22,AH22,AJ22),0)</f>
        <v>0.94999999999999984</v>
      </c>
      <c r="AM22" s="39">
        <f>IFERROR(AVERAGE(AG22,AI22,AK22),0)</f>
        <v>0</v>
      </c>
      <c r="AN22" s="239">
        <v>0.95</v>
      </c>
      <c r="AO22" s="367"/>
      <c r="AP22" s="239">
        <v>0.95</v>
      </c>
      <c r="AQ22" s="367"/>
      <c r="AR22" s="239">
        <v>0.95</v>
      </c>
      <c r="AS22" s="236"/>
      <c r="AT22" s="39">
        <f>IFERROR(AVERAGE(AN22,AP22,AR22),0)</f>
        <v>0.94999999999999984</v>
      </c>
      <c r="AU22" s="39">
        <f>IFERROR(AVERAGE(AO22,AQ22,AS22),0)</f>
        <v>0</v>
      </c>
      <c r="AV22" s="39">
        <f>IFERROR(AVERAGE(P22,R22,T22,X22,Z22,AB22,AF22,AH22,AJ22,AN22,AP22,AR22),0)</f>
        <v>0.94999999999999984</v>
      </c>
      <c r="AW22" s="66">
        <f>W22</f>
        <v>0</v>
      </c>
      <c r="AX22" s="66">
        <f>AE22</f>
        <v>0</v>
      </c>
      <c r="AY22" s="66">
        <f>AM22</f>
        <v>0</v>
      </c>
      <c r="AZ22" s="66">
        <f>AU22</f>
        <v>0</v>
      </c>
      <c r="BA22" s="28">
        <f t="shared" ref="BA22" si="12">IF(AND(AW22&gt;0,$AV22&gt;0),AW22/$AV22,0)</f>
        <v>0</v>
      </c>
      <c r="BB22" s="28">
        <f t="shared" ref="BB22" si="13">IF(AND(AX22&gt;0,$AV22&gt;0),AX22/$AV22,0)</f>
        <v>0</v>
      </c>
      <c r="BC22" s="28">
        <f t="shared" ref="BC22" si="14">IF(AND(AY22&gt;0,$AV22&gt;0),AY22/$AV22,0)</f>
        <v>0</v>
      </c>
      <c r="BD22" s="28">
        <f t="shared" ref="BD22" si="15">IF(AND(AZ22&gt;0,$AV22&gt;0),AZ22/$AV22,0)</f>
        <v>0</v>
      </c>
      <c r="BE22" s="28">
        <f t="shared" ref="BE22" si="16">(IF(AND(AW22&gt;0,$AV22&gt;0),AW22/$AV22,0))*$E22</f>
        <v>0</v>
      </c>
      <c r="BF22" s="28">
        <f t="shared" ref="BF22" si="17">(IF(AND(AX22&gt;0,$AV22&gt;0),AX22/$AV22,0))*$E22</f>
        <v>0</v>
      </c>
      <c r="BG22" s="28">
        <f t="shared" ref="BG22" si="18">(IF(AND(AY22&gt;0,$AV22&gt;0),AY22/$AV22,0))*$E22</f>
        <v>0</v>
      </c>
      <c r="BH22" s="28">
        <f t="shared" ref="BH22" si="19">(IF(AND(AZ22&gt;0,$AV22&gt;0),AZ22/$AV22,0))*$E22</f>
        <v>0</v>
      </c>
    </row>
    <row r="23" spans="2:60" ht="138.75" customHeight="1">
      <c r="B23" s="619"/>
      <c r="C23" s="620"/>
      <c r="D23" s="309" t="str">
        <f>+'01-FR-03 POA INSTITUCIONAL'!D20</f>
        <v>1.1.8 Asistir a 19.500 audiencias públicas y realizar las actuaciones que se requieran en protección de los derechos y defensa del interés público, en temas de urbanismo, espacio público, actividad económica y de los comportamientos contrarios a la convivencia (Ley 1801 de 2016)</v>
      </c>
      <c r="E23" s="37">
        <f>+'01-FR-03 POA INSTITUCIONAL'!E20</f>
        <v>0.02</v>
      </c>
      <c r="F23" s="128">
        <f>+'01-FR-03 POA INSTITUCIONAL'!F20</f>
        <v>19500</v>
      </c>
      <c r="G23" s="128">
        <f>+'01-FR-03 POA INSTITUCIONAL'!L20</f>
        <v>6000</v>
      </c>
      <c r="H23" s="129">
        <f>+'01-FR-03 POA INSTITUCIONAL'!G20</f>
        <v>5000</v>
      </c>
      <c r="I23" s="129" t="str">
        <f>+'01-FR-03 POA INSTITUCIONAL'!H20</f>
        <v>Audiencias Publicas Realizadas con Asistencia del Ministerio Público</v>
      </c>
      <c r="J23" s="129" t="s">
        <v>223</v>
      </c>
      <c r="K23" s="137" t="s">
        <v>203</v>
      </c>
      <c r="L23" s="364" t="s">
        <v>765</v>
      </c>
      <c r="M23" s="200" t="s">
        <v>194</v>
      </c>
      <c r="N23" s="200" t="s">
        <v>195</v>
      </c>
      <c r="O23" s="22" t="str">
        <f>+'01-FR-03 POA INSTITUCIONAL'!J20</f>
        <v>P.D. para la Coordinación de la Gestión de Personerías Locales y sus Personerías Locales adscritas</v>
      </c>
      <c r="P23" s="237">
        <v>0</v>
      </c>
      <c r="Q23" s="236"/>
      <c r="R23" s="237">
        <v>600</v>
      </c>
      <c r="S23" s="236"/>
      <c r="T23" s="237">
        <v>600</v>
      </c>
      <c r="U23" s="236"/>
      <c r="V23" s="38">
        <f t="shared" si="2"/>
        <v>1200</v>
      </c>
      <c r="W23" s="38">
        <f t="shared" si="2"/>
        <v>0</v>
      </c>
      <c r="X23" s="237">
        <v>600</v>
      </c>
      <c r="Y23" s="236"/>
      <c r="Z23" s="237">
        <v>600</v>
      </c>
      <c r="AA23" s="236"/>
      <c r="AB23" s="237">
        <v>600</v>
      </c>
      <c r="AC23" s="236"/>
      <c r="AD23" s="38">
        <f t="shared" si="3"/>
        <v>1800</v>
      </c>
      <c r="AE23" s="38">
        <f t="shared" si="3"/>
        <v>0</v>
      </c>
      <c r="AF23" s="237">
        <v>600</v>
      </c>
      <c r="AG23" s="236"/>
      <c r="AH23" s="237">
        <v>600</v>
      </c>
      <c r="AI23" s="236"/>
      <c r="AJ23" s="237">
        <v>600</v>
      </c>
      <c r="AK23" s="236"/>
      <c r="AL23" s="38">
        <f t="shared" si="4"/>
        <v>1800</v>
      </c>
      <c r="AM23" s="38">
        <f t="shared" si="4"/>
        <v>0</v>
      </c>
      <c r="AN23" s="237">
        <v>600</v>
      </c>
      <c r="AO23" s="236"/>
      <c r="AP23" s="237">
        <v>600</v>
      </c>
      <c r="AQ23" s="236"/>
      <c r="AR23" s="236">
        <v>0</v>
      </c>
      <c r="AS23" s="236"/>
      <c r="AT23" s="38">
        <f t="shared" si="5"/>
        <v>1200</v>
      </c>
      <c r="AU23" s="38">
        <f t="shared" si="5"/>
        <v>0</v>
      </c>
      <c r="AV23" s="238">
        <f t="shared" si="6"/>
        <v>6000</v>
      </c>
      <c r="AW23" s="66">
        <f t="shared" si="7"/>
        <v>0</v>
      </c>
      <c r="AX23" s="66">
        <f t="shared" si="8"/>
        <v>0</v>
      </c>
      <c r="AY23" s="66">
        <f t="shared" si="9"/>
        <v>0</v>
      </c>
      <c r="AZ23" s="66">
        <f t="shared" si="10"/>
        <v>0</v>
      </c>
      <c r="BA23" s="28">
        <f t="shared" si="11"/>
        <v>0</v>
      </c>
      <c r="BB23" s="28">
        <f t="shared" si="0"/>
        <v>0</v>
      </c>
      <c r="BC23" s="28">
        <f t="shared" si="0"/>
        <v>0</v>
      </c>
      <c r="BD23" s="28">
        <f t="shared" si="0"/>
        <v>0</v>
      </c>
      <c r="BE23" s="28">
        <f t="shared" ref="BE23:BE35" si="20">(IF(AND(AW23&gt;0,$AV23&gt;0),AW23/$AV23,0))*$E23</f>
        <v>0</v>
      </c>
      <c r="BF23" s="28">
        <f t="shared" ref="BF23:BF35" si="21">(IF(AND(AX23&gt;0,$AV23&gt;0),AX23/$AV23,0))*$E23</f>
        <v>0</v>
      </c>
      <c r="BG23" s="28">
        <f t="shared" ref="BG23:BG35" si="22">(IF(AND(AY23&gt;0,$AV23&gt;0),AY23/$AV23,0))*$E23</f>
        <v>0</v>
      </c>
      <c r="BH23" s="28">
        <f t="shared" ref="BH23:BH35" si="23">(IF(AND(AZ23&gt;0,$AV23&gt;0),AZ23/$AV23,0))*$E23</f>
        <v>0</v>
      </c>
    </row>
    <row r="24" spans="2:60" ht="236.25" customHeight="1">
      <c r="B24" s="619"/>
      <c r="C24" s="620"/>
      <c r="D24" s="309" t="str">
        <f>+'01-FR-03 POA INSTITUCIONAL'!D21</f>
        <v>1.1.9 Realizar 11.000 intervenciones de manera oportuna para evitar situaciones de caducidad y perdida de fuerza ejecutoria en las actuaciones administrativas y policivas</v>
      </c>
      <c r="E24" s="37">
        <f>+'01-FR-03 POA INSTITUCIONAL'!E21</f>
        <v>0.01</v>
      </c>
      <c r="F24" s="128">
        <f>+'01-FR-03 POA INSTITUCIONAL'!F21</f>
        <v>11000</v>
      </c>
      <c r="G24" s="128">
        <f>+'01-FR-03 POA INSTITUCIONAL'!L21</f>
        <v>3000</v>
      </c>
      <c r="H24" s="129">
        <f>+'01-FR-03 POA INSTITUCIONAL'!G21</f>
        <v>3000</v>
      </c>
      <c r="I24" s="129" t="str">
        <f>+'01-FR-03 POA INSTITUCIONAL'!H21</f>
        <v>Intervenciones realizadas oportunamente para evitar la caducidad y perdida de fuerza ejecutoria (Impulsos procesales)</v>
      </c>
      <c r="J24" s="129" t="s">
        <v>231</v>
      </c>
      <c r="K24" s="137" t="s">
        <v>204</v>
      </c>
      <c r="L24" s="364" t="s">
        <v>235</v>
      </c>
      <c r="M24" s="200" t="s">
        <v>194</v>
      </c>
      <c r="N24" s="200" t="s">
        <v>195</v>
      </c>
      <c r="O24" s="22" t="str">
        <f>+'01-FR-03 POA INSTITUCIONAL'!J21</f>
        <v>P.D. para la Coordinación de la Gestión de Personerías Locales y sus Personerías Locales adscritas</v>
      </c>
      <c r="P24" s="237">
        <v>0</v>
      </c>
      <c r="Q24" s="236"/>
      <c r="R24" s="237">
        <v>300</v>
      </c>
      <c r="S24" s="236"/>
      <c r="T24" s="237">
        <v>300</v>
      </c>
      <c r="U24" s="236"/>
      <c r="V24" s="38">
        <f t="shared" si="2"/>
        <v>600</v>
      </c>
      <c r="W24" s="38">
        <f t="shared" si="2"/>
        <v>0</v>
      </c>
      <c r="X24" s="237">
        <v>300</v>
      </c>
      <c r="Y24" s="236"/>
      <c r="Z24" s="237">
        <v>300</v>
      </c>
      <c r="AA24" s="236"/>
      <c r="AB24" s="237">
        <v>300</v>
      </c>
      <c r="AC24" s="237"/>
      <c r="AD24" s="38">
        <f t="shared" si="3"/>
        <v>900</v>
      </c>
      <c r="AE24" s="38">
        <f t="shared" si="3"/>
        <v>0</v>
      </c>
      <c r="AF24" s="237">
        <v>300</v>
      </c>
      <c r="AG24" s="236"/>
      <c r="AH24" s="237">
        <v>300</v>
      </c>
      <c r="AI24" s="236"/>
      <c r="AJ24" s="237">
        <v>300</v>
      </c>
      <c r="AK24" s="237"/>
      <c r="AL24" s="38">
        <f t="shared" si="4"/>
        <v>900</v>
      </c>
      <c r="AM24" s="38">
        <f t="shared" si="4"/>
        <v>0</v>
      </c>
      <c r="AN24" s="237">
        <v>300</v>
      </c>
      <c r="AO24" s="236"/>
      <c r="AP24" s="237">
        <v>300</v>
      </c>
      <c r="AQ24" s="236"/>
      <c r="AR24" s="236">
        <v>0</v>
      </c>
      <c r="AS24" s="236"/>
      <c r="AT24" s="38">
        <f t="shared" si="5"/>
        <v>600</v>
      </c>
      <c r="AU24" s="38">
        <f t="shared" si="5"/>
        <v>0</v>
      </c>
      <c r="AV24" s="238">
        <f t="shared" si="6"/>
        <v>3000</v>
      </c>
      <c r="AW24" s="66">
        <f t="shared" si="7"/>
        <v>0</v>
      </c>
      <c r="AX24" s="66">
        <f t="shared" si="8"/>
        <v>0</v>
      </c>
      <c r="AY24" s="66">
        <f t="shared" si="9"/>
        <v>0</v>
      </c>
      <c r="AZ24" s="66">
        <f t="shared" si="10"/>
        <v>0</v>
      </c>
      <c r="BA24" s="28">
        <f t="shared" si="11"/>
        <v>0</v>
      </c>
      <c r="BB24" s="28">
        <f t="shared" si="0"/>
        <v>0</v>
      </c>
      <c r="BC24" s="28">
        <f t="shared" si="0"/>
        <v>0</v>
      </c>
      <c r="BD24" s="28">
        <f t="shared" si="0"/>
        <v>0</v>
      </c>
      <c r="BE24" s="28">
        <f t="shared" si="20"/>
        <v>0</v>
      </c>
      <c r="BF24" s="28">
        <f t="shared" si="21"/>
        <v>0</v>
      </c>
      <c r="BG24" s="28">
        <f t="shared" si="22"/>
        <v>0</v>
      </c>
      <c r="BH24" s="28">
        <f t="shared" si="23"/>
        <v>0</v>
      </c>
    </row>
    <row r="25" spans="2:60" ht="136.5" customHeight="1">
      <c r="B25" s="619"/>
      <c r="C25" s="620"/>
      <c r="D25" s="309" t="str">
        <f>+'01-FR-03 POA INSTITUCIONAL'!D22</f>
        <v>1.1.10 Impulsar 2.300 expedientes que contengan orden de policía (MULTA) en firme y ejecutoriada, para que se efectúen cobros persuasivos y/o se de traslado para el cobro coactivo.</v>
      </c>
      <c r="E25" s="37">
        <f>+'01-FR-03 POA INSTITUCIONAL'!E22</f>
        <v>0.01</v>
      </c>
      <c r="F25" s="128">
        <f>+'01-FR-03 POA INSTITUCIONAL'!F22</f>
        <v>2300</v>
      </c>
      <c r="G25" s="128">
        <f>+'01-FR-03 POA INSTITUCIONAL'!L22</f>
        <v>500</v>
      </c>
      <c r="H25" s="129">
        <f>+'01-FR-03 POA INSTITUCIONAL'!G22</f>
        <v>700</v>
      </c>
      <c r="I25" s="129" t="str">
        <f>+'01-FR-03 POA INSTITUCIONAL'!H22</f>
        <v>Expedientes con impulso procesal para la gestión de multas</v>
      </c>
      <c r="J25" s="129" t="s">
        <v>668</v>
      </c>
      <c r="K25" s="137" t="s">
        <v>205</v>
      </c>
      <c r="L25" s="364" t="s">
        <v>766</v>
      </c>
      <c r="M25" s="200" t="s">
        <v>194</v>
      </c>
      <c r="N25" s="200" t="s">
        <v>195</v>
      </c>
      <c r="O25" s="22" t="str">
        <f>+'01-FR-03 POA INSTITUCIONAL'!J22</f>
        <v>P.D. para la Coordinación de la Gestión de Personerías Locales y sus Personerías Locales adscritas</v>
      </c>
      <c r="P25" s="237">
        <v>0</v>
      </c>
      <c r="Q25" s="237"/>
      <c r="R25" s="237">
        <v>50</v>
      </c>
      <c r="S25" s="237"/>
      <c r="T25" s="237">
        <v>50</v>
      </c>
      <c r="U25" s="237"/>
      <c r="V25" s="38">
        <f t="shared" si="2"/>
        <v>100</v>
      </c>
      <c r="W25" s="38">
        <f t="shared" si="2"/>
        <v>0</v>
      </c>
      <c r="X25" s="237">
        <v>50</v>
      </c>
      <c r="Y25" s="237"/>
      <c r="Z25" s="237">
        <v>50</v>
      </c>
      <c r="AA25" s="237"/>
      <c r="AB25" s="237">
        <v>50</v>
      </c>
      <c r="AC25" s="237"/>
      <c r="AD25" s="38">
        <f t="shared" si="3"/>
        <v>150</v>
      </c>
      <c r="AE25" s="38">
        <f t="shared" si="3"/>
        <v>0</v>
      </c>
      <c r="AF25" s="237">
        <v>50</v>
      </c>
      <c r="AG25" s="236"/>
      <c r="AH25" s="237">
        <v>50</v>
      </c>
      <c r="AI25" s="236"/>
      <c r="AJ25" s="237">
        <v>50</v>
      </c>
      <c r="AK25" s="237"/>
      <c r="AL25" s="38">
        <f t="shared" si="4"/>
        <v>150</v>
      </c>
      <c r="AM25" s="38">
        <f t="shared" si="4"/>
        <v>0</v>
      </c>
      <c r="AN25" s="236">
        <v>50</v>
      </c>
      <c r="AO25" s="236"/>
      <c r="AP25" s="236">
        <v>50</v>
      </c>
      <c r="AQ25" s="236"/>
      <c r="AR25" s="236">
        <v>0</v>
      </c>
      <c r="AS25" s="236"/>
      <c r="AT25" s="38">
        <f t="shared" si="5"/>
        <v>100</v>
      </c>
      <c r="AU25" s="38">
        <f t="shared" si="5"/>
        <v>0</v>
      </c>
      <c r="AV25" s="238">
        <f t="shared" si="6"/>
        <v>500</v>
      </c>
      <c r="AW25" s="66">
        <f t="shared" si="7"/>
        <v>0</v>
      </c>
      <c r="AX25" s="66">
        <f t="shared" si="8"/>
        <v>0</v>
      </c>
      <c r="AY25" s="66">
        <f t="shared" si="9"/>
        <v>0</v>
      </c>
      <c r="AZ25" s="66">
        <f t="shared" si="10"/>
        <v>0</v>
      </c>
      <c r="BA25" s="28">
        <f t="shared" si="11"/>
        <v>0</v>
      </c>
      <c r="BB25" s="28">
        <f t="shared" si="0"/>
        <v>0</v>
      </c>
      <c r="BC25" s="28">
        <f t="shared" si="0"/>
        <v>0</v>
      </c>
      <c r="BD25" s="28">
        <f t="shared" si="0"/>
        <v>0</v>
      </c>
      <c r="BE25" s="28">
        <f t="shared" si="20"/>
        <v>0</v>
      </c>
      <c r="BF25" s="28">
        <f t="shared" si="21"/>
        <v>0</v>
      </c>
      <c r="BG25" s="28">
        <f t="shared" si="22"/>
        <v>0</v>
      </c>
      <c r="BH25" s="28">
        <f t="shared" si="23"/>
        <v>0</v>
      </c>
    </row>
    <row r="26" spans="2:60" ht="196.5" customHeight="1">
      <c r="B26" s="619"/>
      <c r="C26" s="463"/>
      <c r="D26" s="309" t="str">
        <f>+'01-FR-03 POA INSTITUCIONAL'!D23</f>
        <v>1.1.11 Establecer de forma periódica, 40 estados de la vulneración de  los derechos humanos en las localidades, dando a conocer a las Entidades correspondientes los hechos observados que requieren su intervención.</v>
      </c>
      <c r="E26" s="37">
        <f>+'01-FR-03 POA INSTITUCIONAL'!E23</f>
        <v>0.01</v>
      </c>
      <c r="F26" s="128">
        <f>+'01-FR-03 POA INSTITUCIONAL'!F23</f>
        <v>40</v>
      </c>
      <c r="G26" s="128">
        <f>+'01-FR-03 POA INSTITUCIONAL'!L23</f>
        <v>0</v>
      </c>
      <c r="H26" s="129" t="str">
        <f>+'01-FR-03 POA INSTITUCIONAL'!G23</f>
        <v>S.I.</v>
      </c>
      <c r="I26" s="129" t="str">
        <f>+'01-FR-03 POA INSTITUCIONAL'!H23</f>
        <v>Estados de vulneración establecidos</v>
      </c>
      <c r="J26" s="129" t="s">
        <v>236</v>
      </c>
      <c r="K26" s="137" t="s">
        <v>206</v>
      </c>
      <c r="L26" s="364" t="s">
        <v>237</v>
      </c>
      <c r="M26" s="200" t="s">
        <v>194</v>
      </c>
      <c r="N26" s="200" t="s">
        <v>195</v>
      </c>
      <c r="O26" s="22" t="str">
        <f>+'01-FR-03 POA INSTITUCIONAL'!J23</f>
        <v>P.D. para la Coordinación de la Gestión de Personerías Locales y sus Personerías Locales adscritas</v>
      </c>
      <c r="P26" s="236">
        <v>0</v>
      </c>
      <c r="Q26" s="236"/>
      <c r="R26" s="236">
        <v>0</v>
      </c>
      <c r="S26" s="236"/>
      <c r="T26" s="236">
        <v>0</v>
      </c>
      <c r="U26" s="236"/>
      <c r="V26" s="38">
        <f t="shared" si="2"/>
        <v>0</v>
      </c>
      <c r="W26" s="38">
        <f t="shared" si="2"/>
        <v>0</v>
      </c>
      <c r="X26" s="236">
        <v>0</v>
      </c>
      <c r="Y26" s="236"/>
      <c r="Z26" s="236">
        <v>0</v>
      </c>
      <c r="AA26" s="236"/>
      <c r="AB26" s="236">
        <v>0</v>
      </c>
      <c r="AC26" s="236"/>
      <c r="AD26" s="38">
        <f t="shared" si="3"/>
        <v>0</v>
      </c>
      <c r="AE26" s="38">
        <f t="shared" si="3"/>
        <v>0</v>
      </c>
      <c r="AF26" s="236">
        <v>0</v>
      </c>
      <c r="AG26" s="236"/>
      <c r="AH26" s="236">
        <v>0</v>
      </c>
      <c r="AI26" s="236"/>
      <c r="AJ26" s="237">
        <v>0</v>
      </c>
      <c r="AK26" s="237"/>
      <c r="AL26" s="38">
        <f t="shared" si="4"/>
        <v>0</v>
      </c>
      <c r="AM26" s="38">
        <f t="shared" si="4"/>
        <v>0</v>
      </c>
      <c r="AN26" s="236">
        <v>0</v>
      </c>
      <c r="AO26" s="236"/>
      <c r="AP26" s="236">
        <v>0</v>
      </c>
      <c r="AQ26" s="236"/>
      <c r="AR26" s="236">
        <v>0</v>
      </c>
      <c r="AS26" s="236"/>
      <c r="AT26" s="38">
        <f t="shared" si="5"/>
        <v>0</v>
      </c>
      <c r="AU26" s="38">
        <f t="shared" si="5"/>
        <v>0</v>
      </c>
      <c r="AV26" s="238">
        <f t="shared" si="6"/>
        <v>0</v>
      </c>
      <c r="AW26" s="66">
        <f t="shared" si="7"/>
        <v>0</v>
      </c>
      <c r="AX26" s="66">
        <f t="shared" si="8"/>
        <v>0</v>
      </c>
      <c r="AY26" s="66">
        <f t="shared" si="9"/>
        <v>0</v>
      </c>
      <c r="AZ26" s="66">
        <f t="shared" si="10"/>
        <v>0</v>
      </c>
      <c r="BA26" s="28">
        <f t="shared" si="11"/>
        <v>0</v>
      </c>
      <c r="BB26" s="28">
        <f t="shared" si="0"/>
        <v>0</v>
      </c>
      <c r="BC26" s="28">
        <f t="shared" si="0"/>
        <v>0</v>
      </c>
      <c r="BD26" s="28">
        <f t="shared" si="0"/>
        <v>0</v>
      </c>
      <c r="BE26" s="28">
        <f t="shared" si="20"/>
        <v>0</v>
      </c>
      <c r="BF26" s="28">
        <f t="shared" si="21"/>
        <v>0</v>
      </c>
      <c r="BG26" s="28">
        <f t="shared" si="22"/>
        <v>0</v>
      </c>
      <c r="BH26" s="28">
        <f t="shared" si="23"/>
        <v>0</v>
      </c>
    </row>
    <row r="27" spans="2:60" ht="123" customHeight="1">
      <c r="B27" s="619"/>
      <c r="C27" s="462" t="str">
        <f>+'01-FR-03 POA INSTITUCIONAL'!C24</f>
        <v>1.2. Realizar 260.709 acciones que propendan por la efectiva defensa y garantía de los derechos de los sujetos de especial protección constitucional, con énfasis en las personas mayores, mujeres y la población migrante en el Distrito Capital.</v>
      </c>
      <c r="D27" s="309" t="str">
        <f>+'01-FR-03 POA INSTITUCIONAL'!D24</f>
        <v>1.2.1 Sensibilizar a 205.930 personas en derechos humanos, Derecho Internacional Humanitario, Cultura Ciudadana, Protección Animal, Deberes de los Ciudadanos y oferta institucional, con énfasis en sujetos de especial protección constitucional, en particular, personas mayores, mujeres y población migrante.</v>
      </c>
      <c r="E27" s="37">
        <f>+'01-FR-03 POA INSTITUCIONAL'!E24</f>
        <v>0.75</v>
      </c>
      <c r="F27" s="128">
        <f>+'01-FR-03 POA INSTITUCIONAL'!F24</f>
        <v>205930</v>
      </c>
      <c r="G27" s="128">
        <f>+'01-FR-03 POA INSTITUCIONAL'!L24</f>
        <v>71570</v>
      </c>
      <c r="H27" s="129">
        <f>+'01-FR-03 POA INSTITUCIONAL'!G24</f>
        <v>62360</v>
      </c>
      <c r="I27" s="129" t="str">
        <f>+'01-FR-03 POA INSTITUCIONAL'!H24</f>
        <v>Personas sensibilizadas en el Distrito Capital</v>
      </c>
      <c r="J27" s="129" t="s">
        <v>224</v>
      </c>
      <c r="K27" s="137" t="s">
        <v>207</v>
      </c>
      <c r="L27" s="364" t="s">
        <v>767</v>
      </c>
      <c r="M27" s="200" t="s">
        <v>194</v>
      </c>
      <c r="N27" s="200" t="s">
        <v>195</v>
      </c>
      <c r="O27" s="22" t="str">
        <f>+'01-FR-03 POA INSTITUCIONAL'!J24</f>
        <v>P.D. para la Coordinación del MP y DDHH y sus dependencias adscritas
P.D. para la Coordinación de la Gestión de Personerías Locales y sus Personerías Locales adscritas</v>
      </c>
      <c r="P27" s="236">
        <f>0+200</f>
        <v>200</v>
      </c>
      <c r="Q27" s="236"/>
      <c r="R27" s="236">
        <f>2000+850</f>
        <v>2850</v>
      </c>
      <c r="S27" s="236"/>
      <c r="T27" s="236">
        <f>2000+5650</f>
        <v>7650</v>
      </c>
      <c r="U27" s="236"/>
      <c r="V27" s="38">
        <f t="shared" si="2"/>
        <v>10700</v>
      </c>
      <c r="W27" s="38">
        <f t="shared" si="2"/>
        <v>0</v>
      </c>
      <c r="X27" s="236">
        <f>2000+5700</f>
        <v>7700</v>
      </c>
      <c r="Y27" s="236"/>
      <c r="Z27" s="236">
        <f>2000+5850</f>
        <v>7850</v>
      </c>
      <c r="AA27" s="236"/>
      <c r="AB27" s="236">
        <f>2000+3850</f>
        <v>5850</v>
      </c>
      <c r="AC27" s="236"/>
      <c r="AD27" s="38">
        <f t="shared" si="3"/>
        <v>21400</v>
      </c>
      <c r="AE27" s="38">
        <f t="shared" si="3"/>
        <v>0</v>
      </c>
      <c r="AF27" s="236">
        <f>2000+5850</f>
        <v>7850</v>
      </c>
      <c r="AG27" s="236"/>
      <c r="AH27" s="236">
        <f>2000+5850</f>
        <v>7850</v>
      </c>
      <c r="AI27" s="236"/>
      <c r="AJ27" s="236">
        <f>2000+5850</f>
        <v>7850</v>
      </c>
      <c r="AK27" s="236"/>
      <c r="AL27" s="38">
        <f t="shared" si="4"/>
        <v>23550</v>
      </c>
      <c r="AM27" s="38">
        <f t="shared" si="4"/>
        <v>0</v>
      </c>
      <c r="AN27" s="236">
        <f>2000+5850</f>
        <v>7850</v>
      </c>
      <c r="AO27" s="236"/>
      <c r="AP27" s="236">
        <f>2000+5850</f>
        <v>7850</v>
      </c>
      <c r="AQ27" s="236"/>
      <c r="AR27" s="236">
        <f>0+220</f>
        <v>220</v>
      </c>
      <c r="AS27" s="236"/>
      <c r="AT27" s="38">
        <f t="shared" si="5"/>
        <v>15920</v>
      </c>
      <c r="AU27" s="38">
        <f t="shared" si="5"/>
        <v>0</v>
      </c>
      <c r="AV27" s="238">
        <f t="shared" si="6"/>
        <v>71570</v>
      </c>
      <c r="AW27" s="66">
        <f t="shared" si="7"/>
        <v>0</v>
      </c>
      <c r="AX27" s="66">
        <f t="shared" si="8"/>
        <v>0</v>
      </c>
      <c r="AY27" s="66">
        <f t="shared" si="9"/>
        <v>0</v>
      </c>
      <c r="AZ27" s="66">
        <f t="shared" si="10"/>
        <v>0</v>
      </c>
      <c r="BA27" s="28">
        <f t="shared" si="11"/>
        <v>0</v>
      </c>
      <c r="BB27" s="28">
        <f t="shared" si="0"/>
        <v>0</v>
      </c>
      <c r="BC27" s="28">
        <f t="shared" si="0"/>
        <v>0</v>
      </c>
      <c r="BD27" s="28">
        <f t="shared" si="0"/>
        <v>0</v>
      </c>
      <c r="BE27" s="28">
        <f t="shared" si="20"/>
        <v>0</v>
      </c>
      <c r="BF27" s="28">
        <f t="shared" si="21"/>
        <v>0</v>
      </c>
      <c r="BG27" s="28">
        <f t="shared" si="22"/>
        <v>0</v>
      </c>
      <c r="BH27" s="28">
        <f t="shared" si="23"/>
        <v>0</v>
      </c>
    </row>
    <row r="28" spans="2:60" ht="144.75" customHeight="1">
      <c r="B28" s="619"/>
      <c r="C28" s="620"/>
      <c r="D28" s="309" t="str">
        <f>+'01-FR-03 POA INSTITUCIONAL'!D25</f>
        <v>1.2.2 Adelantar 23.910 acciones necesarias en favor de la población víctima del conflicto armado interno mediante el apoyo jurídico, la atención psicosocial, la gestión para acceso a derechos, la toma de declaraciones y la elaboración de derechos de petición.</v>
      </c>
      <c r="E28" s="37">
        <f>+'01-FR-03 POA INSTITUCIONAL'!E25</f>
        <v>0.12</v>
      </c>
      <c r="F28" s="128">
        <f>+'01-FR-03 POA INSTITUCIONAL'!F25</f>
        <v>23910</v>
      </c>
      <c r="G28" s="128">
        <f>+'01-FR-03 POA INSTITUCIONAL'!L25</f>
        <v>5480</v>
      </c>
      <c r="H28" s="129">
        <f>+'01-FR-03 POA INSTITUCIONAL'!G25</f>
        <v>5480</v>
      </c>
      <c r="I28" s="129" t="str">
        <f>+'01-FR-03 POA INSTITUCIONAL'!H25</f>
        <v>Acciones en favor de las víctimas del conflicto armado interno adelantadas</v>
      </c>
      <c r="J28" s="129" t="s">
        <v>225</v>
      </c>
      <c r="K28" s="137" t="s">
        <v>208</v>
      </c>
      <c r="L28" s="364" t="s">
        <v>713</v>
      </c>
      <c r="M28" s="200" t="s">
        <v>194</v>
      </c>
      <c r="N28" s="200" t="s">
        <v>195</v>
      </c>
      <c r="O28" s="22" t="str">
        <f>+'01-FR-03 POA INSTITUCIONAL'!J25</f>
        <v>P.D. para la Protección de las Víctimas del Conflicto Armado Interno
P.D. para la Coordinación de la Gestión de Personerías Locales y sus Personerías Locales adscritas</v>
      </c>
      <c r="P28" s="236">
        <f>50+100</f>
        <v>150</v>
      </c>
      <c r="Q28" s="236"/>
      <c r="R28" s="236">
        <f>110+200</f>
        <v>310</v>
      </c>
      <c r="S28" s="236"/>
      <c r="T28" s="236">
        <f>160+300</f>
        <v>460</v>
      </c>
      <c r="U28" s="236"/>
      <c r="V28" s="38">
        <f t="shared" si="2"/>
        <v>920</v>
      </c>
      <c r="W28" s="38">
        <f t="shared" si="2"/>
        <v>0</v>
      </c>
      <c r="X28" s="236">
        <f>160+400</f>
        <v>560</v>
      </c>
      <c r="Y28" s="236"/>
      <c r="Z28" s="236">
        <f>160+440</f>
        <v>600</v>
      </c>
      <c r="AA28" s="236"/>
      <c r="AB28" s="236">
        <f>160+440</f>
        <v>600</v>
      </c>
      <c r="AC28" s="236"/>
      <c r="AD28" s="38">
        <f t="shared" si="3"/>
        <v>1760</v>
      </c>
      <c r="AE28" s="38">
        <f t="shared" si="3"/>
        <v>0</v>
      </c>
      <c r="AF28" s="236">
        <f>160+400</f>
        <v>560</v>
      </c>
      <c r="AG28" s="236"/>
      <c r="AH28" s="236">
        <f>160+400</f>
        <v>560</v>
      </c>
      <c r="AI28" s="236"/>
      <c r="AJ28" s="236">
        <f>160+400</f>
        <v>560</v>
      </c>
      <c r="AK28" s="236"/>
      <c r="AL28" s="38">
        <f t="shared" si="4"/>
        <v>1680</v>
      </c>
      <c r="AM28" s="38">
        <f t="shared" si="4"/>
        <v>0</v>
      </c>
      <c r="AN28" s="236">
        <f>160+400</f>
        <v>560</v>
      </c>
      <c r="AO28" s="236"/>
      <c r="AP28" s="236">
        <f>160+400</f>
        <v>560</v>
      </c>
      <c r="AQ28" s="236"/>
      <c r="AR28" s="336">
        <v>0</v>
      </c>
      <c r="AS28" s="236"/>
      <c r="AT28" s="38">
        <f t="shared" si="5"/>
        <v>1120</v>
      </c>
      <c r="AU28" s="38">
        <f t="shared" si="5"/>
        <v>0</v>
      </c>
      <c r="AV28" s="238">
        <f t="shared" si="6"/>
        <v>5480</v>
      </c>
      <c r="AW28" s="66">
        <f t="shared" si="7"/>
        <v>0</v>
      </c>
      <c r="AX28" s="66">
        <f t="shared" si="8"/>
        <v>0</v>
      </c>
      <c r="AY28" s="66">
        <f t="shared" si="9"/>
        <v>0</v>
      </c>
      <c r="AZ28" s="66">
        <f t="shared" si="10"/>
        <v>0</v>
      </c>
      <c r="BA28" s="28">
        <f t="shared" si="11"/>
        <v>0</v>
      </c>
      <c r="BB28" s="28">
        <f t="shared" si="0"/>
        <v>0</v>
      </c>
      <c r="BC28" s="28">
        <f t="shared" si="0"/>
        <v>0</v>
      </c>
      <c r="BD28" s="28">
        <f t="shared" si="0"/>
        <v>0</v>
      </c>
      <c r="BE28" s="28">
        <f t="shared" si="20"/>
        <v>0</v>
      </c>
      <c r="BF28" s="28">
        <f t="shared" si="21"/>
        <v>0</v>
      </c>
      <c r="BG28" s="28">
        <f t="shared" si="22"/>
        <v>0</v>
      </c>
      <c r="BH28" s="28">
        <f t="shared" si="23"/>
        <v>0</v>
      </c>
    </row>
    <row r="29" spans="2:60" ht="150.6" customHeight="1">
      <c r="B29" s="619"/>
      <c r="C29" s="620"/>
      <c r="D29" s="309" t="str">
        <f>+'01-FR-03 POA INSTITUCIONAL'!D26</f>
        <v>1.2.3 Prevenir mediante la elaboración de 18,880 acciones constitucionales, la vulneración de derechos  con énfasis en sujetos de especial protección constitucional.</v>
      </c>
      <c r="E29" s="37">
        <f>+'01-FR-03 POA INSTITUCIONAL'!E26</f>
        <v>0.09</v>
      </c>
      <c r="F29" s="128">
        <f>+'01-FR-03 POA INSTITUCIONAL'!F26</f>
        <v>18880</v>
      </c>
      <c r="G29" s="128">
        <f>+'01-FR-03 POA INSTITUCIONAL'!L26</f>
        <v>4790</v>
      </c>
      <c r="H29" s="129">
        <f>+'01-FR-03 POA INSTITUCIONAL'!G26</f>
        <v>4790</v>
      </c>
      <c r="I29" s="129" t="str">
        <f>+'01-FR-03 POA INSTITUCIONAL'!H26</f>
        <v>Acciones constitucionales elaboradas para prevenir vulneración de derechos</v>
      </c>
      <c r="J29" s="129" t="s">
        <v>226</v>
      </c>
      <c r="K29" s="137" t="s">
        <v>209</v>
      </c>
      <c r="L29" s="364" t="s">
        <v>709</v>
      </c>
      <c r="M29" s="200" t="s">
        <v>194</v>
      </c>
      <c r="N29" s="200" t="s">
        <v>195</v>
      </c>
      <c r="O29" s="22" t="str">
        <f>+'01-FR-03 POA INSTITUCIONAL'!J26</f>
        <v>P.D. para Asuntos Jurisdiccionales y Víctimas.
P.D. para la Coordinación de la Gestión de Personerías Locales y sus Personerías Locales adscritas</v>
      </c>
      <c r="P29" s="236">
        <f>0+197</f>
        <v>197</v>
      </c>
      <c r="Q29" s="236"/>
      <c r="R29" s="236">
        <f>70+487</f>
        <v>557</v>
      </c>
      <c r="S29" s="236"/>
      <c r="T29" s="236">
        <f>70+487</f>
        <v>557</v>
      </c>
      <c r="U29" s="236"/>
      <c r="V29" s="38">
        <f t="shared" si="2"/>
        <v>1311</v>
      </c>
      <c r="W29" s="38">
        <f t="shared" si="2"/>
        <v>0</v>
      </c>
      <c r="X29" s="236">
        <f>70+488</f>
        <v>558</v>
      </c>
      <c r="Y29" s="236"/>
      <c r="Z29" s="236">
        <f>70+488</f>
        <v>558</v>
      </c>
      <c r="AA29" s="236"/>
      <c r="AB29" s="236">
        <f>70+488</f>
        <v>558</v>
      </c>
      <c r="AC29" s="236"/>
      <c r="AD29" s="38">
        <f t="shared" si="3"/>
        <v>1674</v>
      </c>
      <c r="AE29" s="38">
        <f t="shared" si="3"/>
        <v>0</v>
      </c>
      <c r="AF29" s="236">
        <f>70+488</f>
        <v>558</v>
      </c>
      <c r="AG29" s="236"/>
      <c r="AH29" s="236">
        <f>70+205</f>
        <v>275</v>
      </c>
      <c r="AI29" s="236"/>
      <c r="AJ29" s="236">
        <f>70+204</f>
        <v>274</v>
      </c>
      <c r="AK29" s="236"/>
      <c r="AL29" s="38">
        <f t="shared" si="4"/>
        <v>1107</v>
      </c>
      <c r="AM29" s="38">
        <f t="shared" si="4"/>
        <v>0</v>
      </c>
      <c r="AN29" s="236">
        <f>70+204</f>
        <v>274</v>
      </c>
      <c r="AO29" s="236"/>
      <c r="AP29" s="236">
        <f>70+204</f>
        <v>274</v>
      </c>
      <c r="AQ29" s="236"/>
      <c r="AR29" s="236">
        <f>0+150</f>
        <v>150</v>
      </c>
      <c r="AS29" s="236"/>
      <c r="AT29" s="38">
        <f t="shared" si="5"/>
        <v>698</v>
      </c>
      <c r="AU29" s="38">
        <f t="shared" si="5"/>
        <v>0</v>
      </c>
      <c r="AV29" s="238">
        <f t="shared" si="6"/>
        <v>4790</v>
      </c>
      <c r="AW29" s="66">
        <f t="shared" si="7"/>
        <v>0</v>
      </c>
      <c r="AX29" s="66">
        <f t="shared" si="8"/>
        <v>0</v>
      </c>
      <c r="AY29" s="66">
        <f t="shared" si="9"/>
        <v>0</v>
      </c>
      <c r="AZ29" s="66">
        <f t="shared" si="10"/>
        <v>0</v>
      </c>
      <c r="BA29" s="28">
        <f t="shared" si="11"/>
        <v>0</v>
      </c>
      <c r="BB29" s="28">
        <f t="shared" si="0"/>
        <v>0</v>
      </c>
      <c r="BC29" s="28">
        <f t="shared" si="0"/>
        <v>0</v>
      </c>
      <c r="BD29" s="28">
        <f t="shared" si="0"/>
        <v>0</v>
      </c>
      <c r="BE29" s="28">
        <f t="shared" si="20"/>
        <v>0</v>
      </c>
      <c r="BF29" s="28">
        <f t="shared" si="21"/>
        <v>0</v>
      </c>
      <c r="BG29" s="28">
        <f t="shared" si="22"/>
        <v>0</v>
      </c>
      <c r="BH29" s="28">
        <f t="shared" si="23"/>
        <v>0</v>
      </c>
    </row>
    <row r="30" spans="2:60" ht="109.2" customHeight="1">
      <c r="B30" s="619"/>
      <c r="C30" s="620"/>
      <c r="D30" s="309" t="str">
        <f>+'01-FR-03 POA INSTITUCIONAL'!D27</f>
        <v>1.2.4 Fortalecer el ejercicio del ministerio público ante las comisarías de familia, verificando el cumplimiento a 3.540 medidas de protección que se imponen.</v>
      </c>
      <c r="E30" s="37">
        <f>+'01-FR-03 POA INSTITUCIONAL'!E27</f>
        <v>0.02</v>
      </c>
      <c r="F30" s="128">
        <f>+'01-FR-03 POA INSTITUCIONAL'!F27</f>
        <v>3540</v>
      </c>
      <c r="G30" s="128">
        <f>+'01-FR-03 POA INSTITUCIONAL'!L27</f>
        <v>800</v>
      </c>
      <c r="H30" s="129">
        <f>+'01-FR-03 POA INSTITUCIONAL'!G27</f>
        <v>940</v>
      </c>
      <c r="I30" s="129" t="str">
        <f>+'01-FR-03 POA INSTITUCIONAL'!H27</f>
        <v>Verificaciones de cumplimiento realizadas por el Ministerio Público a las medidas de protección impuestas por las Comisarías de Familia</v>
      </c>
      <c r="J30" s="129" t="s">
        <v>790</v>
      </c>
      <c r="K30" s="377" t="s">
        <v>791</v>
      </c>
      <c r="L30" s="364" t="s">
        <v>792</v>
      </c>
      <c r="M30" s="200" t="s">
        <v>194</v>
      </c>
      <c r="N30" s="200" t="s">
        <v>195</v>
      </c>
      <c r="O30" s="22" t="str">
        <f>+'01-FR-03 POA INSTITUCIONAL'!J27</f>
        <v>P.D. para la Familia y Sujetos de Especial Protección Constitucional</v>
      </c>
      <c r="P30" s="236">
        <v>0</v>
      </c>
      <c r="Q30" s="236"/>
      <c r="R30" s="236">
        <v>50</v>
      </c>
      <c r="S30" s="236"/>
      <c r="T30" s="236">
        <v>90</v>
      </c>
      <c r="U30" s="236"/>
      <c r="V30" s="38">
        <f t="shared" si="2"/>
        <v>140</v>
      </c>
      <c r="W30" s="38">
        <f t="shared" si="2"/>
        <v>0</v>
      </c>
      <c r="X30" s="236">
        <v>90</v>
      </c>
      <c r="Y30" s="236"/>
      <c r="Z30" s="236">
        <v>90</v>
      </c>
      <c r="AA30" s="236"/>
      <c r="AB30" s="236">
        <v>90</v>
      </c>
      <c r="AC30" s="236"/>
      <c r="AD30" s="38">
        <f t="shared" si="3"/>
        <v>270</v>
      </c>
      <c r="AE30" s="38">
        <f t="shared" si="3"/>
        <v>0</v>
      </c>
      <c r="AF30" s="236">
        <v>80</v>
      </c>
      <c r="AG30" s="236"/>
      <c r="AH30" s="236">
        <v>80</v>
      </c>
      <c r="AI30" s="236"/>
      <c r="AJ30" s="236">
        <v>80</v>
      </c>
      <c r="AK30" s="237"/>
      <c r="AL30" s="38">
        <f t="shared" si="4"/>
        <v>240</v>
      </c>
      <c r="AM30" s="38">
        <f t="shared" si="4"/>
        <v>0</v>
      </c>
      <c r="AN30" s="236">
        <v>80</v>
      </c>
      <c r="AO30" s="236"/>
      <c r="AP30" s="236">
        <v>70</v>
      </c>
      <c r="AQ30" s="236"/>
      <c r="AR30" s="236">
        <v>0</v>
      </c>
      <c r="AS30" s="236"/>
      <c r="AT30" s="38">
        <f t="shared" si="5"/>
        <v>150</v>
      </c>
      <c r="AU30" s="38">
        <f t="shared" si="5"/>
        <v>0</v>
      </c>
      <c r="AV30" s="238">
        <f t="shared" si="6"/>
        <v>800</v>
      </c>
      <c r="AW30" s="66">
        <f t="shared" si="7"/>
        <v>0</v>
      </c>
      <c r="AX30" s="66">
        <f t="shared" si="8"/>
        <v>0</v>
      </c>
      <c r="AY30" s="66">
        <f t="shared" si="9"/>
        <v>0</v>
      </c>
      <c r="AZ30" s="66">
        <f t="shared" si="10"/>
        <v>0</v>
      </c>
      <c r="BA30" s="28">
        <f t="shared" si="11"/>
        <v>0</v>
      </c>
      <c r="BB30" s="28">
        <f t="shared" si="0"/>
        <v>0</v>
      </c>
      <c r="BC30" s="28">
        <f t="shared" si="0"/>
        <v>0</v>
      </c>
      <c r="BD30" s="28">
        <f t="shared" si="0"/>
        <v>0</v>
      </c>
      <c r="BE30" s="28">
        <f t="shared" si="20"/>
        <v>0</v>
      </c>
      <c r="BF30" s="28">
        <f t="shared" si="21"/>
        <v>0</v>
      </c>
      <c r="BG30" s="28">
        <f t="shared" si="22"/>
        <v>0</v>
      </c>
      <c r="BH30" s="28">
        <f t="shared" si="23"/>
        <v>0</v>
      </c>
    </row>
    <row r="31" spans="2:60" ht="145.5" customHeight="1">
      <c r="B31" s="619"/>
      <c r="C31" s="620"/>
      <c r="D31" s="309" t="str">
        <f>+'01-FR-03 POA INSTITUCIONAL'!D28</f>
        <v>1.2.5 Participar en 7.711 comités, mesas y consejos interinstitucionales en garantía de derechos, con énfasis en temas relacionados con sujetos de especial protección constitucional, en particular, persona mayor, mujer y población migrante.</v>
      </c>
      <c r="E31" s="37">
        <f>+'01-FR-03 POA INSTITUCIONAL'!E28</f>
        <v>0.01</v>
      </c>
      <c r="F31" s="128">
        <f>+'01-FR-03 POA INSTITUCIONAL'!F28</f>
        <v>7711</v>
      </c>
      <c r="G31" s="128">
        <f>+'01-FR-03 POA INSTITUCIONAL'!L28</f>
        <v>2771</v>
      </c>
      <c r="H31" s="129">
        <f>+'01-FR-03 POA INSTITUCIONAL'!G28</f>
        <v>2802</v>
      </c>
      <c r="I31" s="129" t="str">
        <f>+'01-FR-03 POA INSTITUCIONAL'!H28</f>
        <v>Espacios Interinstitucionales con participación</v>
      </c>
      <c r="J31" s="129" t="s">
        <v>232</v>
      </c>
      <c r="K31" s="137" t="s">
        <v>210</v>
      </c>
      <c r="L31" s="364" t="s">
        <v>768</v>
      </c>
      <c r="M31" s="200" t="s">
        <v>194</v>
      </c>
      <c r="N31" s="200" t="s">
        <v>195</v>
      </c>
      <c r="O31" s="22" t="str">
        <f>+'01-FR-03 POA INSTITUCIONAL'!J28</f>
        <v>P.D. para la Coordinación del MP y DDHH, P.D. para Asuntos Penales I, Penales II, Derechos Humanos, Familia, Víctimas, Asuntos Jurisdiccionales y Consumidor.
 P.D. para la Coordinación de la Gestión de Personerías Locales y sus Personerías Locales adscritas</v>
      </c>
      <c r="P31" s="236">
        <f>200+15</f>
        <v>215</v>
      </c>
      <c r="Q31" s="236"/>
      <c r="R31" s="236">
        <f>200+30</f>
        <v>230</v>
      </c>
      <c r="S31" s="236"/>
      <c r="T31" s="236">
        <f>200+33</f>
        <v>233</v>
      </c>
      <c r="U31" s="236"/>
      <c r="V31" s="38">
        <f t="shared" si="2"/>
        <v>678</v>
      </c>
      <c r="W31" s="38">
        <f t="shared" si="2"/>
        <v>0</v>
      </c>
      <c r="X31" s="236">
        <f>200+33</f>
        <v>233</v>
      </c>
      <c r="Y31" s="236"/>
      <c r="Z31" s="236">
        <f>200+36</f>
        <v>236</v>
      </c>
      <c r="AA31" s="236"/>
      <c r="AB31" s="236">
        <f>200+33</f>
        <v>233</v>
      </c>
      <c r="AC31" s="237"/>
      <c r="AD31" s="38">
        <f t="shared" si="3"/>
        <v>702</v>
      </c>
      <c r="AE31" s="38">
        <f t="shared" si="3"/>
        <v>0</v>
      </c>
      <c r="AF31" s="236">
        <f>200+34</f>
        <v>234</v>
      </c>
      <c r="AG31" s="236"/>
      <c r="AH31" s="236">
        <f>200+35</f>
        <v>235</v>
      </c>
      <c r="AI31" s="236"/>
      <c r="AJ31" s="236">
        <f>200+34</f>
        <v>234</v>
      </c>
      <c r="AK31" s="237"/>
      <c r="AL31" s="38">
        <f t="shared" si="4"/>
        <v>703</v>
      </c>
      <c r="AM31" s="38">
        <f t="shared" si="4"/>
        <v>0</v>
      </c>
      <c r="AN31" s="236">
        <f>200+33</f>
        <v>233</v>
      </c>
      <c r="AO31" s="236"/>
      <c r="AP31" s="236">
        <f>200+34</f>
        <v>234</v>
      </c>
      <c r="AQ31" s="236"/>
      <c r="AR31" s="236">
        <f>200+21</f>
        <v>221</v>
      </c>
      <c r="AS31" s="236"/>
      <c r="AT31" s="38">
        <f t="shared" si="5"/>
        <v>688</v>
      </c>
      <c r="AU31" s="38">
        <f t="shared" si="5"/>
        <v>0</v>
      </c>
      <c r="AV31" s="238">
        <f t="shared" si="6"/>
        <v>2771</v>
      </c>
      <c r="AW31" s="66">
        <f t="shared" si="7"/>
        <v>0</v>
      </c>
      <c r="AX31" s="66">
        <f t="shared" si="8"/>
        <v>0</v>
      </c>
      <c r="AY31" s="66">
        <f t="shared" si="9"/>
        <v>0</v>
      </c>
      <c r="AZ31" s="66">
        <f t="shared" si="10"/>
        <v>0</v>
      </c>
      <c r="BA31" s="28">
        <f t="shared" si="11"/>
        <v>0</v>
      </c>
      <c r="BB31" s="28">
        <f t="shared" si="0"/>
        <v>0</v>
      </c>
      <c r="BC31" s="28">
        <f t="shared" si="0"/>
        <v>0</v>
      </c>
      <c r="BD31" s="28">
        <f t="shared" si="0"/>
        <v>0</v>
      </c>
      <c r="BE31" s="28">
        <f t="shared" si="20"/>
        <v>0</v>
      </c>
      <c r="BF31" s="28">
        <f t="shared" si="21"/>
        <v>0</v>
      </c>
      <c r="BG31" s="28">
        <f t="shared" si="22"/>
        <v>0</v>
      </c>
      <c r="BH31" s="28">
        <f t="shared" si="23"/>
        <v>0</v>
      </c>
    </row>
    <row r="32" spans="2:60" ht="99.75" customHeight="1">
      <c r="B32" s="619"/>
      <c r="C32" s="463"/>
      <c r="D32" s="309" t="str">
        <f>+'01-FR-03 POA INSTITUCIONAL'!D29</f>
        <v>1.2.6 Realizar 738 seguimientos a la amenaza y vulneración de los derechos, con énfasis en sujetos de especial protección constitucional, en particular, persona mayor, mujer y población migrante</v>
      </c>
      <c r="E32" s="37">
        <f>+'01-FR-03 POA INSTITUCIONAL'!E29</f>
        <v>0.01</v>
      </c>
      <c r="F32" s="128">
        <f>+'01-FR-03 POA INSTITUCIONAL'!F29</f>
        <v>738</v>
      </c>
      <c r="G32" s="128">
        <f>+'01-FR-03 POA INSTITUCIONAL'!L29</f>
        <v>208</v>
      </c>
      <c r="H32" s="129">
        <f>+'01-FR-03 POA INSTITUCIONAL'!G29</f>
        <v>228</v>
      </c>
      <c r="I32" s="129" t="str">
        <f>+'01-FR-03 POA INSTITUCIONAL'!H29</f>
        <v>Seguimientos a la Amenaza y Vulneración de los Derechos Realizados</v>
      </c>
      <c r="J32" s="129" t="s">
        <v>227</v>
      </c>
      <c r="K32" s="137" t="s">
        <v>211</v>
      </c>
      <c r="L32" s="364" t="s">
        <v>769</v>
      </c>
      <c r="M32" s="200" t="s">
        <v>194</v>
      </c>
      <c r="N32" s="200" t="s">
        <v>195</v>
      </c>
      <c r="O32" s="22" t="str">
        <f>+'01-FR-03 POA INSTITUCIONAL'!J29</f>
        <v>P.D. para la Coordinación del MP y DDHH, P.D. para Asuntos Policivos y Civiles, Penales I, Penales II, Derechos Humanos, Familia, Víctimas, Consumidor y Asuntos Jurisdiccionales.
 P.D. para la Coordinación de la Gestión de Personerías Locales y sus Personerías Locales adscritas</v>
      </c>
      <c r="P32" s="236">
        <f>5+3</f>
        <v>8</v>
      </c>
      <c r="Q32" s="236"/>
      <c r="R32" s="236">
        <f>5+11</f>
        <v>16</v>
      </c>
      <c r="S32" s="236"/>
      <c r="T32" s="236">
        <f>5+16</f>
        <v>21</v>
      </c>
      <c r="U32" s="236"/>
      <c r="V32" s="38">
        <f t="shared" si="2"/>
        <v>45</v>
      </c>
      <c r="W32" s="38">
        <f t="shared" si="2"/>
        <v>0</v>
      </c>
      <c r="X32" s="236">
        <f>5+16</f>
        <v>21</v>
      </c>
      <c r="Y32" s="236"/>
      <c r="Z32" s="236">
        <f>5+16</f>
        <v>21</v>
      </c>
      <c r="AA32" s="236"/>
      <c r="AB32" s="236">
        <f>5+17</f>
        <v>22</v>
      </c>
      <c r="AC32" s="237"/>
      <c r="AD32" s="38">
        <f t="shared" si="3"/>
        <v>64</v>
      </c>
      <c r="AE32" s="38">
        <f t="shared" si="3"/>
        <v>0</v>
      </c>
      <c r="AF32" s="236">
        <f>5+16</f>
        <v>21</v>
      </c>
      <c r="AG32" s="236"/>
      <c r="AH32" s="236">
        <f>5+14</f>
        <v>19</v>
      </c>
      <c r="AI32" s="236"/>
      <c r="AJ32" s="236">
        <f>5+12</f>
        <v>17</v>
      </c>
      <c r="AK32" s="237"/>
      <c r="AL32" s="38">
        <f t="shared" si="4"/>
        <v>57</v>
      </c>
      <c r="AM32" s="38">
        <f t="shared" si="4"/>
        <v>0</v>
      </c>
      <c r="AN32" s="236">
        <f>5+12</f>
        <v>17</v>
      </c>
      <c r="AO32" s="236"/>
      <c r="AP32" s="236">
        <f>5+9</f>
        <v>14</v>
      </c>
      <c r="AQ32" s="236"/>
      <c r="AR32" s="236">
        <f>5+6</f>
        <v>11</v>
      </c>
      <c r="AS32" s="236"/>
      <c r="AT32" s="38">
        <f t="shared" si="5"/>
        <v>42</v>
      </c>
      <c r="AU32" s="38">
        <f t="shared" si="5"/>
        <v>0</v>
      </c>
      <c r="AV32" s="238">
        <f t="shared" si="6"/>
        <v>208</v>
      </c>
      <c r="AW32" s="66">
        <f t="shared" si="7"/>
        <v>0</v>
      </c>
      <c r="AX32" s="66">
        <f t="shared" si="8"/>
        <v>0</v>
      </c>
      <c r="AY32" s="66">
        <f t="shared" si="9"/>
        <v>0</v>
      </c>
      <c r="AZ32" s="66">
        <f t="shared" si="10"/>
        <v>0</v>
      </c>
      <c r="BA32" s="28">
        <f t="shared" si="11"/>
        <v>0</v>
      </c>
      <c r="BB32" s="28">
        <f t="shared" si="11"/>
        <v>0</v>
      </c>
      <c r="BC32" s="28">
        <f t="shared" si="11"/>
        <v>0</v>
      </c>
      <c r="BD32" s="28">
        <f t="shared" si="11"/>
        <v>0</v>
      </c>
      <c r="BE32" s="28">
        <f t="shared" si="20"/>
        <v>0</v>
      </c>
      <c r="BF32" s="28">
        <f t="shared" si="21"/>
        <v>0</v>
      </c>
      <c r="BG32" s="28">
        <f t="shared" si="22"/>
        <v>0</v>
      </c>
      <c r="BH32" s="28">
        <f t="shared" si="23"/>
        <v>0</v>
      </c>
    </row>
    <row r="33" spans="2:60" ht="102" customHeight="1">
      <c r="B33" s="619"/>
      <c r="C33" s="462" t="str">
        <f>+'01-FR-03 POA INSTITUCIONAL'!C30</f>
        <v>1.3. Construir e Implementar 35 estrategias que permitan incrementar la oferta y cobertura de los servicios prestados por la Entidad.</v>
      </c>
      <c r="D33" s="309" t="str">
        <f>+'01-FR-03 POA INSTITUCIONAL'!D30</f>
        <v>1.3.1 Realizar 20 actividades que permitan el acercamiento de la Entidad a la Comunidad.</v>
      </c>
      <c r="E33" s="37">
        <f>+'01-FR-03 POA INSTITUCIONAL'!E30</f>
        <v>0.56000000000000005</v>
      </c>
      <c r="F33" s="128">
        <f>+'01-FR-03 POA INSTITUCIONAL'!F30</f>
        <v>20</v>
      </c>
      <c r="G33" s="128">
        <f>+'01-FR-03 POA INSTITUCIONAL'!L30</f>
        <v>8</v>
      </c>
      <c r="H33" s="129">
        <f>+'01-FR-03 POA INSTITUCIONAL'!G30</f>
        <v>2</v>
      </c>
      <c r="I33" s="129" t="str">
        <f>+'01-FR-03 POA INSTITUCIONAL'!H30</f>
        <v>Actividades de acercamiento de la Entidad a la comunidad realizadas</v>
      </c>
      <c r="J33" s="129" t="s">
        <v>228</v>
      </c>
      <c r="K33" s="137" t="s">
        <v>212</v>
      </c>
      <c r="L33" s="364" t="s">
        <v>770</v>
      </c>
      <c r="M33" s="200" t="s">
        <v>194</v>
      </c>
      <c r="N33" s="200" t="s">
        <v>195</v>
      </c>
      <c r="O33" s="22" t="str">
        <f>+'01-FR-03 POA INSTITUCIONAL'!J30</f>
        <v>P.D. para la Coordinación del MP y DDHH y sus dependencias adscritas
 P.D. para la Coordinación de la Gestión de Personerías Locales y sus Personerías Locales adscritas</v>
      </c>
      <c r="P33" s="236">
        <f>0+0</f>
        <v>0</v>
      </c>
      <c r="Q33" s="236"/>
      <c r="R33" s="236">
        <f>0+0</f>
        <v>0</v>
      </c>
      <c r="S33" s="236"/>
      <c r="T33" s="236">
        <f>0+0</f>
        <v>0</v>
      </c>
      <c r="U33" s="236"/>
      <c r="V33" s="38">
        <f t="shared" si="2"/>
        <v>0</v>
      </c>
      <c r="W33" s="38">
        <f t="shared" si="2"/>
        <v>0</v>
      </c>
      <c r="X33" s="236">
        <v>1</v>
      </c>
      <c r="Y33" s="236"/>
      <c r="Z33" s="236">
        <v>0</v>
      </c>
      <c r="AA33" s="236"/>
      <c r="AB33" s="236">
        <v>1</v>
      </c>
      <c r="AC33" s="236"/>
      <c r="AD33" s="38">
        <f t="shared" si="3"/>
        <v>2</v>
      </c>
      <c r="AE33" s="38">
        <f t="shared" si="3"/>
        <v>0</v>
      </c>
      <c r="AF33" s="236">
        <v>1</v>
      </c>
      <c r="AG33" s="236"/>
      <c r="AH33" s="236">
        <f>1+1</f>
        <v>2</v>
      </c>
      <c r="AI33" s="236"/>
      <c r="AJ33" s="236">
        <f>1+1</f>
        <v>2</v>
      </c>
      <c r="AK33" s="237"/>
      <c r="AL33" s="38">
        <f t="shared" si="4"/>
        <v>5</v>
      </c>
      <c r="AM33" s="38">
        <f t="shared" si="4"/>
        <v>0</v>
      </c>
      <c r="AN33" s="236">
        <v>1</v>
      </c>
      <c r="AO33" s="236"/>
      <c r="AP33" s="236">
        <f>0+0</f>
        <v>0</v>
      </c>
      <c r="AQ33" s="236"/>
      <c r="AR33" s="236">
        <f>0+0</f>
        <v>0</v>
      </c>
      <c r="AS33" s="236"/>
      <c r="AT33" s="38">
        <f t="shared" si="5"/>
        <v>1</v>
      </c>
      <c r="AU33" s="38">
        <f t="shared" si="5"/>
        <v>0</v>
      </c>
      <c r="AV33" s="238">
        <f t="shared" si="6"/>
        <v>8</v>
      </c>
      <c r="AW33" s="66">
        <f t="shared" si="7"/>
        <v>0</v>
      </c>
      <c r="AX33" s="66">
        <f t="shared" si="8"/>
        <v>0</v>
      </c>
      <c r="AY33" s="66">
        <f t="shared" si="9"/>
        <v>0</v>
      </c>
      <c r="AZ33" s="66">
        <f t="shared" si="10"/>
        <v>0</v>
      </c>
      <c r="BA33" s="28">
        <f t="shared" si="11"/>
        <v>0</v>
      </c>
      <c r="BB33" s="28">
        <f t="shared" si="11"/>
        <v>0</v>
      </c>
      <c r="BC33" s="28">
        <f t="shared" si="11"/>
        <v>0</v>
      </c>
      <c r="BD33" s="28">
        <f t="shared" si="11"/>
        <v>0</v>
      </c>
      <c r="BE33" s="28">
        <f t="shared" si="20"/>
        <v>0</v>
      </c>
      <c r="BF33" s="28">
        <f t="shared" si="21"/>
        <v>0</v>
      </c>
      <c r="BG33" s="28">
        <f t="shared" si="22"/>
        <v>0</v>
      </c>
      <c r="BH33" s="28">
        <f t="shared" si="23"/>
        <v>0</v>
      </c>
    </row>
    <row r="34" spans="2:60" ht="87.75" customHeight="1">
      <c r="B34" s="619"/>
      <c r="C34" s="620"/>
      <c r="D34" s="309" t="str">
        <f>+'01-FR-03 POA INSTITUCIONAL'!D31</f>
        <v>1.3.2 Incrementar la cobertura de los servicios que presta el proceso de Promoción y Defensa de Derechos, mediante la implementación de 11 acciones que propendan por el mejoramiento de los mismos.</v>
      </c>
      <c r="E34" s="37">
        <f>+'01-FR-03 POA INSTITUCIONAL'!E31</f>
        <v>0.31</v>
      </c>
      <c r="F34" s="128">
        <f>+'01-FR-03 POA INSTITUCIONAL'!F31</f>
        <v>11</v>
      </c>
      <c r="G34" s="128">
        <f>+'01-FR-03 POA INSTITUCIONAL'!L31</f>
        <v>3</v>
      </c>
      <c r="H34" s="129">
        <f>+'01-FR-03 POA INSTITUCIONAL'!G31</f>
        <v>3</v>
      </c>
      <c r="I34" s="129" t="str">
        <f>+'01-FR-03 POA INSTITUCIONAL'!H31</f>
        <v>Acciones realizadas para incrementar la cobertura de los servicios</v>
      </c>
      <c r="J34" s="129" t="s">
        <v>233</v>
      </c>
      <c r="K34" s="137" t="s">
        <v>213</v>
      </c>
      <c r="L34" s="364" t="s">
        <v>214</v>
      </c>
      <c r="M34" s="200" t="s">
        <v>194</v>
      </c>
      <c r="N34" s="200" t="s">
        <v>195</v>
      </c>
      <c r="O34" s="22" t="str">
        <f>+'01-FR-03 POA INSTITUCIONAL'!J31</f>
        <v>P.D. para la Coordinación del MP y DDHH y sus dependencias adscritas
 P.D. para la Coordinación de la Gestión de Personerías Locales y sus Personerías Locales adscritas</v>
      </c>
      <c r="P34" s="236">
        <f>0+0</f>
        <v>0</v>
      </c>
      <c r="Q34" s="236"/>
      <c r="R34" s="236">
        <f>0+0</f>
        <v>0</v>
      </c>
      <c r="S34" s="236"/>
      <c r="T34" s="236">
        <f>0+0</f>
        <v>0</v>
      </c>
      <c r="U34" s="236"/>
      <c r="V34" s="38">
        <f t="shared" si="2"/>
        <v>0</v>
      </c>
      <c r="W34" s="38">
        <f t="shared" si="2"/>
        <v>0</v>
      </c>
      <c r="X34" s="236">
        <f>0+0</f>
        <v>0</v>
      </c>
      <c r="Y34" s="236"/>
      <c r="Z34" s="236">
        <f>0+0</f>
        <v>0</v>
      </c>
      <c r="AA34" s="236"/>
      <c r="AB34" s="236">
        <f>0+0</f>
        <v>0</v>
      </c>
      <c r="AC34" s="236"/>
      <c r="AD34" s="38">
        <f t="shared" si="3"/>
        <v>0</v>
      </c>
      <c r="AE34" s="38">
        <f t="shared" si="3"/>
        <v>0</v>
      </c>
      <c r="AF34" s="236">
        <f>0+0</f>
        <v>0</v>
      </c>
      <c r="AG34" s="236"/>
      <c r="AH34" s="236">
        <f>1+2</f>
        <v>3</v>
      </c>
      <c r="AI34" s="236"/>
      <c r="AJ34" s="236">
        <f>0+0</f>
        <v>0</v>
      </c>
      <c r="AK34" s="237"/>
      <c r="AL34" s="38">
        <f t="shared" si="4"/>
        <v>3</v>
      </c>
      <c r="AM34" s="38">
        <f t="shared" si="4"/>
        <v>0</v>
      </c>
      <c r="AN34" s="236">
        <f>0+0</f>
        <v>0</v>
      </c>
      <c r="AO34" s="236"/>
      <c r="AP34" s="236">
        <f>0+0</f>
        <v>0</v>
      </c>
      <c r="AQ34" s="236"/>
      <c r="AR34" s="236">
        <f>0+0</f>
        <v>0</v>
      </c>
      <c r="AS34" s="236"/>
      <c r="AT34" s="38">
        <f t="shared" si="5"/>
        <v>0</v>
      </c>
      <c r="AU34" s="38">
        <f t="shared" si="5"/>
        <v>0</v>
      </c>
      <c r="AV34" s="238">
        <f t="shared" si="6"/>
        <v>3</v>
      </c>
      <c r="AW34" s="66">
        <f t="shared" si="7"/>
        <v>0</v>
      </c>
      <c r="AX34" s="66">
        <f t="shared" si="8"/>
        <v>0</v>
      </c>
      <c r="AY34" s="66">
        <f t="shared" si="9"/>
        <v>0</v>
      </c>
      <c r="AZ34" s="66">
        <f t="shared" si="10"/>
        <v>0</v>
      </c>
      <c r="BA34" s="28">
        <f t="shared" si="11"/>
        <v>0</v>
      </c>
      <c r="BB34" s="28">
        <f t="shared" si="11"/>
        <v>0</v>
      </c>
      <c r="BC34" s="28">
        <f t="shared" si="11"/>
        <v>0</v>
      </c>
      <c r="BD34" s="28">
        <f t="shared" si="11"/>
        <v>0</v>
      </c>
      <c r="BE34" s="28">
        <f t="shared" si="20"/>
        <v>0</v>
      </c>
      <c r="BF34" s="28">
        <f t="shared" si="21"/>
        <v>0</v>
      </c>
      <c r="BG34" s="28">
        <f t="shared" si="22"/>
        <v>0</v>
      </c>
      <c r="BH34" s="28">
        <f t="shared" si="23"/>
        <v>0</v>
      </c>
    </row>
    <row r="35" spans="2:60" ht="81" customHeight="1">
      <c r="B35" s="619"/>
      <c r="C35" s="620"/>
      <c r="D35" s="309" t="str">
        <f>+'01-FR-03 POA INSTITUCIONAL'!D32</f>
        <v>1.3.3 Implementar 4 herramientas para la promoción y prevención a infracciones del Derecho Internacional Humanitario en el Distrito Capital</v>
      </c>
      <c r="E35" s="37">
        <f>+'01-FR-03 POA INSTITUCIONAL'!E32</f>
        <v>0.13</v>
      </c>
      <c r="F35" s="128">
        <f>+'01-FR-03 POA INSTITUCIONAL'!F32</f>
        <v>4</v>
      </c>
      <c r="G35" s="128">
        <f>+'01-FR-03 POA INSTITUCIONAL'!L32</f>
        <v>1</v>
      </c>
      <c r="H35" s="129">
        <f>+'01-FR-03 POA INSTITUCIONAL'!G32</f>
        <v>1</v>
      </c>
      <c r="I35" s="129" t="str">
        <f>+'01-FR-03 POA INSTITUCIONAL'!H32</f>
        <v>Herramientas de promoción y prevención a infracciones del Derecho Internacional Humanitario implementadas</v>
      </c>
      <c r="J35" s="129" t="s">
        <v>234</v>
      </c>
      <c r="K35" s="137" t="s">
        <v>215</v>
      </c>
      <c r="L35" s="364" t="s">
        <v>216</v>
      </c>
      <c r="M35" s="200" t="s">
        <v>194</v>
      </c>
      <c r="N35" s="200" t="s">
        <v>195</v>
      </c>
      <c r="O35" s="22" t="str">
        <f>+'01-FR-03 POA INSTITUCIONAL'!J32</f>
        <v>P.D. para la Coordinación del MP y DDHH y sus dependencias adscritas
 P.D. para la Coordinación de la Gestión de Personerías Locales y sus Personerías Locales adscritas</v>
      </c>
      <c r="P35" s="236">
        <v>0</v>
      </c>
      <c r="Q35" s="236"/>
      <c r="R35" s="236">
        <v>0</v>
      </c>
      <c r="S35" s="236"/>
      <c r="T35" s="236">
        <v>0</v>
      </c>
      <c r="U35" s="236"/>
      <c r="V35" s="38">
        <f t="shared" si="2"/>
        <v>0</v>
      </c>
      <c r="W35" s="38">
        <f t="shared" si="2"/>
        <v>0</v>
      </c>
      <c r="X35" s="236">
        <v>0</v>
      </c>
      <c r="Y35" s="236"/>
      <c r="Z35" s="236">
        <v>0</v>
      </c>
      <c r="AA35" s="236"/>
      <c r="AB35" s="236">
        <v>0</v>
      </c>
      <c r="AC35" s="236"/>
      <c r="AD35" s="38">
        <f t="shared" si="3"/>
        <v>0</v>
      </c>
      <c r="AE35" s="38">
        <f t="shared" si="3"/>
        <v>0</v>
      </c>
      <c r="AF35" s="236">
        <v>0</v>
      </c>
      <c r="AG35" s="236"/>
      <c r="AH35" s="236">
        <v>0</v>
      </c>
      <c r="AI35" s="236"/>
      <c r="AJ35" s="237">
        <v>0</v>
      </c>
      <c r="AK35" s="237"/>
      <c r="AL35" s="38">
        <f t="shared" si="4"/>
        <v>0</v>
      </c>
      <c r="AM35" s="38">
        <f t="shared" si="4"/>
        <v>0</v>
      </c>
      <c r="AN35" s="236">
        <v>0</v>
      </c>
      <c r="AO35" s="236"/>
      <c r="AP35" s="236">
        <f>0.5+0.5</f>
        <v>1</v>
      </c>
      <c r="AQ35" s="236"/>
      <c r="AR35" s="236">
        <v>0</v>
      </c>
      <c r="AS35" s="236"/>
      <c r="AT35" s="38">
        <f t="shared" si="5"/>
        <v>1</v>
      </c>
      <c r="AU35" s="38">
        <f t="shared" si="5"/>
        <v>0</v>
      </c>
      <c r="AV35" s="238">
        <f t="shared" si="6"/>
        <v>1</v>
      </c>
      <c r="AW35" s="66">
        <f t="shared" si="7"/>
        <v>0</v>
      </c>
      <c r="AX35" s="66">
        <f t="shared" si="8"/>
        <v>0</v>
      </c>
      <c r="AY35" s="66">
        <f t="shared" si="9"/>
        <v>0</v>
      </c>
      <c r="AZ35" s="66">
        <f t="shared" si="10"/>
        <v>0</v>
      </c>
      <c r="BA35" s="28">
        <f t="shared" si="11"/>
        <v>0</v>
      </c>
      <c r="BB35" s="28">
        <f t="shared" si="11"/>
        <v>0</v>
      </c>
      <c r="BC35" s="28">
        <f t="shared" si="11"/>
        <v>0</v>
      </c>
      <c r="BD35" s="28">
        <f t="shared" si="11"/>
        <v>0</v>
      </c>
      <c r="BE35" s="28">
        <f t="shared" si="20"/>
        <v>0</v>
      </c>
      <c r="BF35" s="28">
        <f t="shared" si="21"/>
        <v>0</v>
      </c>
      <c r="BG35" s="28">
        <f t="shared" si="22"/>
        <v>0</v>
      </c>
      <c r="BH35" s="28">
        <f t="shared" si="23"/>
        <v>0</v>
      </c>
    </row>
    <row r="36" spans="2:60" ht="22.8">
      <c r="B36" s="496"/>
      <c r="C36" s="497"/>
      <c r="D36" s="497"/>
      <c r="E36" s="497"/>
      <c r="F36" s="497"/>
      <c r="G36" s="497"/>
      <c r="H36" s="497"/>
      <c r="I36" s="497"/>
      <c r="J36" s="497"/>
      <c r="K36" s="497"/>
      <c r="L36" s="497"/>
      <c r="M36" s="497"/>
      <c r="N36" s="497"/>
      <c r="O36" s="497"/>
      <c r="P36" s="497"/>
      <c r="Q36" s="497"/>
      <c r="R36" s="497"/>
      <c r="S36" s="497"/>
      <c r="T36" s="497"/>
      <c r="U36" s="497"/>
      <c r="V36" s="497"/>
      <c r="W36" s="497"/>
      <c r="X36" s="497"/>
      <c r="Y36" s="497"/>
      <c r="Z36" s="497"/>
      <c r="AA36" s="497"/>
      <c r="AB36" s="497"/>
      <c r="AC36" s="497"/>
      <c r="AD36" s="497"/>
      <c r="AE36" s="497"/>
      <c r="AF36" s="497"/>
      <c r="AG36" s="497"/>
      <c r="AH36" s="497"/>
      <c r="AI36" s="497"/>
      <c r="AJ36" s="497"/>
      <c r="AK36" s="497"/>
      <c r="AL36" s="497"/>
      <c r="AM36" s="497"/>
      <c r="AN36" s="497"/>
      <c r="AO36" s="497"/>
      <c r="AP36" s="497"/>
      <c r="AQ36" s="497"/>
      <c r="AR36" s="497"/>
      <c r="AS36" s="497"/>
      <c r="AT36" s="497"/>
      <c r="AU36" s="497"/>
      <c r="AV36" s="497"/>
      <c r="AW36" s="548"/>
      <c r="AX36" s="617" t="s">
        <v>19</v>
      </c>
      <c r="AY36" s="617"/>
      <c r="AZ36" s="617"/>
      <c r="BA36" s="56">
        <f>AVERAGE(BA16:BA35)</f>
        <v>0</v>
      </c>
      <c r="BB36" s="56">
        <f t="shared" ref="BB36:BH36" si="24">AVERAGE(BB16:BB35)</f>
        <v>0</v>
      </c>
      <c r="BC36" s="56">
        <f t="shared" si="24"/>
        <v>0</v>
      </c>
      <c r="BD36" s="56">
        <f t="shared" si="24"/>
        <v>0</v>
      </c>
      <c r="BE36" s="56">
        <f t="shared" si="24"/>
        <v>0</v>
      </c>
      <c r="BF36" s="56">
        <f t="shared" si="24"/>
        <v>0</v>
      </c>
      <c r="BG36" s="56">
        <f t="shared" si="24"/>
        <v>0</v>
      </c>
      <c r="BH36" s="56">
        <f t="shared" si="24"/>
        <v>0</v>
      </c>
    </row>
    <row r="37" spans="2:60">
      <c r="B37" s="453"/>
      <c r="C37" s="453"/>
      <c r="D37" s="453"/>
      <c r="E37" s="453"/>
      <c r="F37" s="453"/>
      <c r="G37" s="453"/>
      <c r="H37" s="223"/>
      <c r="I37" s="224"/>
      <c r="J37" s="224"/>
      <c r="K37" s="224"/>
      <c r="L37" s="224"/>
      <c r="M37" s="224"/>
      <c r="N37" s="224"/>
      <c r="O37" s="224"/>
    </row>
    <row r="38" spans="2:60">
      <c r="B38" s="224"/>
      <c r="C38" s="224"/>
      <c r="D38" s="549"/>
      <c r="E38" s="549"/>
      <c r="F38" s="549"/>
      <c r="G38" s="549"/>
      <c r="H38" s="549"/>
      <c r="I38" s="549"/>
      <c r="J38" s="549"/>
      <c r="K38" s="549"/>
      <c r="L38" s="549"/>
      <c r="M38" s="549"/>
      <c r="N38" s="549"/>
      <c r="O38" s="549"/>
    </row>
    <row r="39" spans="2:60" ht="30" customHeight="1">
      <c r="B39" s="63" t="s">
        <v>26</v>
      </c>
      <c r="C39" s="31">
        <v>44224</v>
      </c>
      <c r="D39" s="226"/>
      <c r="E39" s="558" t="s">
        <v>50</v>
      </c>
      <c r="F39" s="550" t="s">
        <v>772</v>
      </c>
      <c r="G39" s="551"/>
      <c r="H39" s="551"/>
      <c r="I39" s="551"/>
      <c r="J39" s="552"/>
      <c r="K39" s="227"/>
      <c r="L39" s="559"/>
      <c r="M39" s="559"/>
      <c r="N39" s="559"/>
      <c r="O39" s="560"/>
    </row>
    <row r="40" spans="2:60" ht="34.200000000000003" customHeight="1">
      <c r="B40" s="224"/>
      <c r="C40" s="224"/>
      <c r="D40" s="227"/>
      <c r="E40" s="558"/>
      <c r="F40" s="553"/>
      <c r="G40" s="554"/>
      <c r="H40" s="554"/>
      <c r="I40" s="554"/>
      <c r="J40" s="555"/>
      <c r="K40" s="224"/>
      <c r="L40" s="224"/>
      <c r="M40" s="224"/>
      <c r="N40" s="224"/>
      <c r="O40" s="224"/>
    </row>
    <row r="41" spans="2:60" ht="31.5" customHeight="1">
      <c r="B41" s="63" t="s">
        <v>49</v>
      </c>
      <c r="C41" s="31">
        <v>44470</v>
      </c>
      <c r="D41" s="224"/>
      <c r="E41" s="224"/>
      <c r="F41" s="224"/>
      <c r="K41" s="224"/>
      <c r="L41" s="224"/>
      <c r="M41" s="224"/>
      <c r="N41" s="224"/>
      <c r="O41" s="224"/>
    </row>
    <row r="42" spans="2:60">
      <c r="B42" s="224"/>
      <c r="C42" s="224"/>
      <c r="D42" s="224"/>
      <c r="E42" s="224"/>
      <c r="F42" s="224"/>
      <c r="K42" s="224"/>
      <c r="L42" s="224"/>
      <c r="M42" s="224"/>
      <c r="N42" s="224"/>
      <c r="O42" s="224"/>
    </row>
    <row r="43" spans="2:60" ht="30" customHeight="1">
      <c r="B43" s="63" t="s">
        <v>49</v>
      </c>
      <c r="C43" s="65">
        <v>44581</v>
      </c>
      <c r="D43" s="224"/>
      <c r="E43" s="224"/>
      <c r="F43" s="224"/>
      <c r="K43" s="224"/>
      <c r="L43" s="224"/>
      <c r="M43" s="224"/>
      <c r="N43" s="224"/>
      <c r="O43" s="224"/>
    </row>
    <row r="44" spans="2:60">
      <c r="B44" s="224"/>
      <c r="C44" s="224"/>
      <c r="D44" s="224"/>
      <c r="E44" s="224"/>
      <c r="F44" s="224"/>
      <c r="K44" s="224"/>
      <c r="L44" s="224"/>
      <c r="M44" s="224"/>
      <c r="N44" s="224"/>
      <c r="O44" s="224"/>
    </row>
    <row r="45" spans="2:60" ht="15" customHeight="1">
      <c r="B45" s="189" t="s">
        <v>673</v>
      </c>
      <c r="C45" s="224"/>
      <c r="D45" s="224"/>
      <c r="E45" s="224"/>
      <c r="F45" s="224"/>
      <c r="G45" s="223"/>
      <c r="H45" s="223"/>
      <c r="I45" s="575"/>
      <c r="J45" s="575"/>
      <c r="K45" s="575"/>
      <c r="L45" s="575"/>
      <c r="M45" s="228"/>
      <c r="N45" s="228"/>
      <c r="O45" s="228"/>
    </row>
    <row r="46" spans="2:60" ht="15" customHeight="1">
      <c r="B46" s="224"/>
      <c r="C46" s="224"/>
      <c r="D46" s="224"/>
      <c r="E46" s="224"/>
      <c r="F46" s="224"/>
      <c r="G46" s="223"/>
      <c r="H46" s="223"/>
      <c r="I46" s="224"/>
      <c r="J46" s="224"/>
      <c r="K46" s="229"/>
      <c r="L46" s="224"/>
      <c r="M46" s="224"/>
      <c r="N46" s="224"/>
      <c r="O46" s="224"/>
    </row>
    <row r="47" spans="2:60" ht="15" customHeight="1">
      <c r="B47" s="224"/>
      <c r="C47" s="224"/>
      <c r="D47" s="224"/>
      <c r="E47" s="224"/>
      <c r="F47" s="224"/>
      <c r="G47" s="223"/>
      <c r="H47" s="223"/>
      <c r="I47" s="575"/>
      <c r="J47" s="575"/>
      <c r="K47" s="575"/>
      <c r="L47" s="575"/>
      <c r="M47" s="228"/>
      <c r="N47" s="228"/>
      <c r="O47" s="228"/>
    </row>
    <row r="48" spans="2:60" ht="15" customHeight="1">
      <c r="B48" s="224"/>
      <c r="C48" s="224"/>
      <c r="D48" s="224"/>
      <c r="E48" s="224"/>
      <c r="F48" s="224"/>
      <c r="G48" s="223"/>
      <c r="H48" s="223"/>
      <c r="I48" s="224"/>
      <c r="J48" s="224"/>
      <c r="K48" s="229"/>
      <c r="L48" s="224"/>
      <c r="M48" s="224"/>
      <c r="N48" s="224"/>
      <c r="O48" s="224"/>
    </row>
    <row r="49" spans="2:15" ht="15" customHeight="1">
      <c r="B49" s="224"/>
      <c r="C49" s="224"/>
      <c r="D49" s="224"/>
      <c r="E49" s="224"/>
      <c r="F49" s="224"/>
      <c r="G49" s="223"/>
      <c r="H49" s="223"/>
      <c r="I49" s="575"/>
      <c r="J49" s="575"/>
      <c r="K49" s="575"/>
      <c r="L49" s="575"/>
      <c r="M49" s="228"/>
      <c r="N49" s="228"/>
      <c r="O49" s="228"/>
    </row>
  </sheetData>
  <sheetProtection algorithmName="SHA-512" hashValue="RM29ovkEHeozYaEEcfEWXLTNKbgUzVZNvGs0K/7Cm1H6D4GfHM9TaN2qucCsFPPxz/A0mTM0rENSXpZrfKH2xQ==" saltValue="ize8l0tU/oWAAZZkDkKd+w==" spinCount="100000" sheet="1" objects="1" scenarios="1"/>
  <mergeCells count="72">
    <mergeCell ref="I12:I15"/>
    <mergeCell ref="J12:J15"/>
    <mergeCell ref="K12:K15"/>
    <mergeCell ref="L12:L15"/>
    <mergeCell ref="C9:D9"/>
    <mergeCell ref="C10:D10"/>
    <mergeCell ref="F12:F15"/>
    <mergeCell ref="B12:B15"/>
    <mergeCell ref="C12:C15"/>
    <mergeCell ref="D12:D15"/>
    <mergeCell ref="B2:B6"/>
    <mergeCell ref="C2:BF6"/>
    <mergeCell ref="AZ13:AZ15"/>
    <mergeCell ref="BA13:BA15"/>
    <mergeCell ref="P12:AU12"/>
    <mergeCell ref="BD13:BD15"/>
    <mergeCell ref="AB14:AC14"/>
    <mergeCell ref="AP14:AQ14"/>
    <mergeCell ref="AR14:AS14"/>
    <mergeCell ref="AT14:AU14"/>
    <mergeCell ref="AF14:AG14"/>
    <mergeCell ref="AH14:AI14"/>
    <mergeCell ref="AJ14:AK14"/>
    <mergeCell ref="BG6:BH6"/>
    <mergeCell ref="AW7:BA7"/>
    <mergeCell ref="C8:D8"/>
    <mergeCell ref="BE13:BE15"/>
    <mergeCell ref="BF13:BF15"/>
    <mergeCell ref="BG13:BG15"/>
    <mergeCell ref="BH13:BH15"/>
    <mergeCell ref="M12:M15"/>
    <mergeCell ref="BE12:BH12"/>
    <mergeCell ref="P13:W13"/>
    <mergeCell ref="X13:AE13"/>
    <mergeCell ref="AF13:AM13"/>
    <mergeCell ref="AN13:AU13"/>
    <mergeCell ref="AW13:AW15"/>
    <mergeCell ref="AX13:AX15"/>
    <mergeCell ref="AY13:AY15"/>
    <mergeCell ref="AL14:AM14"/>
    <mergeCell ref="AN14:AO14"/>
    <mergeCell ref="BC13:BC15"/>
    <mergeCell ref="AV12:AV15"/>
    <mergeCell ref="AW12:AZ12"/>
    <mergeCell ref="BA12:BD12"/>
    <mergeCell ref="BB13:BB15"/>
    <mergeCell ref="B16:B35"/>
    <mergeCell ref="C16:C26"/>
    <mergeCell ref="C27:C32"/>
    <mergeCell ref="C33:C35"/>
    <mergeCell ref="AD14:AE14"/>
    <mergeCell ref="N12:N15"/>
    <mergeCell ref="O12:O15"/>
    <mergeCell ref="H12:H15"/>
    <mergeCell ref="Z14:AA14"/>
    <mergeCell ref="P14:Q14"/>
    <mergeCell ref="R14:S14"/>
    <mergeCell ref="T14:U14"/>
    <mergeCell ref="V14:W14"/>
    <mergeCell ref="X14:Y14"/>
    <mergeCell ref="G12:G15"/>
    <mergeCell ref="E12:E15"/>
    <mergeCell ref="AX36:AZ36"/>
    <mergeCell ref="D38:O38"/>
    <mergeCell ref="E39:E40"/>
    <mergeCell ref="L39:O39"/>
    <mergeCell ref="F39:J40"/>
    <mergeCell ref="I45:L45"/>
    <mergeCell ref="I47:L47"/>
    <mergeCell ref="I49:L49"/>
    <mergeCell ref="B37:G37"/>
    <mergeCell ref="B36:AW36"/>
  </mergeCells>
  <conditionalFormatting sqref="BA16:BD16">
    <cfRule type="cellIs" dxfId="152" priority="16" operator="between">
      <formula>0.7</formula>
      <formula>1</formula>
    </cfRule>
    <cfRule type="cellIs" dxfId="151" priority="17" operator="between">
      <formula>0.51</formula>
      <formula>0.69</formula>
    </cfRule>
    <cfRule type="cellIs" dxfId="150" priority="18" operator="between">
      <formula>0</formula>
      <formula>0.5</formula>
    </cfRule>
  </conditionalFormatting>
  <conditionalFormatting sqref="BE16:BH21 BE23:BH35">
    <cfRule type="cellIs" dxfId="149" priority="13" operator="between">
      <formula>0.7</formula>
      <formula>1</formula>
    </cfRule>
    <cfRule type="cellIs" dxfId="148" priority="14" operator="between">
      <formula>0.51</formula>
      <formula>0.69</formula>
    </cfRule>
    <cfRule type="cellIs" dxfId="147" priority="15" operator="between">
      <formula>0</formula>
      <formula>0.5</formula>
    </cfRule>
  </conditionalFormatting>
  <conditionalFormatting sqref="BA17:BD21 BA23:BD35">
    <cfRule type="cellIs" dxfId="146" priority="10" operator="between">
      <formula>0.7</formula>
      <formula>1</formula>
    </cfRule>
    <cfRule type="cellIs" dxfId="145" priority="11" operator="between">
      <formula>0.51</formula>
      <formula>0.69</formula>
    </cfRule>
    <cfRule type="cellIs" dxfId="144" priority="12" operator="between">
      <formula>0</formula>
      <formula>0.5</formula>
    </cfRule>
  </conditionalFormatting>
  <conditionalFormatting sqref="BA22:BD22">
    <cfRule type="cellIs" dxfId="143" priority="1" operator="between">
      <formula>0.7</formula>
      <formula>1</formula>
    </cfRule>
    <cfRule type="cellIs" dxfId="142" priority="2" operator="between">
      <formula>0.51</formula>
      <formula>0.69</formula>
    </cfRule>
    <cfRule type="cellIs" dxfId="141" priority="3" operator="between">
      <formula>0</formula>
      <formula>0.5</formula>
    </cfRule>
  </conditionalFormatting>
  <conditionalFormatting sqref="BE22:BH22">
    <cfRule type="cellIs" dxfId="140" priority="4" operator="between">
      <formula>0.7</formula>
      <formula>1</formula>
    </cfRule>
    <cfRule type="cellIs" dxfId="139" priority="5" operator="between">
      <formula>0.51</formula>
      <formula>0.69</formula>
    </cfRule>
    <cfRule type="cellIs" dxfId="138" priority="6" operator="between">
      <formula>0</formula>
      <formula>0.5</formula>
    </cfRule>
  </conditionalFormatting>
  <dataValidations count="1">
    <dataValidation allowBlank="1" showInputMessage="1" showErrorMessage="1" prompt="Transcriba de manera exacta el objetivo definido en la caracterización del proceso." sqref="C9:D9" xr:uid="{C3F358FF-BDE5-419F-9658-C89E504678AD}"/>
  </dataValidations>
  <pageMargins left="0.70866141732283472" right="0.70866141732283472" top="0.74803149606299213" bottom="0.74803149606299213" header="0.31496062992125984" footer="0.31496062992125984"/>
  <pageSetup paperSize="5" scale="28" orientation="landscape" r:id="rId1"/>
  <colBreaks count="2" manualBreakCount="2">
    <brk id="15" max="1048575" man="1"/>
    <brk id="30" max="47"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0426A-CC2B-473E-A965-C4058C4DD095}">
  <sheetPr>
    <tabColor rgb="FF92D050"/>
  </sheetPr>
  <dimension ref="B1:BI36"/>
  <sheetViews>
    <sheetView showGridLines="0" zoomScale="55" zoomScaleNormal="55" workbookViewId="0">
      <selection activeCell="F28" sqref="F28"/>
    </sheetView>
  </sheetViews>
  <sheetFormatPr baseColWidth="10" defaultColWidth="17.33203125" defaultRowHeight="15" customHeight="1"/>
  <cols>
    <col min="1" max="1" width="4.33203125" style="124" customWidth="1"/>
    <col min="2" max="2" width="50.44140625" style="122" customWidth="1"/>
    <col min="3" max="3" width="31.44140625" style="122" customWidth="1"/>
    <col min="4" max="4" width="49.6640625" style="122" customWidth="1"/>
    <col min="5" max="6" width="27.5546875" style="122" customWidth="1"/>
    <col min="7" max="7" width="29.33203125" style="123" customWidth="1"/>
    <col min="8" max="8" width="27.109375" style="123" customWidth="1"/>
    <col min="9" max="9" width="28.88671875" style="122" customWidth="1"/>
    <col min="10" max="10" width="31.88671875" style="122" customWidth="1"/>
    <col min="11" max="11" width="55.88671875" style="122" customWidth="1"/>
    <col min="12" max="12" width="48.44140625" style="122" customWidth="1"/>
    <col min="13" max="14" width="28.5546875" style="122" customWidth="1"/>
    <col min="15" max="15" width="50" style="122" customWidth="1"/>
    <col min="16" max="23" width="15.88671875" style="124" customWidth="1"/>
    <col min="24" max="24" width="14" style="124" bestFit="1" customWidth="1"/>
    <col min="25" max="25" width="12" style="124" bestFit="1" customWidth="1"/>
    <col min="26" max="26" width="14" style="124" bestFit="1" customWidth="1"/>
    <col min="27" max="27" width="12" style="124" bestFit="1" customWidth="1"/>
    <col min="28" max="28" width="14" style="124" bestFit="1" customWidth="1"/>
    <col min="29" max="29" width="12" style="124" bestFit="1" customWidth="1"/>
    <col min="30" max="31" width="15.44140625" style="124" customWidth="1"/>
    <col min="32" max="32" width="14" style="124" bestFit="1" customWidth="1"/>
    <col min="33" max="33" width="12" style="124" bestFit="1" customWidth="1"/>
    <col min="34" max="34" width="14" style="124" bestFit="1" customWidth="1"/>
    <col min="35" max="35" width="12" style="124" bestFit="1" customWidth="1"/>
    <col min="36" max="36" width="14" style="124" bestFit="1" customWidth="1"/>
    <col min="37" max="37" width="12" style="124" bestFit="1" customWidth="1"/>
    <col min="38" max="39" width="14.5546875" style="124" customWidth="1"/>
    <col min="40" max="40" width="14" style="124" bestFit="1" customWidth="1"/>
    <col min="41" max="41" width="12" style="124" bestFit="1" customWidth="1"/>
    <col min="42" max="42" width="14" style="124" bestFit="1" customWidth="1"/>
    <col min="43" max="43" width="12" style="124" bestFit="1" customWidth="1"/>
    <col min="44" max="44" width="14" style="124" bestFit="1" customWidth="1"/>
    <col min="45" max="45" width="12" style="124" bestFit="1" customWidth="1"/>
    <col min="46" max="47" width="15.33203125" style="124" customWidth="1"/>
    <col min="48" max="48" width="22.109375" style="124" customWidth="1"/>
    <col min="49" max="51" width="16" style="124" bestFit="1" customWidth="1"/>
    <col min="52" max="52" width="14.33203125" style="124" bestFit="1" customWidth="1"/>
    <col min="53" max="58" width="16" style="124" bestFit="1" customWidth="1"/>
    <col min="59" max="59" width="19.33203125" style="124" bestFit="1" customWidth="1"/>
    <col min="60" max="60" width="16" style="124" bestFit="1" customWidth="1"/>
    <col min="61" max="16384" width="17.33203125" style="124"/>
  </cols>
  <sheetData>
    <row r="1" spans="2:61" ht="15" customHeight="1" thickBot="1"/>
    <row r="2" spans="2:61" ht="16.5" customHeight="1">
      <c r="B2" s="489" t="s">
        <v>671</v>
      </c>
      <c r="C2" s="534" t="s">
        <v>117</v>
      </c>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35"/>
      <c r="AL2" s="535"/>
      <c r="AM2" s="535"/>
      <c r="AN2" s="535"/>
      <c r="AO2" s="535"/>
      <c r="AP2" s="535"/>
      <c r="AQ2" s="535"/>
      <c r="AR2" s="535"/>
      <c r="AS2" s="535"/>
      <c r="AT2" s="535"/>
      <c r="AU2" s="535"/>
      <c r="AV2" s="535"/>
      <c r="AW2" s="535"/>
      <c r="AX2" s="535"/>
      <c r="AY2" s="535"/>
      <c r="AZ2" s="535"/>
      <c r="BA2" s="535"/>
      <c r="BB2" s="535"/>
      <c r="BC2" s="535"/>
      <c r="BD2" s="535"/>
      <c r="BE2" s="535"/>
      <c r="BF2" s="536"/>
      <c r="BG2" s="190" t="s">
        <v>31</v>
      </c>
      <c r="BH2" s="191"/>
    </row>
    <row r="3" spans="2:61" ht="16.5" customHeight="1">
      <c r="B3" s="490"/>
      <c r="C3" s="537"/>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8"/>
      <c r="AZ3" s="538"/>
      <c r="BA3" s="538"/>
      <c r="BB3" s="538"/>
      <c r="BC3" s="538"/>
      <c r="BD3" s="538"/>
      <c r="BE3" s="538"/>
      <c r="BF3" s="539"/>
      <c r="BG3" s="192" t="s">
        <v>28</v>
      </c>
      <c r="BH3" s="17" t="s">
        <v>29</v>
      </c>
    </row>
    <row r="4" spans="2:61" ht="16.5" customHeight="1">
      <c r="B4" s="490"/>
      <c r="C4" s="537"/>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538"/>
      <c r="BF4" s="539"/>
      <c r="BG4" s="193">
        <v>5</v>
      </c>
      <c r="BH4" s="18" t="s">
        <v>643</v>
      </c>
    </row>
    <row r="5" spans="2:61" ht="16.5" customHeight="1">
      <c r="B5" s="490"/>
      <c r="C5" s="537"/>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538"/>
      <c r="BF5" s="539"/>
      <c r="BG5" s="194" t="s">
        <v>30</v>
      </c>
      <c r="BH5" s="195"/>
    </row>
    <row r="6" spans="2:61" ht="16.5" customHeight="1" thickBot="1">
      <c r="B6" s="491"/>
      <c r="C6" s="540"/>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1"/>
      <c r="AN6" s="541"/>
      <c r="AO6" s="541"/>
      <c r="AP6" s="541"/>
      <c r="AQ6" s="541"/>
      <c r="AR6" s="541"/>
      <c r="AS6" s="541"/>
      <c r="AT6" s="541"/>
      <c r="AU6" s="541"/>
      <c r="AV6" s="541"/>
      <c r="AW6" s="541"/>
      <c r="AX6" s="541"/>
      <c r="AY6" s="541"/>
      <c r="AZ6" s="541"/>
      <c r="BA6" s="541"/>
      <c r="BB6" s="541"/>
      <c r="BC6" s="541"/>
      <c r="BD6" s="541"/>
      <c r="BE6" s="541"/>
      <c r="BF6" s="542"/>
      <c r="BG6" s="556">
        <v>43941</v>
      </c>
      <c r="BH6" s="557"/>
    </row>
    <row r="7" spans="2:61" ht="19.5" customHeight="1">
      <c r="B7" s="125"/>
      <c r="C7" s="125"/>
      <c r="D7" s="125"/>
      <c r="E7" s="125"/>
      <c r="F7" s="125"/>
      <c r="G7" s="126"/>
      <c r="H7" s="126"/>
      <c r="I7" s="125"/>
      <c r="J7" s="125"/>
      <c r="K7" s="125"/>
      <c r="L7" s="125"/>
      <c r="M7" s="125"/>
      <c r="N7" s="125"/>
      <c r="O7" s="125"/>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528"/>
      <c r="AX7" s="559"/>
      <c r="AY7" s="559"/>
      <c r="AZ7" s="559"/>
      <c r="BA7" s="530"/>
      <c r="BB7" s="214"/>
      <c r="BC7" s="214"/>
      <c r="BD7" s="214"/>
      <c r="BE7" s="127"/>
      <c r="BF7" s="127"/>
    </row>
    <row r="8" spans="2:61" ht="28.5" customHeight="1">
      <c r="B8" s="196" t="s">
        <v>45</v>
      </c>
      <c r="C8" s="576" t="s">
        <v>88</v>
      </c>
      <c r="D8" s="576"/>
      <c r="E8" s="197"/>
      <c r="F8" s="197"/>
      <c r="G8" s="197"/>
      <c r="H8" s="197"/>
      <c r="I8" s="197"/>
      <c r="J8" s="197"/>
      <c r="K8" s="197"/>
      <c r="L8" s="197"/>
      <c r="M8" s="197"/>
      <c r="N8" s="197"/>
      <c r="O8" s="197"/>
      <c r="AW8" s="214"/>
      <c r="AX8" s="214"/>
      <c r="AY8" s="214"/>
      <c r="AZ8" s="214"/>
      <c r="BA8" s="214"/>
      <c r="BB8" s="214"/>
      <c r="BC8" s="214"/>
      <c r="BD8" s="214"/>
    </row>
    <row r="9" spans="2:61" ht="98.25" customHeight="1">
      <c r="B9" s="196" t="s">
        <v>34</v>
      </c>
      <c r="C9" s="572" t="s">
        <v>269</v>
      </c>
      <c r="D9" s="573"/>
      <c r="E9" s="197"/>
      <c r="F9" s="197"/>
      <c r="G9" s="197"/>
      <c r="H9" s="197"/>
      <c r="I9" s="197"/>
      <c r="J9" s="197"/>
      <c r="K9" s="197"/>
      <c r="L9" s="197"/>
      <c r="M9" s="197"/>
      <c r="N9" s="197"/>
      <c r="O9" s="197"/>
      <c r="AW9" s="214"/>
      <c r="AX9" s="214"/>
      <c r="AY9" s="214"/>
      <c r="AZ9" s="214"/>
      <c r="BA9" s="214"/>
      <c r="BB9" s="214"/>
      <c r="BC9" s="214"/>
      <c r="BD9" s="214"/>
    </row>
    <row r="10" spans="2:61" ht="30" customHeight="1">
      <c r="B10" s="196" t="s">
        <v>100</v>
      </c>
      <c r="C10" s="516">
        <v>2022</v>
      </c>
      <c r="D10" s="517"/>
      <c r="E10" s="197"/>
      <c r="F10" s="197"/>
      <c r="G10" s="197"/>
      <c r="H10" s="197"/>
      <c r="I10" s="197"/>
      <c r="J10" s="197"/>
      <c r="K10" s="197"/>
      <c r="L10" s="197"/>
      <c r="M10" s="197"/>
      <c r="N10" s="197"/>
      <c r="O10" s="197"/>
      <c r="AW10" s="214"/>
      <c r="AX10" s="214"/>
      <c r="AY10" s="214"/>
      <c r="AZ10" s="214"/>
      <c r="BA10" s="214"/>
      <c r="BB10" s="214"/>
      <c r="BC10" s="214"/>
      <c r="BD10" s="214"/>
    </row>
    <row r="11" spans="2:61" ht="14.25" customHeight="1">
      <c r="B11" s="125"/>
      <c r="C11" s="125"/>
      <c r="D11" s="125"/>
      <c r="E11" s="125"/>
      <c r="F11" s="125"/>
      <c r="G11" s="126"/>
      <c r="H11" s="126"/>
      <c r="I11" s="125"/>
      <c r="J11" s="125"/>
      <c r="K11" s="125"/>
      <c r="L11" s="125"/>
      <c r="M11" s="125"/>
      <c r="N11" s="125"/>
      <c r="O11" s="125"/>
      <c r="AW11" s="214"/>
      <c r="AX11" s="214"/>
      <c r="AY11" s="214"/>
      <c r="AZ11" s="214"/>
      <c r="BA11" s="214"/>
      <c r="BB11" s="214"/>
      <c r="BC11" s="214"/>
      <c r="BD11" s="214"/>
    </row>
    <row r="12" spans="2:61" ht="36" customHeight="1">
      <c r="B12" s="488" t="s">
        <v>0</v>
      </c>
      <c r="C12" s="488" t="s">
        <v>52</v>
      </c>
      <c r="D12" s="526" t="s">
        <v>674</v>
      </c>
      <c r="E12" s="488" t="s">
        <v>60</v>
      </c>
      <c r="F12" s="527" t="s">
        <v>743</v>
      </c>
      <c r="G12" s="488" t="s">
        <v>57</v>
      </c>
      <c r="H12" s="488" t="s">
        <v>25</v>
      </c>
      <c r="I12" s="488" t="s">
        <v>59</v>
      </c>
      <c r="J12" s="488" t="s">
        <v>39</v>
      </c>
      <c r="K12" s="488" t="s">
        <v>36</v>
      </c>
      <c r="L12" s="488" t="s">
        <v>20</v>
      </c>
      <c r="M12" s="488" t="s">
        <v>51</v>
      </c>
      <c r="N12" s="488" t="s">
        <v>40</v>
      </c>
      <c r="O12" s="488" t="s">
        <v>42</v>
      </c>
      <c r="P12" s="533" t="s">
        <v>111</v>
      </c>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3"/>
      <c r="AN12" s="533"/>
      <c r="AO12" s="533"/>
      <c r="AP12" s="533"/>
      <c r="AQ12" s="533"/>
      <c r="AR12" s="533"/>
      <c r="AS12" s="533"/>
      <c r="AT12" s="533"/>
      <c r="AU12" s="533"/>
      <c r="AV12" s="531" t="s">
        <v>247</v>
      </c>
      <c r="AW12" s="520" t="s">
        <v>675</v>
      </c>
      <c r="AX12" s="521"/>
      <c r="AY12" s="521"/>
      <c r="AZ12" s="522"/>
      <c r="BA12" s="508" t="s">
        <v>676</v>
      </c>
      <c r="BB12" s="509"/>
      <c r="BC12" s="509"/>
      <c r="BD12" s="510"/>
      <c r="BE12" s="502" t="s">
        <v>677</v>
      </c>
      <c r="BF12" s="503"/>
      <c r="BG12" s="503"/>
      <c r="BH12" s="504"/>
    </row>
    <row r="13" spans="2:61" ht="21.75" customHeight="1">
      <c r="B13" s="488"/>
      <c r="C13" s="488"/>
      <c r="D13" s="526"/>
      <c r="E13" s="488"/>
      <c r="F13" s="527"/>
      <c r="G13" s="488"/>
      <c r="H13" s="488"/>
      <c r="I13" s="488"/>
      <c r="J13" s="488"/>
      <c r="K13" s="488"/>
      <c r="L13" s="488"/>
      <c r="M13" s="488"/>
      <c r="N13" s="488"/>
      <c r="O13" s="488"/>
      <c r="P13" s="532" t="s">
        <v>21</v>
      </c>
      <c r="Q13" s="532"/>
      <c r="R13" s="532"/>
      <c r="S13" s="532"/>
      <c r="T13" s="532"/>
      <c r="U13" s="532"/>
      <c r="V13" s="532"/>
      <c r="W13" s="532"/>
      <c r="X13" s="532" t="s">
        <v>22</v>
      </c>
      <c r="Y13" s="532"/>
      <c r="Z13" s="532"/>
      <c r="AA13" s="532"/>
      <c r="AB13" s="532"/>
      <c r="AC13" s="532"/>
      <c r="AD13" s="532"/>
      <c r="AE13" s="532"/>
      <c r="AF13" s="532" t="s">
        <v>23</v>
      </c>
      <c r="AG13" s="532"/>
      <c r="AH13" s="532"/>
      <c r="AI13" s="532"/>
      <c r="AJ13" s="532"/>
      <c r="AK13" s="532"/>
      <c r="AL13" s="532"/>
      <c r="AM13" s="532"/>
      <c r="AN13" s="532" t="s">
        <v>24</v>
      </c>
      <c r="AO13" s="532"/>
      <c r="AP13" s="532"/>
      <c r="AQ13" s="532"/>
      <c r="AR13" s="532"/>
      <c r="AS13" s="532"/>
      <c r="AT13" s="532"/>
      <c r="AU13" s="532"/>
      <c r="AV13" s="531"/>
      <c r="AW13" s="523" t="s">
        <v>248</v>
      </c>
      <c r="AX13" s="523" t="s">
        <v>249</v>
      </c>
      <c r="AY13" s="523" t="s">
        <v>250</v>
      </c>
      <c r="AZ13" s="523" t="s">
        <v>251</v>
      </c>
      <c r="BA13" s="511" t="s">
        <v>252</v>
      </c>
      <c r="BB13" s="511" t="s">
        <v>249</v>
      </c>
      <c r="BC13" s="511" t="s">
        <v>253</v>
      </c>
      <c r="BD13" s="511" t="s">
        <v>254</v>
      </c>
      <c r="BE13" s="505" t="s">
        <v>252</v>
      </c>
      <c r="BF13" s="505" t="s">
        <v>249</v>
      </c>
      <c r="BG13" s="505" t="s">
        <v>253</v>
      </c>
      <c r="BH13" s="505" t="s">
        <v>254</v>
      </c>
    </row>
    <row r="14" spans="2:61" ht="21.75" customHeight="1">
      <c r="B14" s="488"/>
      <c r="C14" s="488"/>
      <c r="D14" s="526"/>
      <c r="E14" s="488"/>
      <c r="F14" s="527"/>
      <c r="G14" s="488"/>
      <c r="H14" s="488"/>
      <c r="I14" s="488"/>
      <c r="J14" s="488"/>
      <c r="K14" s="488"/>
      <c r="L14" s="488"/>
      <c r="M14" s="488"/>
      <c r="N14" s="488"/>
      <c r="O14" s="488"/>
      <c r="P14" s="571" t="s">
        <v>5</v>
      </c>
      <c r="Q14" s="571"/>
      <c r="R14" s="571" t="s">
        <v>6</v>
      </c>
      <c r="S14" s="571"/>
      <c r="T14" s="571" t="s">
        <v>7</v>
      </c>
      <c r="U14" s="571"/>
      <c r="V14" s="533" t="s">
        <v>8</v>
      </c>
      <c r="W14" s="533"/>
      <c r="X14" s="571" t="s">
        <v>27</v>
      </c>
      <c r="Y14" s="571"/>
      <c r="Z14" s="571" t="s">
        <v>9</v>
      </c>
      <c r="AA14" s="571"/>
      <c r="AB14" s="571" t="s">
        <v>10</v>
      </c>
      <c r="AC14" s="571"/>
      <c r="AD14" s="533" t="s">
        <v>8</v>
      </c>
      <c r="AE14" s="533"/>
      <c r="AF14" s="571" t="s">
        <v>11</v>
      </c>
      <c r="AG14" s="571"/>
      <c r="AH14" s="571" t="s">
        <v>12</v>
      </c>
      <c r="AI14" s="571"/>
      <c r="AJ14" s="571" t="s">
        <v>13</v>
      </c>
      <c r="AK14" s="571"/>
      <c r="AL14" s="533" t="s">
        <v>8</v>
      </c>
      <c r="AM14" s="533"/>
      <c r="AN14" s="571" t="s">
        <v>14</v>
      </c>
      <c r="AO14" s="571"/>
      <c r="AP14" s="571" t="s">
        <v>15</v>
      </c>
      <c r="AQ14" s="571"/>
      <c r="AR14" s="571" t="s">
        <v>16</v>
      </c>
      <c r="AS14" s="571"/>
      <c r="AT14" s="533" t="s">
        <v>8</v>
      </c>
      <c r="AU14" s="533"/>
      <c r="AV14" s="531"/>
      <c r="AW14" s="524"/>
      <c r="AX14" s="524"/>
      <c r="AY14" s="524"/>
      <c r="AZ14" s="524"/>
      <c r="BA14" s="512"/>
      <c r="BB14" s="512"/>
      <c r="BC14" s="512"/>
      <c r="BD14" s="512"/>
      <c r="BE14" s="506"/>
      <c r="BF14" s="506"/>
      <c r="BG14" s="506"/>
      <c r="BH14" s="506"/>
    </row>
    <row r="15" spans="2:61" ht="21.75" customHeight="1">
      <c r="B15" s="488"/>
      <c r="C15" s="488"/>
      <c r="D15" s="526"/>
      <c r="E15" s="488"/>
      <c r="F15" s="527"/>
      <c r="G15" s="488"/>
      <c r="H15" s="488"/>
      <c r="I15" s="488"/>
      <c r="J15" s="488"/>
      <c r="K15" s="488"/>
      <c r="L15" s="488"/>
      <c r="M15" s="488"/>
      <c r="N15" s="488"/>
      <c r="O15" s="488"/>
      <c r="P15" s="215" t="s">
        <v>17</v>
      </c>
      <c r="Q15" s="216" t="s">
        <v>18</v>
      </c>
      <c r="R15" s="215" t="s">
        <v>17</v>
      </c>
      <c r="S15" s="216" t="s">
        <v>18</v>
      </c>
      <c r="T15" s="215" t="s">
        <v>17</v>
      </c>
      <c r="U15" s="216" t="s">
        <v>18</v>
      </c>
      <c r="V15" s="61" t="s">
        <v>17</v>
      </c>
      <c r="W15" s="62" t="s">
        <v>18</v>
      </c>
      <c r="X15" s="215" t="s">
        <v>17</v>
      </c>
      <c r="Y15" s="216" t="s">
        <v>18</v>
      </c>
      <c r="Z15" s="215" t="s">
        <v>17</v>
      </c>
      <c r="AA15" s="216" t="s">
        <v>18</v>
      </c>
      <c r="AB15" s="215" t="s">
        <v>17</v>
      </c>
      <c r="AC15" s="216" t="s">
        <v>18</v>
      </c>
      <c r="AD15" s="61" t="s">
        <v>17</v>
      </c>
      <c r="AE15" s="62" t="s">
        <v>18</v>
      </c>
      <c r="AF15" s="215" t="s">
        <v>17</v>
      </c>
      <c r="AG15" s="216" t="s">
        <v>18</v>
      </c>
      <c r="AH15" s="215" t="s">
        <v>17</v>
      </c>
      <c r="AI15" s="216" t="s">
        <v>18</v>
      </c>
      <c r="AJ15" s="215" t="s">
        <v>17</v>
      </c>
      <c r="AK15" s="216" t="s">
        <v>18</v>
      </c>
      <c r="AL15" s="61" t="s">
        <v>17</v>
      </c>
      <c r="AM15" s="62" t="s">
        <v>18</v>
      </c>
      <c r="AN15" s="215" t="s">
        <v>17</v>
      </c>
      <c r="AO15" s="216" t="s">
        <v>18</v>
      </c>
      <c r="AP15" s="215" t="s">
        <v>17</v>
      </c>
      <c r="AQ15" s="216" t="s">
        <v>18</v>
      </c>
      <c r="AR15" s="215" t="s">
        <v>17</v>
      </c>
      <c r="AS15" s="216" t="s">
        <v>18</v>
      </c>
      <c r="AT15" s="61" t="s">
        <v>17</v>
      </c>
      <c r="AU15" s="62" t="s">
        <v>18</v>
      </c>
      <c r="AV15" s="531"/>
      <c r="AW15" s="525"/>
      <c r="AX15" s="525"/>
      <c r="AY15" s="525"/>
      <c r="AZ15" s="525"/>
      <c r="BA15" s="513"/>
      <c r="BB15" s="513"/>
      <c r="BC15" s="513"/>
      <c r="BD15" s="513"/>
      <c r="BE15" s="507"/>
      <c r="BF15" s="507"/>
      <c r="BG15" s="507"/>
      <c r="BH15" s="507"/>
    </row>
    <row r="16" spans="2:61" ht="186" customHeight="1">
      <c r="B16" s="500" t="str">
        <f>+'01-FR-03 POA INSTITUCIONAL'!B33</f>
        <v>2. Realizar acciones de prevención y control a la Función Pública, en el marco del cumplimiento del Plan de Desarrollo, con énfasis en los Derechos e intereses colectivos.</v>
      </c>
      <c r="C16" s="500" t="str">
        <f>+'01-FR-03 POA INSTITUCIONAL'!C33</f>
        <v>2.1. Realizar 22 acciones de prevención y control a la función pública en medio ambiente, agua, protección y bienestar animal y desarrollo urbano.</v>
      </c>
      <c r="D16" s="19" t="str">
        <f>+'01-FR-03 POA INSTITUCIONAL'!D33</f>
        <v>2.1.1 Realizar 16 informes en los cuales se evalúen las políticas ambientales, el manejo de recursos hídricos, protección y bienestar animal y desarrollo urbano en el Distrito Capital.</v>
      </c>
      <c r="E16" s="37">
        <f>+'01-FR-03 POA INSTITUCIONAL'!E33</f>
        <v>0.72727272727272696</v>
      </c>
      <c r="F16" s="160">
        <f>+'01-FR-03 POA INSTITUCIONAL'!F33</f>
        <v>16</v>
      </c>
      <c r="G16" s="160">
        <f>+'01-FR-03 POA INSTITUCIONAL'!L33</f>
        <v>7</v>
      </c>
      <c r="H16" s="129" t="str">
        <f>+'01-FR-03 POA INSTITUCIONAL'!G33</f>
        <v>S.I.</v>
      </c>
      <c r="I16" s="129" t="str">
        <f>+'01-FR-03 POA INSTITUCIONAL'!H33</f>
        <v>Informes realizados en temas específicos.</v>
      </c>
      <c r="J16" s="129" t="s">
        <v>661</v>
      </c>
      <c r="K16" s="240" t="s">
        <v>255</v>
      </c>
      <c r="L16" s="200" t="s">
        <v>739</v>
      </c>
      <c r="M16" s="200" t="s">
        <v>256</v>
      </c>
      <c r="N16" s="200" t="s">
        <v>257</v>
      </c>
      <c r="O16" s="241" t="str">
        <f>+'01-FR-03 POA INSTITUCIONAL'!J33</f>
        <v xml:space="preserve">Personería Delegada para la Coordinación de Prevención y Control a la Función Pública y sus Personerías Delegadas.
Personería Delegada para la Coordinación de Gestión de las Personerías Locales y sus Personerías Locales. </v>
      </c>
      <c r="P16" s="207">
        <v>0</v>
      </c>
      <c r="Q16" s="207"/>
      <c r="R16" s="207">
        <v>0</v>
      </c>
      <c r="S16" s="207"/>
      <c r="T16" s="207">
        <v>0</v>
      </c>
      <c r="U16" s="208"/>
      <c r="V16" s="27">
        <f>P16+R16+T16</f>
        <v>0</v>
      </c>
      <c r="W16" s="27">
        <f>Q16+S16+U16</f>
        <v>0</v>
      </c>
      <c r="X16" s="207">
        <v>0</v>
      </c>
      <c r="Y16" s="207"/>
      <c r="Z16" s="207">
        <v>1</v>
      </c>
      <c r="AA16" s="207"/>
      <c r="AB16" s="207">
        <v>1</v>
      </c>
      <c r="AC16" s="207"/>
      <c r="AD16" s="27">
        <f>X16+Z16+AB16</f>
        <v>2</v>
      </c>
      <c r="AE16" s="27">
        <f>Y16+AA16+AC16</f>
        <v>0</v>
      </c>
      <c r="AF16" s="207">
        <v>1</v>
      </c>
      <c r="AG16" s="207"/>
      <c r="AH16" s="207">
        <v>1</v>
      </c>
      <c r="AI16" s="207"/>
      <c r="AJ16" s="208">
        <v>1</v>
      </c>
      <c r="AK16" s="208"/>
      <c r="AL16" s="27">
        <f>AF16+AH16+AJ16</f>
        <v>3</v>
      </c>
      <c r="AM16" s="27">
        <f>AG16+AI16+AK16</f>
        <v>0</v>
      </c>
      <c r="AN16" s="207">
        <v>1</v>
      </c>
      <c r="AO16" s="207"/>
      <c r="AP16" s="207">
        <v>1</v>
      </c>
      <c r="AQ16" s="207"/>
      <c r="AR16" s="207">
        <v>0</v>
      </c>
      <c r="AS16" s="207"/>
      <c r="AT16" s="27">
        <f>AN16+AP16+AR16</f>
        <v>2</v>
      </c>
      <c r="AU16" s="27">
        <f>AO16+AQ16+AS16</f>
        <v>0</v>
      </c>
      <c r="AV16" s="14">
        <f>V16+AD16+AL16+AT16</f>
        <v>7</v>
      </c>
      <c r="AW16" s="66">
        <f>+W16</f>
        <v>0</v>
      </c>
      <c r="AX16" s="66">
        <f>+W16+AE16</f>
        <v>0</v>
      </c>
      <c r="AY16" s="66">
        <f>+W16+AE16+AM16</f>
        <v>0</v>
      </c>
      <c r="AZ16" s="66">
        <f>+W16+AE16+AM16+AU16</f>
        <v>0</v>
      </c>
      <c r="BA16" s="28">
        <f>IF(AND(AW16&gt;0,$AV16&gt;0),AW16/$AV16,0)</f>
        <v>0</v>
      </c>
      <c r="BB16" s="28">
        <f t="shared" ref="BB16:BD22" si="0">IF(AND(AX16&gt;0,$AV16&gt;0),AX16/$AV16,0)</f>
        <v>0</v>
      </c>
      <c r="BC16" s="28">
        <f t="shared" si="0"/>
        <v>0</v>
      </c>
      <c r="BD16" s="28">
        <f t="shared" si="0"/>
        <v>0</v>
      </c>
      <c r="BE16" s="28">
        <f t="shared" ref="BE16:BH22" si="1">(IF(AND(AW16&gt;0,$AV16&gt;0),AW16/$AV16,0))*$E16</f>
        <v>0</v>
      </c>
      <c r="BF16" s="28">
        <f t="shared" si="1"/>
        <v>0</v>
      </c>
      <c r="BG16" s="28">
        <f t="shared" si="1"/>
        <v>0</v>
      </c>
      <c r="BH16" s="28">
        <f t="shared" si="1"/>
        <v>0</v>
      </c>
      <c r="BI16" s="242"/>
    </row>
    <row r="17" spans="2:61" ht="135" customHeight="1">
      <c r="B17" s="501"/>
      <c r="C17" s="567"/>
      <c r="D17" s="19" t="str">
        <f>+'01-FR-03 POA INSTITUCIONAL'!D34</f>
        <v>2.1.2 Realizar 6 informes de seguimiento a los resultados de las acciones de prevención y control a la función pública en los cuales se evaluaron las políticas ambientales, el manejo de recursos hídricos, protección y bienestar animal y desarrollo urbano, en el Distrito Capital</v>
      </c>
      <c r="E17" s="37">
        <f>+'01-FR-03 POA INSTITUCIONAL'!E34</f>
        <v>0.27272727272727298</v>
      </c>
      <c r="F17" s="160">
        <f>+'01-FR-03 POA INSTITUCIONAL'!F34</f>
        <v>6</v>
      </c>
      <c r="G17" s="160">
        <f>+'01-FR-03 POA INSTITUCIONAL'!L34</f>
        <v>1</v>
      </c>
      <c r="H17" s="129" t="str">
        <f>+'01-FR-03 POA INSTITUCIONAL'!G34</f>
        <v>S.I.</v>
      </c>
      <c r="I17" s="129" t="str">
        <f>+'01-FR-03 POA INSTITUCIONAL'!H34</f>
        <v>Informes de seguimientos realizados en temas específicos.</v>
      </c>
      <c r="J17" s="129" t="s">
        <v>662</v>
      </c>
      <c r="K17" s="240" t="s">
        <v>258</v>
      </c>
      <c r="L17" s="200" t="s">
        <v>266</v>
      </c>
      <c r="M17" s="200" t="s">
        <v>256</v>
      </c>
      <c r="N17" s="200" t="s">
        <v>257</v>
      </c>
      <c r="O17" s="241" t="str">
        <f>+'01-FR-03 POA INSTITUCIONAL'!J34</f>
        <v xml:space="preserve">Personería Delegada para la Coordinación de Prevención y Control a la Función Pública y sus Personerías Delegadas.
Personería Delegada para la Coordinación de Gestión de las Personerías Locales y sus Personerías Locales. </v>
      </c>
      <c r="P17" s="207">
        <v>0</v>
      </c>
      <c r="Q17" s="207"/>
      <c r="R17" s="207">
        <v>0</v>
      </c>
      <c r="S17" s="207"/>
      <c r="T17" s="207">
        <v>0</v>
      </c>
      <c r="U17" s="208"/>
      <c r="V17" s="27">
        <f t="shared" ref="V17:W22" si="2">P17+R17+T17</f>
        <v>0</v>
      </c>
      <c r="W17" s="27">
        <f t="shared" si="2"/>
        <v>0</v>
      </c>
      <c r="X17" s="207">
        <v>0</v>
      </c>
      <c r="Y17" s="207"/>
      <c r="Z17" s="207">
        <v>0</v>
      </c>
      <c r="AA17" s="207"/>
      <c r="AB17" s="207">
        <v>0</v>
      </c>
      <c r="AC17" s="207"/>
      <c r="AD17" s="27">
        <f t="shared" ref="AD17:AE22" si="3">X17+Z17+AB17</f>
        <v>0</v>
      </c>
      <c r="AE17" s="27">
        <f t="shared" si="3"/>
        <v>0</v>
      </c>
      <c r="AF17" s="207">
        <v>1</v>
      </c>
      <c r="AG17" s="207"/>
      <c r="AH17" s="207">
        <v>0</v>
      </c>
      <c r="AI17" s="207"/>
      <c r="AJ17" s="208">
        <v>0</v>
      </c>
      <c r="AK17" s="208"/>
      <c r="AL17" s="27">
        <f t="shared" ref="AL17:AM22" si="4">AF17+AH17+AJ17</f>
        <v>1</v>
      </c>
      <c r="AM17" s="27">
        <f t="shared" si="4"/>
        <v>0</v>
      </c>
      <c r="AN17" s="207">
        <v>0</v>
      </c>
      <c r="AO17" s="207"/>
      <c r="AP17" s="207">
        <v>0</v>
      </c>
      <c r="AQ17" s="207"/>
      <c r="AR17" s="207">
        <v>0</v>
      </c>
      <c r="AS17" s="207"/>
      <c r="AT17" s="27">
        <f t="shared" ref="AT17:AU22" si="5">AN17+AP17+AR17</f>
        <v>0</v>
      </c>
      <c r="AU17" s="27">
        <f t="shared" si="5"/>
        <v>0</v>
      </c>
      <c r="AV17" s="14">
        <f t="shared" ref="AV17:AV22" si="6">V17+AD17+AL17+AT17</f>
        <v>1</v>
      </c>
      <c r="AW17" s="66">
        <f t="shared" ref="AW17:AW22" si="7">+W17</f>
        <v>0</v>
      </c>
      <c r="AX17" s="66">
        <f t="shared" ref="AX17:AX22" si="8">+W17+AE17</f>
        <v>0</v>
      </c>
      <c r="AY17" s="66">
        <f t="shared" ref="AY17:AY22" si="9">+W17+AE17+AM17</f>
        <v>0</v>
      </c>
      <c r="AZ17" s="66">
        <f t="shared" ref="AZ17:AZ22" si="10">+W17+AE17+AM17+AU17</f>
        <v>0</v>
      </c>
      <c r="BA17" s="28">
        <f>IF(AND(AW17&gt;0,AV17&gt;0),AW17/AV17,0)</f>
        <v>0</v>
      </c>
      <c r="BB17" s="28">
        <f t="shared" si="0"/>
        <v>0</v>
      </c>
      <c r="BC17" s="28">
        <f t="shared" si="0"/>
        <v>0</v>
      </c>
      <c r="BD17" s="28">
        <f t="shared" si="0"/>
        <v>0</v>
      </c>
      <c r="BE17" s="28">
        <f t="shared" si="1"/>
        <v>0</v>
      </c>
      <c r="BF17" s="28">
        <f t="shared" si="1"/>
        <v>0</v>
      </c>
      <c r="BG17" s="28">
        <f t="shared" si="1"/>
        <v>0</v>
      </c>
      <c r="BH17" s="28">
        <f t="shared" si="1"/>
        <v>0</v>
      </c>
      <c r="BI17" s="242"/>
    </row>
    <row r="18" spans="2:61" ht="126" customHeight="1">
      <c r="B18" s="501"/>
      <c r="C18" s="500" t="str">
        <f>+'01-FR-03 POA INSTITUCIONAL'!C35</f>
        <v>2.2. Fortalecer la moralidad publica realizando  952 acciones de prevención y control a la función pública.</v>
      </c>
      <c r="D18" s="19" t="str">
        <f>+'01-FR-03 POA INSTITUCIONAL'!D35</f>
        <v>2.2.1 Realizar 817 acciones de prevención y control a la función pública para fortalecer la moralidad pública.</v>
      </c>
      <c r="E18" s="37">
        <f>+'01-FR-03 POA INSTITUCIONAL'!E35</f>
        <v>0.89</v>
      </c>
      <c r="F18" s="160">
        <f>+'01-FR-03 POA INSTITUCIONAL'!F35</f>
        <v>817</v>
      </c>
      <c r="G18" s="160">
        <f>+'01-FR-03 POA INSTITUCIONAL'!L35</f>
        <v>286</v>
      </c>
      <c r="H18" s="129" t="str">
        <f>+'01-FR-03 POA INSTITUCIONAL'!G35</f>
        <v>S.I.</v>
      </c>
      <c r="I18" s="129" t="str">
        <f>+'01-FR-03 POA INSTITUCIONAL'!H35</f>
        <v>Acciones de Prevención y Control a la Función Pública realizadas, con informe.</v>
      </c>
      <c r="J18" s="129" t="s">
        <v>663</v>
      </c>
      <c r="K18" s="240" t="s">
        <v>259</v>
      </c>
      <c r="L18" s="200" t="s">
        <v>728</v>
      </c>
      <c r="M18" s="200" t="s">
        <v>256</v>
      </c>
      <c r="N18" s="200" t="s">
        <v>257</v>
      </c>
      <c r="O18" s="241" t="str">
        <f>+'01-FR-03 POA INSTITUCIONAL'!J35</f>
        <v xml:space="preserve">Personería Delegada para la Coordinación de Prevención y Control a la Función Pública y sus Personerías Delegadas.
Personería Delegada para la Coordinación de Gestión de las Personerías Locales y sus Personerías Locales. </v>
      </c>
      <c r="P18" s="344">
        <v>0</v>
      </c>
      <c r="Q18" s="344"/>
      <c r="R18" s="344">
        <f>0+20</f>
        <v>20</v>
      </c>
      <c r="S18" s="344"/>
      <c r="T18" s="344">
        <f>1+20</f>
        <v>21</v>
      </c>
      <c r="U18" s="344"/>
      <c r="V18" s="27">
        <f t="shared" si="2"/>
        <v>41</v>
      </c>
      <c r="W18" s="27">
        <f t="shared" si="2"/>
        <v>0</v>
      </c>
      <c r="X18" s="344">
        <f>8+20</f>
        <v>28</v>
      </c>
      <c r="Y18" s="344"/>
      <c r="Z18" s="344">
        <f>12+20</f>
        <v>32</v>
      </c>
      <c r="AA18" s="344"/>
      <c r="AB18" s="344">
        <f>17+0</f>
        <v>17</v>
      </c>
      <c r="AC18" s="344"/>
      <c r="AD18" s="27">
        <f t="shared" si="3"/>
        <v>77</v>
      </c>
      <c r="AE18" s="27">
        <f t="shared" si="3"/>
        <v>0</v>
      </c>
      <c r="AF18" s="344">
        <f>18+20</f>
        <v>38</v>
      </c>
      <c r="AG18" s="344"/>
      <c r="AH18" s="344">
        <f>18+20</f>
        <v>38</v>
      </c>
      <c r="AI18" s="344"/>
      <c r="AJ18" s="344">
        <f>18+20</f>
        <v>38</v>
      </c>
      <c r="AK18" s="344"/>
      <c r="AL18" s="27">
        <f t="shared" si="4"/>
        <v>114</v>
      </c>
      <c r="AM18" s="27">
        <f t="shared" si="4"/>
        <v>0</v>
      </c>
      <c r="AN18" s="344">
        <f>18+20</f>
        <v>38</v>
      </c>
      <c r="AO18" s="344"/>
      <c r="AP18" s="344">
        <f>16+0</f>
        <v>16</v>
      </c>
      <c r="AQ18" s="344"/>
      <c r="AR18" s="344">
        <v>0</v>
      </c>
      <c r="AS18" s="344"/>
      <c r="AT18" s="27">
        <f t="shared" si="5"/>
        <v>54</v>
      </c>
      <c r="AU18" s="27">
        <f t="shared" si="5"/>
        <v>0</v>
      </c>
      <c r="AV18" s="14">
        <f t="shared" si="6"/>
        <v>286</v>
      </c>
      <c r="AW18" s="66">
        <f t="shared" si="7"/>
        <v>0</v>
      </c>
      <c r="AX18" s="66">
        <f t="shared" si="8"/>
        <v>0</v>
      </c>
      <c r="AY18" s="66">
        <f t="shared" si="9"/>
        <v>0</v>
      </c>
      <c r="AZ18" s="66">
        <f t="shared" si="10"/>
        <v>0</v>
      </c>
      <c r="BA18" s="28">
        <f t="shared" ref="BA18:BA22" si="11">IF(AND(AW18&gt;0,AV18&gt;0),AW18/AV18,0)</f>
        <v>0</v>
      </c>
      <c r="BB18" s="28">
        <f t="shared" si="0"/>
        <v>0</v>
      </c>
      <c r="BC18" s="28">
        <f t="shared" si="0"/>
        <v>0</v>
      </c>
      <c r="BD18" s="28">
        <f t="shared" si="0"/>
        <v>0</v>
      </c>
      <c r="BE18" s="28">
        <f t="shared" si="1"/>
        <v>0</v>
      </c>
      <c r="BF18" s="28">
        <f t="shared" si="1"/>
        <v>0</v>
      </c>
      <c r="BG18" s="28">
        <f t="shared" si="1"/>
        <v>0</v>
      </c>
      <c r="BH18" s="28">
        <f t="shared" si="1"/>
        <v>0</v>
      </c>
      <c r="BI18" s="242"/>
    </row>
    <row r="19" spans="2:61" ht="97.8" customHeight="1">
      <c r="B19" s="501"/>
      <c r="C19" s="567"/>
      <c r="D19" s="19" t="str">
        <f>+'01-FR-03 POA INSTITUCIONAL'!D36</f>
        <v>2.2.2 Realizar 135 acciones de prevención y control a la función pública - seguimientos, para fortalecer la moralidad pública en el Distrito Capital.</v>
      </c>
      <c r="E19" s="37">
        <f>+'01-FR-03 POA INSTITUCIONAL'!E36</f>
        <v>0.11</v>
      </c>
      <c r="F19" s="160">
        <f>+'01-FR-03 POA INSTITUCIONAL'!F36</f>
        <v>135</v>
      </c>
      <c r="G19" s="160">
        <f>+'01-FR-03 POA INSTITUCIONAL'!L36</f>
        <v>67</v>
      </c>
      <c r="H19" s="129" t="str">
        <f>+'01-FR-03 POA INSTITUCIONAL'!G36</f>
        <v>S.I.</v>
      </c>
      <c r="I19" s="129" t="str">
        <f>+'01-FR-03 POA INSTITUCIONAL'!H36</f>
        <v>Seguimientos realizados sobre acciones previas, con informe</v>
      </c>
      <c r="J19" s="129" t="s">
        <v>664</v>
      </c>
      <c r="K19" s="240" t="s">
        <v>260</v>
      </c>
      <c r="L19" s="200" t="s">
        <v>729</v>
      </c>
      <c r="M19" s="200" t="s">
        <v>256</v>
      </c>
      <c r="N19" s="200" t="s">
        <v>257</v>
      </c>
      <c r="O19" s="241" t="str">
        <f>+'01-FR-03 POA INSTITUCIONAL'!J36</f>
        <v xml:space="preserve">Personería Delegada para la Coordinación de Prevención y Control a la Función Pública y sus Personerías Delegadas.
Personería Delegada para la Coordinación de Gestión de las Personerías Locales y sus Personerías Locales. </v>
      </c>
      <c r="P19" s="344">
        <f>0+0</f>
        <v>0</v>
      </c>
      <c r="Q19" s="344"/>
      <c r="R19" s="344">
        <f>0+0</f>
        <v>0</v>
      </c>
      <c r="S19" s="344"/>
      <c r="T19" s="344">
        <f>1+0</f>
        <v>1</v>
      </c>
      <c r="U19" s="344"/>
      <c r="V19" s="27">
        <f t="shared" si="2"/>
        <v>1</v>
      </c>
      <c r="W19" s="27">
        <f t="shared" si="2"/>
        <v>0</v>
      </c>
      <c r="X19" s="344">
        <f>3+0</f>
        <v>3</v>
      </c>
      <c r="Y19" s="344"/>
      <c r="Z19" s="344">
        <f>9+0</f>
        <v>9</v>
      </c>
      <c r="AA19" s="344"/>
      <c r="AB19" s="344">
        <f>8+0</f>
        <v>8</v>
      </c>
      <c r="AC19" s="344"/>
      <c r="AD19" s="27">
        <f t="shared" si="3"/>
        <v>20</v>
      </c>
      <c r="AE19" s="27">
        <f t="shared" si="3"/>
        <v>0</v>
      </c>
      <c r="AF19" s="344">
        <f>4+20</f>
        <v>24</v>
      </c>
      <c r="AG19" s="344"/>
      <c r="AH19" s="344">
        <f>1+0</f>
        <v>1</v>
      </c>
      <c r="AI19" s="344"/>
      <c r="AJ19" s="344">
        <f>1+20</f>
        <v>21</v>
      </c>
      <c r="AK19" s="344"/>
      <c r="AL19" s="27">
        <f t="shared" si="4"/>
        <v>46</v>
      </c>
      <c r="AM19" s="27">
        <f t="shared" si="4"/>
        <v>0</v>
      </c>
      <c r="AN19" s="344">
        <f>0+0</f>
        <v>0</v>
      </c>
      <c r="AO19" s="344"/>
      <c r="AP19" s="344">
        <f>0+0</f>
        <v>0</v>
      </c>
      <c r="AQ19" s="344"/>
      <c r="AR19" s="344">
        <f>0+0</f>
        <v>0</v>
      </c>
      <c r="AS19" s="344"/>
      <c r="AT19" s="27">
        <f t="shared" si="5"/>
        <v>0</v>
      </c>
      <c r="AU19" s="27">
        <f t="shared" si="5"/>
        <v>0</v>
      </c>
      <c r="AV19" s="14">
        <f t="shared" si="6"/>
        <v>67</v>
      </c>
      <c r="AW19" s="66">
        <f t="shared" si="7"/>
        <v>0</v>
      </c>
      <c r="AX19" s="66">
        <f t="shared" si="8"/>
        <v>0</v>
      </c>
      <c r="AY19" s="66">
        <f t="shared" si="9"/>
        <v>0</v>
      </c>
      <c r="AZ19" s="66">
        <f t="shared" si="10"/>
        <v>0</v>
      </c>
      <c r="BA19" s="28">
        <f t="shared" si="11"/>
        <v>0</v>
      </c>
      <c r="BB19" s="28">
        <f t="shared" si="0"/>
        <v>0</v>
      </c>
      <c r="BC19" s="28">
        <f t="shared" si="0"/>
        <v>0</v>
      </c>
      <c r="BD19" s="28">
        <f t="shared" si="0"/>
        <v>0</v>
      </c>
      <c r="BE19" s="28">
        <f t="shared" si="1"/>
        <v>0</v>
      </c>
      <c r="BF19" s="28">
        <f t="shared" si="1"/>
        <v>0</v>
      </c>
      <c r="BG19" s="28">
        <f t="shared" si="1"/>
        <v>0</v>
      </c>
      <c r="BH19" s="28">
        <f t="shared" si="1"/>
        <v>0</v>
      </c>
      <c r="BI19" s="242"/>
    </row>
    <row r="20" spans="2:61" ht="322.5" customHeight="1">
      <c r="B20" s="501"/>
      <c r="C20" s="500" t="str">
        <f>+'01-FR-03 POA INSTITUCIONAL'!C37</f>
        <v>2.3. Fortalecer 320 espacios de participación ciudadana en la Personería de Bogotá</v>
      </c>
      <c r="D20" s="19" t="str">
        <f>+'01-FR-03 POA INSTITUCIONAL'!D37</f>
        <v>2.3.1 Realizar 60 audiencias públicas y/o mesas de trabajo, las cuales permitan la participación ciudadana, con énfasis en los Derechos e intereses colectivos.</v>
      </c>
      <c r="E20" s="37">
        <f>+'01-FR-03 POA INSTITUCIONAL'!E37</f>
        <v>0.2</v>
      </c>
      <c r="F20" s="160">
        <f>+'01-FR-03 POA INSTITUCIONAL'!F37</f>
        <v>60</v>
      </c>
      <c r="G20" s="160">
        <f>+'01-FR-03 POA INSTITUCIONAL'!L37</f>
        <v>21</v>
      </c>
      <c r="H20" s="129">
        <f>+'01-FR-03 POA INSTITUCIONAL'!G37</f>
        <v>75</v>
      </c>
      <c r="I20" s="129" t="str">
        <f>+'01-FR-03 POA INSTITUCIONAL'!H37</f>
        <v>Audiencias públicas y/o mesas de trabajo realizadas.</v>
      </c>
      <c r="J20" s="129" t="s">
        <v>261</v>
      </c>
      <c r="K20" s="240" t="s">
        <v>262</v>
      </c>
      <c r="L20" s="200" t="s">
        <v>740</v>
      </c>
      <c r="M20" s="200" t="s">
        <v>256</v>
      </c>
      <c r="N20" s="200" t="s">
        <v>257</v>
      </c>
      <c r="O20" s="241" t="str">
        <f>+'01-FR-03 POA INSTITUCIONAL'!J37</f>
        <v>Personería Delegada para la Coordinación de Prevención y Control a la Función Pública y sus Personerías Delegadas.</v>
      </c>
      <c r="P20" s="207">
        <v>0</v>
      </c>
      <c r="Q20" s="207"/>
      <c r="R20" s="207">
        <v>0</v>
      </c>
      <c r="S20" s="207"/>
      <c r="T20" s="207">
        <v>2</v>
      </c>
      <c r="U20" s="208"/>
      <c r="V20" s="27">
        <f t="shared" si="2"/>
        <v>2</v>
      </c>
      <c r="W20" s="27"/>
      <c r="X20" s="207">
        <v>2</v>
      </c>
      <c r="Y20" s="207"/>
      <c r="Z20" s="207">
        <v>2</v>
      </c>
      <c r="AA20" s="207"/>
      <c r="AB20" s="207">
        <v>2</v>
      </c>
      <c r="AC20" s="207"/>
      <c r="AD20" s="27">
        <f t="shared" si="3"/>
        <v>6</v>
      </c>
      <c r="AE20" s="27"/>
      <c r="AF20" s="207">
        <v>2</v>
      </c>
      <c r="AG20" s="207"/>
      <c r="AH20" s="207">
        <v>2</v>
      </c>
      <c r="AI20" s="207"/>
      <c r="AJ20" s="208">
        <v>2</v>
      </c>
      <c r="AK20" s="208"/>
      <c r="AL20" s="27">
        <f t="shared" si="4"/>
        <v>6</v>
      </c>
      <c r="AM20" s="27"/>
      <c r="AN20" s="207">
        <v>3</v>
      </c>
      <c r="AO20" s="207"/>
      <c r="AP20" s="207">
        <v>3</v>
      </c>
      <c r="AQ20" s="207"/>
      <c r="AR20" s="207">
        <v>1</v>
      </c>
      <c r="AS20" s="207"/>
      <c r="AT20" s="27">
        <f t="shared" si="5"/>
        <v>7</v>
      </c>
      <c r="AU20" s="27">
        <f t="shared" si="5"/>
        <v>0</v>
      </c>
      <c r="AV20" s="14">
        <f t="shared" si="6"/>
        <v>21</v>
      </c>
      <c r="AW20" s="66">
        <f t="shared" si="7"/>
        <v>0</v>
      </c>
      <c r="AX20" s="66">
        <f t="shared" si="8"/>
        <v>0</v>
      </c>
      <c r="AY20" s="66">
        <f t="shared" si="9"/>
        <v>0</v>
      </c>
      <c r="AZ20" s="66">
        <f t="shared" si="10"/>
        <v>0</v>
      </c>
      <c r="BA20" s="28">
        <f t="shared" si="11"/>
        <v>0</v>
      </c>
      <c r="BB20" s="28">
        <f t="shared" si="0"/>
        <v>0</v>
      </c>
      <c r="BC20" s="28">
        <f t="shared" si="0"/>
        <v>0</v>
      </c>
      <c r="BD20" s="28">
        <f t="shared" si="0"/>
        <v>0</v>
      </c>
      <c r="BE20" s="28">
        <f t="shared" si="1"/>
        <v>0</v>
      </c>
      <c r="BF20" s="28">
        <f t="shared" si="1"/>
        <v>0</v>
      </c>
      <c r="BG20" s="28">
        <f t="shared" si="1"/>
        <v>0</v>
      </c>
      <c r="BH20" s="28">
        <f t="shared" si="1"/>
        <v>0</v>
      </c>
      <c r="BI20" s="242"/>
    </row>
    <row r="21" spans="2:61" ht="171" customHeight="1">
      <c r="B21" s="501"/>
      <c r="C21" s="501"/>
      <c r="D21" s="19" t="str">
        <f>+'01-FR-03 POA INSTITUCIONAL'!D38</f>
        <v>2.3.2 Realizar 160 acompañamientos a los ciudadanos que intervienen en los diferentes espacios de participación ciudadana.</v>
      </c>
      <c r="E21" s="37">
        <f>+'01-FR-03 POA INSTITUCIONAL'!E38</f>
        <v>0.46700000000000003</v>
      </c>
      <c r="F21" s="160">
        <f>+'01-FR-03 POA INSTITUCIONAL'!F38</f>
        <v>160</v>
      </c>
      <c r="G21" s="160">
        <f>+'01-FR-03 POA INSTITUCIONAL'!L38</f>
        <v>60</v>
      </c>
      <c r="H21" s="129" t="str">
        <f>+'01-FR-03 POA INSTITUCIONAL'!G38</f>
        <v>S.I.</v>
      </c>
      <c r="I21" s="129" t="str">
        <f>+'01-FR-03 POA INSTITUCIONAL'!H38</f>
        <v>Acompañamientos a los ciudadanos realizados.</v>
      </c>
      <c r="J21" s="129" t="s">
        <v>263</v>
      </c>
      <c r="K21" s="240" t="s">
        <v>264</v>
      </c>
      <c r="L21" s="200" t="s">
        <v>741</v>
      </c>
      <c r="M21" s="200" t="s">
        <v>256</v>
      </c>
      <c r="N21" s="200" t="s">
        <v>257</v>
      </c>
      <c r="O21" s="241" t="str">
        <f>+'01-FR-03 POA INSTITUCIONAL'!J38</f>
        <v xml:space="preserve">Personería Delegada para la Coordinación de Gestión de las Personerías Locales y sus Personerías Locales. </v>
      </c>
      <c r="P21" s="207">
        <v>0</v>
      </c>
      <c r="Q21" s="207"/>
      <c r="R21" s="207">
        <f>0+6</f>
        <v>6</v>
      </c>
      <c r="S21" s="207"/>
      <c r="T21" s="207">
        <f>0+6</f>
        <v>6</v>
      </c>
      <c r="U21" s="208"/>
      <c r="V21" s="27">
        <f t="shared" si="2"/>
        <v>12</v>
      </c>
      <c r="W21" s="27"/>
      <c r="X21" s="207">
        <f>0+6</f>
        <v>6</v>
      </c>
      <c r="Y21" s="207"/>
      <c r="Z21" s="207">
        <f>0+6</f>
        <v>6</v>
      </c>
      <c r="AA21" s="207"/>
      <c r="AB21" s="207">
        <f>0+6</f>
        <v>6</v>
      </c>
      <c r="AC21" s="207"/>
      <c r="AD21" s="27">
        <f t="shared" si="3"/>
        <v>18</v>
      </c>
      <c r="AE21" s="27"/>
      <c r="AF21" s="207">
        <f>0+6</f>
        <v>6</v>
      </c>
      <c r="AG21" s="207"/>
      <c r="AH21" s="207">
        <f>0+6</f>
        <v>6</v>
      </c>
      <c r="AI21" s="207"/>
      <c r="AJ21" s="207">
        <f>0+6</f>
        <v>6</v>
      </c>
      <c r="AK21" s="208"/>
      <c r="AL21" s="27">
        <f t="shared" si="4"/>
        <v>18</v>
      </c>
      <c r="AM21" s="27"/>
      <c r="AN21" s="207">
        <f>0+6</f>
        <v>6</v>
      </c>
      <c r="AO21" s="207"/>
      <c r="AP21" s="207">
        <f>0+6</f>
        <v>6</v>
      </c>
      <c r="AQ21" s="207"/>
      <c r="AR21" s="207">
        <v>0</v>
      </c>
      <c r="AS21" s="207"/>
      <c r="AT21" s="27">
        <f t="shared" si="5"/>
        <v>12</v>
      </c>
      <c r="AU21" s="27">
        <f t="shared" si="5"/>
        <v>0</v>
      </c>
      <c r="AV21" s="14">
        <f t="shared" si="6"/>
        <v>60</v>
      </c>
      <c r="AW21" s="66">
        <f t="shared" si="7"/>
        <v>0</v>
      </c>
      <c r="AX21" s="66">
        <f t="shared" si="8"/>
        <v>0</v>
      </c>
      <c r="AY21" s="66">
        <f t="shared" si="9"/>
        <v>0</v>
      </c>
      <c r="AZ21" s="66">
        <f t="shared" si="10"/>
        <v>0</v>
      </c>
      <c r="BA21" s="28">
        <f t="shared" si="11"/>
        <v>0</v>
      </c>
      <c r="BB21" s="28">
        <f t="shared" si="0"/>
        <v>0</v>
      </c>
      <c r="BC21" s="28">
        <f t="shared" si="0"/>
        <v>0</v>
      </c>
      <c r="BD21" s="28">
        <f t="shared" si="0"/>
        <v>0</v>
      </c>
      <c r="BE21" s="28">
        <f t="shared" si="1"/>
        <v>0</v>
      </c>
      <c r="BF21" s="28">
        <f t="shared" si="1"/>
        <v>0</v>
      </c>
      <c r="BG21" s="28">
        <f t="shared" si="1"/>
        <v>0</v>
      </c>
      <c r="BH21" s="28">
        <f t="shared" si="1"/>
        <v>0</v>
      </c>
      <c r="BI21" s="242"/>
    </row>
    <row r="22" spans="2:61" ht="177" customHeight="1">
      <c r="B22" s="567"/>
      <c r="C22" s="567"/>
      <c r="D22" s="19" t="str">
        <f>+'01-FR-03 POA INSTITUCIONAL'!D39</f>
        <v>2.3.3 Realizar 100 espacios de diálogo con las personas para retroalimentar las actividades de participación ciudadana</v>
      </c>
      <c r="E22" s="37">
        <f>+'01-FR-03 POA INSTITUCIONAL'!E39</f>
        <v>0.33300000000000002</v>
      </c>
      <c r="F22" s="160">
        <f>+'01-FR-03 POA INSTITUCIONAL'!F39</f>
        <v>100</v>
      </c>
      <c r="G22" s="160">
        <f>+'01-FR-03 POA INSTITUCIONAL'!L39</f>
        <v>30</v>
      </c>
      <c r="H22" s="129" t="str">
        <f>+'01-FR-03 POA INSTITUCIONAL'!G39</f>
        <v>S.I.</v>
      </c>
      <c r="I22" s="129" t="str">
        <f>+'01-FR-03 POA INSTITUCIONAL'!H39</f>
        <v>Espacios de dialogo realizados.</v>
      </c>
      <c r="J22" s="129" t="s">
        <v>665</v>
      </c>
      <c r="K22" s="240" t="s">
        <v>265</v>
      </c>
      <c r="L22" s="200" t="s">
        <v>742</v>
      </c>
      <c r="M22" s="200" t="s">
        <v>256</v>
      </c>
      <c r="N22" s="200" t="s">
        <v>257</v>
      </c>
      <c r="O22" s="241" t="str">
        <f>+'01-FR-03 POA INSTITUCIONAL'!J39</f>
        <v>Personería Delegada para la Coordinación de Gestión de las Personerías Locales y sus Personerías Locales. 
Personería Delegada para la Coordinación de Prevención y Control a la Función Pública y sus Personerías Delegadas.</v>
      </c>
      <c r="P22" s="207">
        <v>0</v>
      </c>
      <c r="Q22" s="207"/>
      <c r="R22" s="207">
        <v>3</v>
      </c>
      <c r="S22" s="207"/>
      <c r="T22" s="207">
        <v>3</v>
      </c>
      <c r="U22" s="208"/>
      <c r="V22" s="27">
        <f t="shared" si="2"/>
        <v>6</v>
      </c>
      <c r="W22" s="27">
        <f t="shared" si="2"/>
        <v>0</v>
      </c>
      <c r="X22" s="207">
        <v>3</v>
      </c>
      <c r="Y22" s="207"/>
      <c r="Z22" s="207">
        <v>3</v>
      </c>
      <c r="AA22" s="207"/>
      <c r="AB22" s="207">
        <v>3</v>
      </c>
      <c r="AC22" s="207"/>
      <c r="AD22" s="27">
        <f t="shared" si="3"/>
        <v>9</v>
      </c>
      <c r="AE22" s="27">
        <f t="shared" si="3"/>
        <v>0</v>
      </c>
      <c r="AF22" s="207">
        <v>3</v>
      </c>
      <c r="AG22" s="207"/>
      <c r="AH22" s="207">
        <v>3</v>
      </c>
      <c r="AI22" s="207"/>
      <c r="AJ22" s="208">
        <v>3</v>
      </c>
      <c r="AK22" s="208"/>
      <c r="AL22" s="27">
        <f t="shared" si="4"/>
        <v>9</v>
      </c>
      <c r="AM22" s="27">
        <f t="shared" si="4"/>
        <v>0</v>
      </c>
      <c r="AN22" s="207">
        <v>3</v>
      </c>
      <c r="AO22" s="207"/>
      <c r="AP22" s="207">
        <v>3</v>
      </c>
      <c r="AQ22" s="207"/>
      <c r="AR22" s="207">
        <v>0</v>
      </c>
      <c r="AS22" s="207"/>
      <c r="AT22" s="27">
        <f t="shared" si="5"/>
        <v>6</v>
      </c>
      <c r="AU22" s="27">
        <f t="shared" si="5"/>
        <v>0</v>
      </c>
      <c r="AV22" s="14">
        <f t="shared" si="6"/>
        <v>30</v>
      </c>
      <c r="AW22" s="66">
        <f t="shared" si="7"/>
        <v>0</v>
      </c>
      <c r="AX22" s="66">
        <f t="shared" si="8"/>
        <v>0</v>
      </c>
      <c r="AY22" s="66">
        <f t="shared" si="9"/>
        <v>0</v>
      </c>
      <c r="AZ22" s="66">
        <f t="shared" si="10"/>
        <v>0</v>
      </c>
      <c r="BA22" s="28">
        <f t="shared" si="11"/>
        <v>0</v>
      </c>
      <c r="BB22" s="28">
        <f t="shared" si="0"/>
        <v>0</v>
      </c>
      <c r="BC22" s="28">
        <f t="shared" si="0"/>
        <v>0</v>
      </c>
      <c r="BD22" s="28">
        <f t="shared" si="0"/>
        <v>0</v>
      </c>
      <c r="BE22" s="28">
        <f t="shared" si="1"/>
        <v>0</v>
      </c>
      <c r="BF22" s="28">
        <f t="shared" si="1"/>
        <v>0</v>
      </c>
      <c r="BG22" s="28">
        <f t="shared" si="1"/>
        <v>0</v>
      </c>
      <c r="BH22" s="28">
        <f t="shared" si="1"/>
        <v>0</v>
      </c>
      <c r="BI22" s="242"/>
    </row>
    <row r="23" spans="2:61" ht="22.8">
      <c r="B23" s="496"/>
      <c r="C23" s="497"/>
      <c r="D23" s="497"/>
      <c r="E23" s="497"/>
      <c r="F23" s="497"/>
      <c r="G23" s="497"/>
      <c r="H23" s="497"/>
      <c r="I23" s="497"/>
      <c r="J23" s="497"/>
      <c r="K23" s="497"/>
      <c r="L23" s="497"/>
      <c r="M23" s="497"/>
      <c r="N23" s="497"/>
      <c r="O23" s="497"/>
      <c r="P23" s="497"/>
      <c r="Q23" s="497"/>
      <c r="R23" s="497"/>
      <c r="S23" s="497"/>
      <c r="T23" s="497"/>
      <c r="U23" s="497"/>
      <c r="V23" s="497"/>
      <c r="W23" s="497"/>
      <c r="X23" s="497"/>
      <c r="Y23" s="497"/>
      <c r="Z23" s="497"/>
      <c r="AA23" s="497"/>
      <c r="AB23" s="497"/>
      <c r="AC23" s="497"/>
      <c r="AD23" s="497"/>
      <c r="AE23" s="497"/>
      <c r="AF23" s="497"/>
      <c r="AG23" s="497"/>
      <c r="AH23" s="497"/>
      <c r="AI23" s="497"/>
      <c r="AJ23" s="497"/>
      <c r="AK23" s="497"/>
      <c r="AL23" s="497"/>
      <c r="AM23" s="497"/>
      <c r="AN23" s="497"/>
      <c r="AO23" s="497"/>
      <c r="AP23" s="497"/>
      <c r="AQ23" s="497"/>
      <c r="AR23" s="497"/>
      <c r="AS23" s="497"/>
      <c r="AT23" s="497"/>
      <c r="AU23" s="497"/>
      <c r="AV23" s="497"/>
      <c r="AW23" s="548"/>
      <c r="AX23" s="518" t="s">
        <v>19</v>
      </c>
      <c r="AY23" s="570"/>
      <c r="AZ23" s="570"/>
      <c r="BA23" s="56">
        <f t="shared" ref="BA23:BH23" si="12">AVERAGE(BA16:BA22)</f>
        <v>0</v>
      </c>
      <c r="BB23" s="56">
        <f t="shared" si="12"/>
        <v>0</v>
      </c>
      <c r="BC23" s="56">
        <f t="shared" si="12"/>
        <v>0</v>
      </c>
      <c r="BD23" s="56">
        <f t="shared" si="12"/>
        <v>0</v>
      </c>
      <c r="BE23" s="56">
        <f t="shared" si="12"/>
        <v>0</v>
      </c>
      <c r="BF23" s="56">
        <f t="shared" si="12"/>
        <v>0</v>
      </c>
      <c r="BG23" s="56">
        <f t="shared" si="12"/>
        <v>0</v>
      </c>
      <c r="BH23" s="56">
        <f t="shared" si="12"/>
        <v>0</v>
      </c>
    </row>
    <row r="24" spans="2:61">
      <c r="B24" s="453"/>
      <c r="C24" s="453"/>
      <c r="D24" s="453"/>
      <c r="E24" s="453"/>
      <c r="F24" s="453"/>
      <c r="G24" s="453"/>
      <c r="H24" s="223"/>
      <c r="I24" s="224"/>
      <c r="J24" s="224"/>
      <c r="K24" s="224"/>
      <c r="L24" s="224"/>
      <c r="M24" s="224"/>
      <c r="N24" s="224"/>
      <c r="O24" s="224"/>
    </row>
    <row r="25" spans="2:61">
      <c r="B25" s="224"/>
      <c r="C25" s="224"/>
      <c r="D25" s="549"/>
      <c r="E25" s="549"/>
      <c r="F25" s="549"/>
      <c r="G25" s="549"/>
      <c r="H25" s="549"/>
      <c r="I25" s="549"/>
      <c r="J25" s="549"/>
      <c r="K25" s="549"/>
      <c r="L25" s="549"/>
      <c r="M25" s="549"/>
      <c r="N25" s="549"/>
      <c r="O25" s="549"/>
    </row>
    <row r="26" spans="2:61" ht="38.25" customHeight="1">
      <c r="B26" s="63" t="s">
        <v>26</v>
      </c>
      <c r="C26" s="225">
        <v>44223</v>
      </c>
      <c r="D26" s="226"/>
      <c r="E26" s="558" t="s">
        <v>50</v>
      </c>
      <c r="F26" s="550" t="s">
        <v>785</v>
      </c>
      <c r="G26" s="551"/>
      <c r="H26" s="551"/>
      <c r="I26" s="551"/>
      <c r="J26" s="552"/>
      <c r="K26" s="227"/>
      <c r="L26" s="559"/>
      <c r="M26" s="559"/>
      <c r="N26" s="559"/>
      <c r="O26" s="560"/>
    </row>
    <row r="27" spans="2:61" ht="32.25" customHeight="1">
      <c r="B27" s="224"/>
      <c r="C27" s="224"/>
      <c r="D27" s="227"/>
      <c r="E27" s="558"/>
      <c r="F27" s="553"/>
      <c r="G27" s="554"/>
      <c r="H27" s="554"/>
      <c r="I27" s="554"/>
      <c r="J27" s="555"/>
      <c r="K27" s="224"/>
      <c r="L27" s="224"/>
      <c r="M27" s="224"/>
      <c r="N27" s="224"/>
      <c r="O27" s="224"/>
    </row>
    <row r="28" spans="2:61" ht="31.5" customHeight="1">
      <c r="B28" s="63" t="s">
        <v>49</v>
      </c>
      <c r="C28" s="225">
        <v>44470</v>
      </c>
      <c r="D28" s="224"/>
      <c r="E28" s="224"/>
      <c r="F28" s="224"/>
      <c r="K28" s="224"/>
      <c r="L28" s="224"/>
      <c r="M28" s="224"/>
      <c r="N28" s="224"/>
      <c r="O28" s="224"/>
    </row>
    <row r="29" spans="2:61">
      <c r="B29" s="224"/>
      <c r="C29" s="224"/>
      <c r="D29" s="224"/>
      <c r="E29" s="224"/>
      <c r="F29" s="224"/>
      <c r="K29" s="224"/>
      <c r="L29" s="224"/>
      <c r="M29" s="224"/>
      <c r="N29" s="224"/>
      <c r="O29" s="224"/>
    </row>
    <row r="30" spans="2:61" ht="24.6" customHeight="1">
      <c r="B30" s="63" t="s">
        <v>49</v>
      </c>
      <c r="C30" s="225">
        <v>44581</v>
      </c>
      <c r="D30" s="224"/>
      <c r="E30" s="224"/>
      <c r="F30" s="224"/>
      <c r="K30" s="224"/>
      <c r="L30" s="224"/>
      <c r="M30" s="224"/>
      <c r="N30" s="224"/>
      <c r="O30" s="224"/>
    </row>
    <row r="31" spans="2:61">
      <c r="B31" s="224"/>
      <c r="C31" s="224"/>
      <c r="D31" s="224"/>
      <c r="E31" s="224"/>
      <c r="F31" s="224"/>
      <c r="K31" s="224"/>
      <c r="L31" s="224"/>
      <c r="M31" s="224"/>
      <c r="N31" s="224"/>
      <c r="O31" s="224"/>
    </row>
    <row r="32" spans="2:61" ht="15" customHeight="1">
      <c r="B32" s="189" t="s">
        <v>673</v>
      </c>
      <c r="C32" s="224"/>
      <c r="D32" s="224"/>
      <c r="E32" s="224"/>
      <c r="F32" s="224"/>
      <c r="G32" s="223"/>
      <c r="H32" s="223"/>
      <c r="I32" s="575"/>
      <c r="J32" s="575"/>
      <c r="K32" s="575"/>
      <c r="L32" s="575"/>
      <c r="M32" s="228"/>
      <c r="N32" s="228"/>
      <c r="O32" s="228"/>
    </row>
    <row r="33" spans="2:15" ht="15" customHeight="1">
      <c r="B33" s="224"/>
      <c r="C33" s="224"/>
      <c r="D33" s="224"/>
      <c r="E33" s="224"/>
      <c r="F33" s="224"/>
      <c r="G33" s="223"/>
      <c r="H33" s="223"/>
      <c r="I33" s="224"/>
      <c r="J33" s="224"/>
      <c r="K33" s="229"/>
      <c r="L33" s="224"/>
      <c r="M33" s="224"/>
      <c r="N33" s="224"/>
      <c r="O33" s="224"/>
    </row>
    <row r="34" spans="2:15" ht="15" customHeight="1">
      <c r="B34" s="224"/>
      <c r="C34" s="224"/>
      <c r="D34" s="224"/>
      <c r="E34" s="224"/>
      <c r="F34" s="224"/>
      <c r="G34" s="223"/>
      <c r="H34" s="223"/>
      <c r="I34" s="575"/>
      <c r="J34" s="575"/>
      <c r="K34" s="575"/>
      <c r="L34" s="575"/>
      <c r="M34" s="228"/>
      <c r="N34" s="228"/>
      <c r="O34" s="228"/>
    </row>
    <row r="35" spans="2:15" ht="15" customHeight="1">
      <c r="B35" s="224"/>
      <c r="C35" s="224"/>
      <c r="D35" s="224"/>
      <c r="E35" s="224"/>
      <c r="F35" s="224"/>
      <c r="G35" s="223"/>
      <c r="H35" s="223"/>
      <c r="I35" s="224"/>
      <c r="J35" s="224"/>
      <c r="K35" s="229"/>
      <c r="L35" s="224"/>
      <c r="M35" s="224"/>
      <c r="N35" s="224"/>
      <c r="O35" s="224"/>
    </row>
    <row r="36" spans="2:15" ht="15" customHeight="1">
      <c r="B36" s="224"/>
      <c r="C36" s="224"/>
      <c r="D36" s="224"/>
      <c r="E36" s="224"/>
      <c r="F36" s="224"/>
      <c r="G36" s="223"/>
      <c r="H36" s="223"/>
      <c r="I36" s="575"/>
      <c r="J36" s="575"/>
      <c r="K36" s="575"/>
      <c r="L36" s="575"/>
      <c r="M36" s="228"/>
      <c r="N36" s="228"/>
      <c r="O36" s="228"/>
    </row>
  </sheetData>
  <sheetProtection algorithmName="SHA-512" hashValue="gUxN/GagwERv8+mo7Xd+5yLs3FNke/3NYaLHHXJM4Xo3mOCBOA/UG3808Pkak3KiJqIUF4Siw9U1f0gHbQgMyg==" saltValue="hn1Yv8vJTrRpt/uJ6DF7Og==" spinCount="100000" sheet="1" objects="1" scenarios="1"/>
  <mergeCells count="72">
    <mergeCell ref="B2:B6"/>
    <mergeCell ref="B12:B15"/>
    <mergeCell ref="C12:C15"/>
    <mergeCell ref="D12:D15"/>
    <mergeCell ref="E12:E15"/>
    <mergeCell ref="C10:D10"/>
    <mergeCell ref="C2:BF6"/>
    <mergeCell ref="P13:W13"/>
    <mergeCell ref="AV12:AV15"/>
    <mergeCell ref="AW12:AZ12"/>
    <mergeCell ref="BA12:BD12"/>
    <mergeCell ref="BD13:BD15"/>
    <mergeCell ref="BE13:BE15"/>
    <mergeCell ref="BE12:BH12"/>
    <mergeCell ref="BF13:BF15"/>
    <mergeCell ref="BG13:BG15"/>
    <mergeCell ref="BH13:BH15"/>
    <mergeCell ref="T14:U14"/>
    <mergeCell ref="AJ14:AK14"/>
    <mergeCell ref="AL14:AM14"/>
    <mergeCell ref="H12:H15"/>
    <mergeCell ref="I12:I15"/>
    <mergeCell ref="J12:J15"/>
    <mergeCell ref="K12:K15"/>
    <mergeCell ref="AN14:AO14"/>
    <mergeCell ref="AP14:AQ14"/>
    <mergeCell ref="AX13:AX15"/>
    <mergeCell ref="AY13:AY15"/>
    <mergeCell ref="AZ13:AZ15"/>
    <mergeCell ref="BA13:BA15"/>
    <mergeCell ref="BB13:BB15"/>
    <mergeCell ref="BG6:BH6"/>
    <mergeCell ref="AW7:BA7"/>
    <mergeCell ref="C8:D8"/>
    <mergeCell ref="C9:D9"/>
    <mergeCell ref="X13:AE13"/>
    <mergeCell ref="AF13:AM13"/>
    <mergeCell ref="AN13:AU13"/>
    <mergeCell ref="O12:O15"/>
    <mergeCell ref="P12:AU12"/>
    <mergeCell ref="AR14:AS14"/>
    <mergeCell ref="AT14:AU14"/>
    <mergeCell ref="AD14:AE14"/>
    <mergeCell ref="AF14:AG14"/>
    <mergeCell ref="AH14:AI14"/>
    <mergeCell ref="BC13:BC15"/>
    <mergeCell ref="AW13:AW15"/>
    <mergeCell ref="B16:B22"/>
    <mergeCell ref="C16:C17"/>
    <mergeCell ref="C18:C19"/>
    <mergeCell ref="C20:C22"/>
    <mergeCell ref="AB14:AC14"/>
    <mergeCell ref="P14:Q14"/>
    <mergeCell ref="R14:S14"/>
    <mergeCell ref="G12:G15"/>
    <mergeCell ref="N12:N15"/>
    <mergeCell ref="L12:L15"/>
    <mergeCell ref="M12:M15"/>
    <mergeCell ref="V14:W14"/>
    <mergeCell ref="X14:Y14"/>
    <mergeCell ref="Z14:AA14"/>
    <mergeCell ref="F12:F15"/>
    <mergeCell ref="AX23:AZ23"/>
    <mergeCell ref="D25:O25"/>
    <mergeCell ref="E26:E27"/>
    <mergeCell ref="L26:O26"/>
    <mergeCell ref="F26:J27"/>
    <mergeCell ref="I32:L32"/>
    <mergeCell ref="I34:L34"/>
    <mergeCell ref="I36:L36"/>
    <mergeCell ref="B24:G24"/>
    <mergeCell ref="B23:AW23"/>
  </mergeCells>
  <conditionalFormatting sqref="BA16:BH19 BA22:BH22">
    <cfRule type="cellIs" dxfId="137" priority="7" operator="between">
      <formula>0.7</formula>
      <formula>1</formula>
    </cfRule>
    <cfRule type="cellIs" dxfId="136" priority="8" operator="between">
      <formula>0.51</formula>
      <formula>0.69</formula>
    </cfRule>
    <cfRule type="cellIs" dxfId="135" priority="9" operator="between">
      <formula>0</formula>
      <formula>0.5</formula>
    </cfRule>
  </conditionalFormatting>
  <conditionalFormatting sqref="BA20:BH20">
    <cfRule type="cellIs" dxfId="134" priority="4" operator="between">
      <formula>0.7</formula>
      <formula>1</formula>
    </cfRule>
    <cfRule type="cellIs" dxfId="133" priority="5" operator="between">
      <formula>0.51</formula>
      <formula>0.69</formula>
    </cfRule>
    <cfRule type="cellIs" dxfId="132" priority="6" operator="between">
      <formula>0</formula>
      <formula>0.5</formula>
    </cfRule>
  </conditionalFormatting>
  <conditionalFormatting sqref="BA21:BH21">
    <cfRule type="cellIs" dxfId="131" priority="1" operator="between">
      <formula>0.7</formula>
      <formula>1</formula>
    </cfRule>
    <cfRule type="cellIs" dxfId="130" priority="2" operator="between">
      <formula>0.51</formula>
      <formula>0.69</formula>
    </cfRule>
    <cfRule type="cellIs" dxfId="129"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DC493C6A-03C5-48B0-ABDB-724B180F8C55}"/>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592BE-3D85-40F3-AEB5-6A39AA30ABCD}">
  <sheetPr>
    <tabColor rgb="FF92D050"/>
  </sheetPr>
  <dimension ref="B1:BH37"/>
  <sheetViews>
    <sheetView showGridLines="0" zoomScale="55" zoomScaleNormal="55" workbookViewId="0">
      <selection activeCell="C31" sqref="C31"/>
    </sheetView>
  </sheetViews>
  <sheetFormatPr baseColWidth="10" defaultColWidth="17.33203125" defaultRowHeight="15" customHeight="1"/>
  <cols>
    <col min="1" max="1" width="4.33203125" style="124" customWidth="1"/>
    <col min="2" max="2" width="50.44140625" style="122" customWidth="1"/>
    <col min="3" max="3" width="31.44140625" style="122" customWidth="1"/>
    <col min="4" max="4" width="49.6640625" style="122" customWidth="1"/>
    <col min="5" max="6" width="27.5546875" style="122" customWidth="1"/>
    <col min="7" max="8" width="29.33203125" style="123" customWidth="1"/>
    <col min="9" max="9" width="36.44140625" style="122" customWidth="1"/>
    <col min="10" max="10" width="31.88671875" style="122" customWidth="1"/>
    <col min="11" max="11" width="55.88671875" style="122" customWidth="1"/>
    <col min="12" max="12" width="48.44140625" style="122" customWidth="1"/>
    <col min="13" max="14" width="28.5546875" style="122" customWidth="1"/>
    <col min="15" max="15" width="50" style="122" customWidth="1"/>
    <col min="16" max="47" width="15.88671875" style="124" customWidth="1"/>
    <col min="48" max="48" width="24.5546875" style="124" customWidth="1"/>
    <col min="49" max="49" width="22.88671875" style="124" customWidth="1"/>
    <col min="50" max="50" width="19.33203125" style="124" customWidth="1"/>
    <col min="51" max="51" width="18.44140625" style="124" customWidth="1"/>
    <col min="52" max="52" width="19.44140625" style="124" customWidth="1"/>
    <col min="53" max="53" width="23.33203125" style="124" customWidth="1"/>
    <col min="54" max="55" width="25.109375" style="124" customWidth="1"/>
    <col min="56" max="56" width="26.6640625" style="124" customWidth="1"/>
    <col min="57" max="57" width="26.33203125" style="124" customWidth="1"/>
    <col min="58" max="58" width="26.5546875" style="124" customWidth="1"/>
    <col min="59" max="59" width="26.33203125" style="124" customWidth="1"/>
    <col min="60" max="60" width="27.33203125" style="124" customWidth="1"/>
    <col min="61" max="16384" width="17.33203125" style="124"/>
  </cols>
  <sheetData>
    <row r="1" spans="2:60" ht="15.6" thickBot="1"/>
    <row r="2" spans="2:60" ht="15.6" customHeight="1">
      <c r="B2" s="489" t="s">
        <v>671</v>
      </c>
      <c r="C2" s="534" t="s">
        <v>117</v>
      </c>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35"/>
      <c r="AL2" s="535"/>
      <c r="AM2" s="535"/>
      <c r="AN2" s="535"/>
      <c r="AO2" s="535"/>
      <c r="AP2" s="535"/>
      <c r="AQ2" s="535"/>
      <c r="AR2" s="535"/>
      <c r="AS2" s="535"/>
      <c r="AT2" s="535"/>
      <c r="AU2" s="535"/>
      <c r="AV2" s="535"/>
      <c r="AW2" s="535"/>
      <c r="AX2" s="535"/>
      <c r="AY2" s="535"/>
      <c r="AZ2" s="535"/>
      <c r="BA2" s="535"/>
      <c r="BB2" s="535"/>
      <c r="BC2" s="535"/>
      <c r="BD2" s="535"/>
      <c r="BE2" s="535"/>
      <c r="BF2" s="536"/>
      <c r="BG2" s="190" t="s">
        <v>31</v>
      </c>
      <c r="BH2" s="191"/>
    </row>
    <row r="3" spans="2:60" ht="15.6" customHeight="1">
      <c r="B3" s="490"/>
      <c r="C3" s="537"/>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8"/>
      <c r="AZ3" s="538"/>
      <c r="BA3" s="538"/>
      <c r="BB3" s="538"/>
      <c r="BC3" s="538"/>
      <c r="BD3" s="538"/>
      <c r="BE3" s="538"/>
      <c r="BF3" s="539"/>
      <c r="BG3" s="192" t="s">
        <v>28</v>
      </c>
      <c r="BH3" s="17" t="s">
        <v>29</v>
      </c>
    </row>
    <row r="4" spans="2:60" ht="15" customHeight="1">
      <c r="B4" s="490"/>
      <c r="C4" s="537"/>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538"/>
      <c r="BF4" s="539"/>
      <c r="BG4" s="193">
        <v>5</v>
      </c>
      <c r="BH4" s="18" t="s">
        <v>644</v>
      </c>
    </row>
    <row r="5" spans="2:60" ht="15.6" customHeight="1">
      <c r="B5" s="490"/>
      <c r="C5" s="537"/>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538"/>
      <c r="BF5" s="539"/>
      <c r="BG5" s="194" t="s">
        <v>30</v>
      </c>
      <c r="BH5" s="195"/>
    </row>
    <row r="6" spans="2:60" ht="15.6" customHeight="1" thickBot="1">
      <c r="B6" s="491"/>
      <c r="C6" s="540"/>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1"/>
      <c r="AN6" s="541"/>
      <c r="AO6" s="541"/>
      <c r="AP6" s="541"/>
      <c r="AQ6" s="541"/>
      <c r="AR6" s="541"/>
      <c r="AS6" s="541"/>
      <c r="AT6" s="541"/>
      <c r="AU6" s="541"/>
      <c r="AV6" s="541"/>
      <c r="AW6" s="541"/>
      <c r="AX6" s="541"/>
      <c r="AY6" s="541"/>
      <c r="AZ6" s="541"/>
      <c r="BA6" s="541"/>
      <c r="BB6" s="541"/>
      <c r="BC6" s="541"/>
      <c r="BD6" s="541"/>
      <c r="BE6" s="541"/>
      <c r="BF6" s="542"/>
      <c r="BG6" s="556">
        <v>43941</v>
      </c>
      <c r="BH6" s="557"/>
    </row>
    <row r="7" spans="2:60">
      <c r="B7" s="125"/>
      <c r="C7" s="125"/>
      <c r="D7" s="125"/>
      <c r="E7" s="125"/>
      <c r="F7" s="125"/>
      <c r="G7" s="126"/>
      <c r="H7" s="126"/>
      <c r="I7" s="125"/>
      <c r="J7" s="125"/>
      <c r="K7" s="125"/>
      <c r="L7" s="125"/>
      <c r="M7" s="125"/>
      <c r="N7" s="125"/>
      <c r="O7" s="125"/>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528"/>
      <c r="AX7" s="559"/>
      <c r="AY7" s="559"/>
      <c r="AZ7" s="559"/>
      <c r="BA7" s="530"/>
      <c r="BB7" s="214"/>
      <c r="BC7" s="214"/>
      <c r="BD7" s="214"/>
      <c r="BE7" s="127"/>
      <c r="BF7" s="127"/>
    </row>
    <row r="8" spans="2:60" ht="22.8">
      <c r="B8" s="196" t="s">
        <v>45</v>
      </c>
      <c r="C8" s="621" t="s">
        <v>89</v>
      </c>
      <c r="D8" s="621"/>
      <c r="E8" s="197"/>
      <c r="F8" s="197"/>
      <c r="G8" s="197"/>
      <c r="H8" s="197"/>
      <c r="I8" s="197"/>
      <c r="J8" s="197"/>
      <c r="K8" s="197"/>
      <c r="L8" s="197"/>
      <c r="M8" s="197"/>
      <c r="N8" s="197"/>
      <c r="O8" s="197"/>
      <c r="AW8" s="214"/>
      <c r="AX8" s="214"/>
      <c r="AY8" s="214"/>
      <c r="AZ8" s="214"/>
      <c r="BA8" s="214"/>
      <c r="BB8" s="214"/>
      <c r="BC8" s="214"/>
      <c r="BD8" s="214"/>
    </row>
    <row r="9" spans="2:60" ht="69.75" customHeight="1">
      <c r="B9" s="196" t="s">
        <v>34</v>
      </c>
      <c r="C9" s="514" t="s">
        <v>312</v>
      </c>
      <c r="D9" s="515"/>
      <c r="E9" s="197"/>
      <c r="F9" s="197"/>
      <c r="G9" s="197"/>
      <c r="H9" s="197"/>
      <c r="I9" s="197"/>
      <c r="J9" s="197"/>
      <c r="K9" s="197"/>
      <c r="L9" s="197"/>
      <c r="M9" s="197"/>
      <c r="N9" s="197"/>
      <c r="O9" s="197"/>
      <c r="AW9" s="214"/>
      <c r="AX9" s="214"/>
      <c r="AY9" s="214"/>
      <c r="AZ9" s="214"/>
      <c r="BA9" s="214"/>
      <c r="BB9" s="214"/>
      <c r="BC9" s="214"/>
      <c r="BD9" s="214"/>
    </row>
    <row r="10" spans="2:60" ht="24.6">
      <c r="B10" s="196" t="s">
        <v>100</v>
      </c>
      <c r="C10" s="516">
        <v>2021</v>
      </c>
      <c r="D10" s="517"/>
      <c r="E10" s="197"/>
      <c r="F10" s="197"/>
      <c r="G10" s="197"/>
      <c r="H10" s="197"/>
      <c r="I10" s="197"/>
      <c r="J10" s="197"/>
      <c r="K10" s="197"/>
      <c r="L10" s="197"/>
      <c r="M10" s="197"/>
      <c r="N10" s="197"/>
      <c r="O10" s="197"/>
      <c r="AW10" s="214"/>
      <c r="AX10" s="214"/>
      <c r="AY10" s="214"/>
      <c r="AZ10" s="214"/>
      <c r="BA10" s="214"/>
      <c r="BB10" s="214"/>
      <c r="BC10" s="214"/>
      <c r="BD10" s="214"/>
    </row>
    <row r="11" spans="2:60">
      <c r="B11" s="125"/>
      <c r="C11" s="125"/>
      <c r="D11" s="125"/>
      <c r="E11" s="125"/>
      <c r="F11" s="125"/>
      <c r="G11" s="126"/>
      <c r="H11" s="126"/>
      <c r="I11" s="125"/>
      <c r="J11" s="125"/>
      <c r="K11" s="125"/>
      <c r="L11" s="125"/>
      <c r="M11" s="125"/>
      <c r="N11" s="125"/>
      <c r="O11" s="125"/>
      <c r="AW11" s="214"/>
      <c r="AX11" s="214"/>
      <c r="AY11" s="214"/>
      <c r="AZ11" s="214"/>
      <c r="BA11" s="214"/>
      <c r="BB11" s="214"/>
      <c r="BC11" s="214"/>
      <c r="BD11" s="214"/>
    </row>
    <row r="12" spans="2:60" ht="15.6" customHeight="1">
      <c r="B12" s="488" t="s">
        <v>0</v>
      </c>
      <c r="C12" s="488" t="s">
        <v>52</v>
      </c>
      <c r="D12" s="526" t="s">
        <v>674</v>
      </c>
      <c r="E12" s="488" t="s">
        <v>60</v>
      </c>
      <c r="F12" s="527" t="s">
        <v>743</v>
      </c>
      <c r="G12" s="488" t="s">
        <v>57</v>
      </c>
      <c r="H12" s="488" t="s">
        <v>25</v>
      </c>
      <c r="I12" s="488" t="s">
        <v>59</v>
      </c>
      <c r="J12" s="488" t="s">
        <v>39</v>
      </c>
      <c r="K12" s="488" t="s">
        <v>36</v>
      </c>
      <c r="L12" s="488" t="s">
        <v>20</v>
      </c>
      <c r="M12" s="488" t="s">
        <v>51</v>
      </c>
      <c r="N12" s="488" t="s">
        <v>40</v>
      </c>
      <c r="O12" s="488" t="s">
        <v>42</v>
      </c>
      <c r="P12" s="533" t="s">
        <v>111</v>
      </c>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3"/>
      <c r="AN12" s="533"/>
      <c r="AO12" s="533"/>
      <c r="AP12" s="533"/>
      <c r="AQ12" s="533"/>
      <c r="AR12" s="533"/>
      <c r="AS12" s="533"/>
      <c r="AT12" s="533"/>
      <c r="AU12" s="533"/>
      <c r="AV12" s="531" t="s">
        <v>61</v>
      </c>
      <c r="AW12" s="520" t="s">
        <v>675</v>
      </c>
      <c r="AX12" s="521"/>
      <c r="AY12" s="521"/>
      <c r="AZ12" s="522"/>
      <c r="BA12" s="508" t="s">
        <v>676</v>
      </c>
      <c r="BB12" s="509"/>
      <c r="BC12" s="509"/>
      <c r="BD12" s="510"/>
      <c r="BE12" s="502" t="s">
        <v>677</v>
      </c>
      <c r="BF12" s="503"/>
      <c r="BG12" s="503"/>
      <c r="BH12" s="504"/>
    </row>
    <row r="13" spans="2:60" ht="15.6">
      <c r="B13" s="488"/>
      <c r="C13" s="488"/>
      <c r="D13" s="526"/>
      <c r="E13" s="488"/>
      <c r="F13" s="527"/>
      <c r="G13" s="488"/>
      <c r="H13" s="488"/>
      <c r="I13" s="488"/>
      <c r="J13" s="488"/>
      <c r="K13" s="488"/>
      <c r="L13" s="488"/>
      <c r="M13" s="488"/>
      <c r="N13" s="488"/>
      <c r="O13" s="488"/>
      <c r="P13" s="532" t="s">
        <v>21</v>
      </c>
      <c r="Q13" s="532"/>
      <c r="R13" s="532"/>
      <c r="S13" s="532"/>
      <c r="T13" s="532"/>
      <c r="U13" s="532"/>
      <c r="V13" s="532"/>
      <c r="W13" s="532"/>
      <c r="X13" s="532" t="s">
        <v>22</v>
      </c>
      <c r="Y13" s="532"/>
      <c r="Z13" s="532"/>
      <c r="AA13" s="532"/>
      <c r="AB13" s="532"/>
      <c r="AC13" s="532"/>
      <c r="AD13" s="532"/>
      <c r="AE13" s="532"/>
      <c r="AF13" s="532" t="s">
        <v>23</v>
      </c>
      <c r="AG13" s="532"/>
      <c r="AH13" s="532"/>
      <c r="AI13" s="532"/>
      <c r="AJ13" s="532"/>
      <c r="AK13" s="532"/>
      <c r="AL13" s="532"/>
      <c r="AM13" s="532"/>
      <c r="AN13" s="532" t="s">
        <v>24</v>
      </c>
      <c r="AO13" s="532"/>
      <c r="AP13" s="532"/>
      <c r="AQ13" s="532"/>
      <c r="AR13" s="532"/>
      <c r="AS13" s="532"/>
      <c r="AT13" s="532"/>
      <c r="AU13" s="532"/>
      <c r="AV13" s="531"/>
      <c r="AW13" s="523" t="s">
        <v>118</v>
      </c>
      <c r="AX13" s="523" t="s">
        <v>22</v>
      </c>
      <c r="AY13" s="523" t="s">
        <v>306</v>
      </c>
      <c r="AZ13" s="523" t="s">
        <v>307</v>
      </c>
      <c r="BA13" s="511" t="s">
        <v>118</v>
      </c>
      <c r="BB13" s="511" t="s">
        <v>121</v>
      </c>
      <c r="BC13" s="511" t="s">
        <v>122</v>
      </c>
      <c r="BD13" s="511" t="s">
        <v>123</v>
      </c>
      <c r="BE13" s="505" t="s">
        <v>21</v>
      </c>
      <c r="BF13" s="505" t="s">
        <v>22</v>
      </c>
      <c r="BG13" s="505" t="s">
        <v>23</v>
      </c>
      <c r="BH13" s="505" t="s">
        <v>24</v>
      </c>
    </row>
    <row r="14" spans="2:60" ht="15.6">
      <c r="B14" s="488"/>
      <c r="C14" s="488"/>
      <c r="D14" s="526"/>
      <c r="E14" s="488"/>
      <c r="F14" s="527"/>
      <c r="G14" s="488"/>
      <c r="H14" s="488"/>
      <c r="I14" s="488"/>
      <c r="J14" s="488"/>
      <c r="K14" s="488"/>
      <c r="L14" s="488"/>
      <c r="M14" s="488"/>
      <c r="N14" s="488"/>
      <c r="O14" s="488"/>
      <c r="P14" s="571" t="s">
        <v>5</v>
      </c>
      <c r="Q14" s="571"/>
      <c r="R14" s="571" t="s">
        <v>6</v>
      </c>
      <c r="S14" s="571"/>
      <c r="T14" s="571" t="s">
        <v>7</v>
      </c>
      <c r="U14" s="571"/>
      <c r="V14" s="533" t="s">
        <v>8</v>
      </c>
      <c r="W14" s="533"/>
      <c r="X14" s="571" t="s">
        <v>27</v>
      </c>
      <c r="Y14" s="571"/>
      <c r="Z14" s="571" t="s">
        <v>9</v>
      </c>
      <c r="AA14" s="571"/>
      <c r="AB14" s="571" t="s">
        <v>10</v>
      </c>
      <c r="AC14" s="571"/>
      <c r="AD14" s="533" t="s">
        <v>8</v>
      </c>
      <c r="AE14" s="533"/>
      <c r="AF14" s="571" t="s">
        <v>11</v>
      </c>
      <c r="AG14" s="571"/>
      <c r="AH14" s="571" t="s">
        <v>12</v>
      </c>
      <c r="AI14" s="571"/>
      <c r="AJ14" s="571" t="s">
        <v>13</v>
      </c>
      <c r="AK14" s="571"/>
      <c r="AL14" s="533" t="s">
        <v>8</v>
      </c>
      <c r="AM14" s="533"/>
      <c r="AN14" s="571" t="s">
        <v>14</v>
      </c>
      <c r="AO14" s="571"/>
      <c r="AP14" s="571" t="s">
        <v>15</v>
      </c>
      <c r="AQ14" s="571"/>
      <c r="AR14" s="571" t="s">
        <v>16</v>
      </c>
      <c r="AS14" s="571"/>
      <c r="AT14" s="533" t="s">
        <v>8</v>
      </c>
      <c r="AU14" s="533"/>
      <c r="AV14" s="531"/>
      <c r="AW14" s="524"/>
      <c r="AX14" s="524"/>
      <c r="AY14" s="524"/>
      <c r="AZ14" s="524"/>
      <c r="BA14" s="512"/>
      <c r="BB14" s="512"/>
      <c r="BC14" s="512"/>
      <c r="BD14" s="512"/>
      <c r="BE14" s="506"/>
      <c r="BF14" s="506"/>
      <c r="BG14" s="506"/>
      <c r="BH14" s="506"/>
    </row>
    <row r="15" spans="2:60" ht="13.2" customHeight="1">
      <c r="B15" s="488"/>
      <c r="C15" s="488"/>
      <c r="D15" s="526"/>
      <c r="E15" s="488"/>
      <c r="F15" s="527"/>
      <c r="G15" s="488"/>
      <c r="H15" s="488"/>
      <c r="I15" s="488"/>
      <c r="J15" s="488"/>
      <c r="K15" s="488"/>
      <c r="L15" s="488"/>
      <c r="M15" s="488"/>
      <c r="N15" s="488"/>
      <c r="O15" s="488"/>
      <c r="P15" s="215" t="s">
        <v>17</v>
      </c>
      <c r="Q15" s="216" t="s">
        <v>18</v>
      </c>
      <c r="R15" s="215" t="s">
        <v>17</v>
      </c>
      <c r="S15" s="216" t="s">
        <v>18</v>
      </c>
      <c r="T15" s="215" t="s">
        <v>17</v>
      </c>
      <c r="U15" s="216" t="s">
        <v>18</v>
      </c>
      <c r="V15" s="61" t="s">
        <v>17</v>
      </c>
      <c r="W15" s="62" t="s">
        <v>18</v>
      </c>
      <c r="X15" s="215" t="s">
        <v>17</v>
      </c>
      <c r="Y15" s="216" t="s">
        <v>18</v>
      </c>
      <c r="Z15" s="215" t="s">
        <v>17</v>
      </c>
      <c r="AA15" s="216" t="s">
        <v>18</v>
      </c>
      <c r="AB15" s="215" t="s">
        <v>17</v>
      </c>
      <c r="AC15" s="216" t="s">
        <v>18</v>
      </c>
      <c r="AD15" s="61" t="s">
        <v>17</v>
      </c>
      <c r="AE15" s="62" t="s">
        <v>18</v>
      </c>
      <c r="AF15" s="215" t="s">
        <v>17</v>
      </c>
      <c r="AG15" s="216" t="s">
        <v>18</v>
      </c>
      <c r="AH15" s="215" t="s">
        <v>17</v>
      </c>
      <c r="AI15" s="216" t="s">
        <v>18</v>
      </c>
      <c r="AJ15" s="215" t="s">
        <v>17</v>
      </c>
      <c r="AK15" s="216" t="s">
        <v>18</v>
      </c>
      <c r="AL15" s="61" t="s">
        <v>17</v>
      </c>
      <c r="AM15" s="62" t="s">
        <v>18</v>
      </c>
      <c r="AN15" s="215" t="s">
        <v>17</v>
      </c>
      <c r="AO15" s="216" t="s">
        <v>18</v>
      </c>
      <c r="AP15" s="215" t="s">
        <v>17</v>
      </c>
      <c r="AQ15" s="216" t="s">
        <v>18</v>
      </c>
      <c r="AR15" s="215" t="s">
        <v>17</v>
      </c>
      <c r="AS15" s="216" t="s">
        <v>18</v>
      </c>
      <c r="AT15" s="61" t="s">
        <v>17</v>
      </c>
      <c r="AU15" s="62" t="s">
        <v>18</v>
      </c>
      <c r="AV15" s="531"/>
      <c r="AW15" s="525"/>
      <c r="AX15" s="525"/>
      <c r="AY15" s="525"/>
      <c r="AZ15" s="525"/>
      <c r="BA15" s="513"/>
      <c r="BB15" s="513"/>
      <c r="BC15" s="513"/>
      <c r="BD15" s="513"/>
      <c r="BE15" s="507"/>
      <c r="BF15" s="507"/>
      <c r="BG15" s="507"/>
      <c r="BH15" s="507"/>
    </row>
    <row r="16" spans="2:60" ht="90">
      <c r="B16" s="500" t="str">
        <f>+'01-FR-03 POA INSTITUCIONAL'!B40</f>
        <v>3. Vigilar la conducta oficial de los(as) servidores(as) públicos(as) del Distrito Capital, mediante acciones preventivas y correctivas, que permitan un adecuado cumplimiento de los principios de la Función Pública</v>
      </c>
      <c r="C16" s="500" t="str">
        <f>+'01-FR-03 POA INSTITUCIONAL'!C40</f>
        <v>3.1. Descongestionar 6.700 procesos disciplinarios con criterios de calidad, efectividad y garantía del debido proceso.</v>
      </c>
      <c r="D16" s="19" t="str">
        <f>+'01-FR-03 POA INSTITUCIONAL'!D40</f>
        <v xml:space="preserve">3.1.1 Identificar y decidir de fondo 6,700  procesos, priorizando aquellos que se encuentren con riesgo de prescripción y/o vencidos en su etapa procesal (indagación, investigación y juzgamiento). </v>
      </c>
      <c r="E16" s="37">
        <f>+'01-FR-03 POA INSTITUCIONAL'!E40</f>
        <v>0.8</v>
      </c>
      <c r="F16" s="244">
        <f>+'01-FR-03 POA INSTITUCIONAL'!F40</f>
        <v>6700</v>
      </c>
      <c r="G16" s="244">
        <f>+'01-FR-03 POA INSTITUCIONAL'!L40</f>
        <v>1800</v>
      </c>
      <c r="H16" s="244">
        <f>+'01-FR-03 POA INSTITUCIONAL'!G40</f>
        <v>6287</v>
      </c>
      <c r="I16" s="129" t="str">
        <f>+'01-FR-03 POA INSTITUCIONAL'!H40</f>
        <v>Procesos priorizados identificados y decididos de fondo</v>
      </c>
      <c r="J16" s="198" t="s">
        <v>296</v>
      </c>
      <c r="K16" s="217" t="s">
        <v>308</v>
      </c>
      <c r="L16" s="201" t="s">
        <v>285</v>
      </c>
      <c r="M16" s="201" t="s">
        <v>313</v>
      </c>
      <c r="N16" s="201" t="s">
        <v>303</v>
      </c>
      <c r="O16" s="67" t="str">
        <f>+'01-FR-03 POA INSTITUCIONAL'!J40</f>
        <v>Personería Delegada para la Coordinación de Potestad Disciplinaria</v>
      </c>
      <c r="P16" s="245">
        <v>80</v>
      </c>
      <c r="Q16" s="245"/>
      <c r="R16" s="245">
        <v>100</v>
      </c>
      <c r="S16" s="245"/>
      <c r="T16" s="245">
        <v>120</v>
      </c>
      <c r="U16" s="245"/>
      <c r="V16" s="53">
        <f>P16+R16+T16</f>
        <v>300</v>
      </c>
      <c r="W16" s="53">
        <f>Q16+S16+U16</f>
        <v>0</v>
      </c>
      <c r="X16" s="245">
        <v>150</v>
      </c>
      <c r="Y16" s="245"/>
      <c r="Z16" s="245">
        <v>170</v>
      </c>
      <c r="AA16" s="245"/>
      <c r="AB16" s="245">
        <v>170</v>
      </c>
      <c r="AC16" s="245"/>
      <c r="AD16" s="53">
        <f>X16+Z16+AB16</f>
        <v>490</v>
      </c>
      <c r="AE16" s="53">
        <f>Y16+AA16+AC16</f>
        <v>0</v>
      </c>
      <c r="AF16" s="245">
        <v>210</v>
      </c>
      <c r="AG16" s="245"/>
      <c r="AH16" s="245">
        <v>210</v>
      </c>
      <c r="AI16" s="245"/>
      <c r="AJ16" s="246">
        <v>210</v>
      </c>
      <c r="AK16" s="246"/>
      <c r="AL16" s="53">
        <f>AF16+AH16+AJ16</f>
        <v>630</v>
      </c>
      <c r="AM16" s="53">
        <f>AG16+AI16+AK16</f>
        <v>0</v>
      </c>
      <c r="AN16" s="245">
        <v>150</v>
      </c>
      <c r="AO16" s="245"/>
      <c r="AP16" s="245">
        <v>140</v>
      </c>
      <c r="AQ16" s="245"/>
      <c r="AR16" s="245">
        <v>90</v>
      </c>
      <c r="AS16" s="245"/>
      <c r="AT16" s="53">
        <f>AN16+AP16+AR16</f>
        <v>380</v>
      </c>
      <c r="AU16" s="53">
        <f>AO16+AQ16+AS16</f>
        <v>0</v>
      </c>
      <c r="AV16" s="221">
        <f>V16+AD16+AL16+AT16</f>
        <v>1800</v>
      </c>
      <c r="AW16" s="66">
        <f>+W16</f>
        <v>0</v>
      </c>
      <c r="AX16" s="66">
        <f>+W16+AE16</f>
        <v>0</v>
      </c>
      <c r="AY16" s="66">
        <f>+W16+AE16+AM16</f>
        <v>0</v>
      </c>
      <c r="AZ16" s="66">
        <f>+W16+AE16+AM16+AU16</f>
        <v>0</v>
      </c>
      <c r="BA16" s="28">
        <f>IF(AND(AW16&gt;0,$AV16&gt;0),AW16/$AV16,0)</f>
        <v>0</v>
      </c>
      <c r="BB16" s="28">
        <f t="shared" ref="BB16:BD23" si="0">IF(AND(AX16&gt;0,$AV16&gt;0),AX16/$AV16,0)</f>
        <v>0</v>
      </c>
      <c r="BC16" s="28">
        <f t="shared" si="0"/>
        <v>0</v>
      </c>
      <c r="BD16" s="28">
        <f t="shared" si="0"/>
        <v>0</v>
      </c>
      <c r="BE16" s="28">
        <f t="shared" ref="BE16:BH23" si="1">(IF(AND(AW16&gt;0,$AV16&gt;0),AW16/$AV16,0))*$E16</f>
        <v>0</v>
      </c>
      <c r="BF16" s="28">
        <f t="shared" si="1"/>
        <v>0</v>
      </c>
      <c r="BG16" s="28">
        <f t="shared" si="1"/>
        <v>0</v>
      </c>
      <c r="BH16" s="28">
        <f t="shared" si="1"/>
        <v>0</v>
      </c>
    </row>
    <row r="17" spans="2:60" ht="90">
      <c r="B17" s="501"/>
      <c r="C17" s="567"/>
      <c r="D17" s="19" t="str">
        <f>+'01-FR-03 POA INSTITUCIONAL'!D41</f>
        <v>3.1.2 Evaluar y dar impulso procesal al 100% las noticias disciplinarias (quejas) puestas en conocimiento de la Entidad.</v>
      </c>
      <c r="E17" s="37">
        <f>+'01-FR-03 POA INSTITUCIONAL'!E41</f>
        <v>0.2</v>
      </c>
      <c r="F17" s="162">
        <f>+'01-FR-03 POA INSTITUCIONAL'!F41</f>
        <v>1</v>
      </c>
      <c r="G17" s="162">
        <f>+'01-FR-03 POA INSTITUCIONAL'!K41</f>
        <v>1</v>
      </c>
      <c r="H17" s="162">
        <f>+'01-FR-03 POA INSTITUCIONAL'!G41</f>
        <v>0.98</v>
      </c>
      <c r="I17" s="129" t="str">
        <f>+'01-FR-03 POA INSTITUCIONAL'!H41</f>
        <v>Noticias disciplinarias  evaluadas y con impulso procesal</v>
      </c>
      <c r="J17" s="198" t="s">
        <v>304</v>
      </c>
      <c r="K17" s="217" t="s">
        <v>286</v>
      </c>
      <c r="L17" s="201" t="s">
        <v>287</v>
      </c>
      <c r="M17" s="201" t="s">
        <v>313</v>
      </c>
      <c r="N17" s="201" t="s">
        <v>303</v>
      </c>
      <c r="O17" s="67" t="str">
        <f>+'01-FR-03 POA INSTITUCIONAL'!J41</f>
        <v>Personería Delegada para la Coordinación de Potestad Disciplinaria</v>
      </c>
      <c r="P17" s="247">
        <v>1</v>
      </c>
      <c r="Q17" s="349"/>
      <c r="R17" s="247">
        <v>1</v>
      </c>
      <c r="S17" s="349"/>
      <c r="T17" s="247">
        <v>1</v>
      </c>
      <c r="U17" s="245"/>
      <c r="V17" s="75">
        <f>IFERROR(AVERAGE(P17,R17,T17),0)</f>
        <v>1</v>
      </c>
      <c r="W17" s="75">
        <f>IFERROR(AVERAGE(Q17,S17,U17),0)</f>
        <v>0</v>
      </c>
      <c r="X17" s="247">
        <v>1</v>
      </c>
      <c r="Y17" s="350"/>
      <c r="Z17" s="247">
        <v>1</v>
      </c>
      <c r="AA17" s="350"/>
      <c r="AB17" s="247">
        <v>1</v>
      </c>
      <c r="AC17" s="245"/>
      <c r="AD17" s="75">
        <f>IFERROR(AVERAGE(X17,Z17,AB17),0)</f>
        <v>1</v>
      </c>
      <c r="AE17" s="75">
        <f>IFERROR(AVERAGE(Y17,AA17,AC17),0)</f>
        <v>0</v>
      </c>
      <c r="AF17" s="247">
        <v>1</v>
      </c>
      <c r="AG17" s="351"/>
      <c r="AH17" s="247">
        <v>1</v>
      </c>
      <c r="AI17" s="351"/>
      <c r="AJ17" s="247">
        <v>1</v>
      </c>
      <c r="AK17" s="246"/>
      <c r="AL17" s="75">
        <f>IFERROR(AVERAGE(AF17,AH17,AJ17),0)</f>
        <v>1</v>
      </c>
      <c r="AM17" s="75">
        <f>IFERROR(AVERAGE(AG17,AI17,AK17),0)</f>
        <v>0</v>
      </c>
      <c r="AN17" s="247">
        <v>1</v>
      </c>
      <c r="AO17" s="353"/>
      <c r="AP17" s="247">
        <v>1</v>
      </c>
      <c r="AQ17" s="353"/>
      <c r="AR17" s="247">
        <v>1</v>
      </c>
      <c r="AS17" s="245"/>
      <c r="AT17" s="75">
        <f>IFERROR(AVERAGE(AN17,AP17,AR17),0)</f>
        <v>1</v>
      </c>
      <c r="AU17" s="75">
        <f>IFERROR(AVERAGE(AO17,AQ17,AS17),0)</f>
        <v>0</v>
      </c>
      <c r="AV17" s="75">
        <f>IFERROR(AVERAGE(P17,R17,T17,X17,Z17,AB17,AF17,AH17,AJ17,AN17,AP17,AR17),0)</f>
        <v>1</v>
      </c>
      <c r="AW17" s="66">
        <f t="shared" ref="AW17:AW23" si="2">+W17</f>
        <v>0</v>
      </c>
      <c r="AX17" s="66">
        <f t="shared" ref="AX17:AX23" si="3">+W17+AE17</f>
        <v>0</v>
      </c>
      <c r="AY17" s="66">
        <f t="shared" ref="AY17:AY23" si="4">+W17+AE17+AM17</f>
        <v>0</v>
      </c>
      <c r="AZ17" s="66">
        <f t="shared" ref="AZ17:AZ23" si="5">+W17+AE17+AM17+AU17</f>
        <v>0</v>
      </c>
      <c r="BA17" s="28">
        <f>IF(AND(AW17&gt;0,AV17&gt;0),AW17/AV17,0)</f>
        <v>0</v>
      </c>
      <c r="BB17" s="28">
        <f t="shared" si="0"/>
        <v>0</v>
      </c>
      <c r="BC17" s="28">
        <f t="shared" si="0"/>
        <v>0</v>
      </c>
      <c r="BD17" s="28">
        <f t="shared" si="0"/>
        <v>0</v>
      </c>
      <c r="BE17" s="28">
        <f t="shared" si="1"/>
        <v>0</v>
      </c>
      <c r="BF17" s="28">
        <f t="shared" si="1"/>
        <v>0</v>
      </c>
      <c r="BG17" s="28">
        <f t="shared" si="1"/>
        <v>0</v>
      </c>
      <c r="BH17" s="28">
        <f t="shared" si="1"/>
        <v>0</v>
      </c>
    </row>
    <row r="18" spans="2:60" ht="90" customHeight="1">
      <c r="B18" s="501"/>
      <c r="C18" s="500" t="str">
        <f>+'01-FR-03 POA INSTITUCIONAL'!C42</f>
        <v xml:space="preserve">3.2. Identificar el 100% de los hechos constitutivos de faltas disciplinarias para ejercer el poder preferente en las Oficinas de Control Interno Disciplinario, en temas de interés e impacto para el Distrito Capital. </v>
      </c>
      <c r="D18" s="19" t="str">
        <f>+'01-FR-03 POA INSTITUCIONAL'!D42</f>
        <v>3.2.1 Realizar una visita de seguimiento a las 51 Oficinas de Control Interno Disciplinario del Distrito e identificar hechos constitutivos de faltas relevantes en temas de interés e impacto en cada anualidad.</v>
      </c>
      <c r="E18" s="37">
        <f>+'01-FR-03 POA INSTITUCIONAL'!E42</f>
        <v>0.5</v>
      </c>
      <c r="F18" s="244">
        <f>+'01-FR-03 POA INSTITUCIONAL'!F42</f>
        <v>204</v>
      </c>
      <c r="G18" s="244">
        <f>+'01-FR-03 POA INSTITUCIONAL'!L42</f>
        <v>51</v>
      </c>
      <c r="H18" s="244">
        <f>+'01-FR-03 POA INSTITUCIONAL'!G42</f>
        <v>204</v>
      </c>
      <c r="I18" s="129" t="str">
        <f>+'01-FR-03 POA INSTITUCIONAL'!H42</f>
        <v>Visitas de seguimiento a Oficinas de Control Interno Disciplinario realizadas</v>
      </c>
      <c r="J18" s="198" t="s">
        <v>288</v>
      </c>
      <c r="K18" s="217" t="s">
        <v>309</v>
      </c>
      <c r="L18" s="201" t="s">
        <v>289</v>
      </c>
      <c r="M18" s="201" t="s">
        <v>313</v>
      </c>
      <c r="N18" s="201" t="s">
        <v>303</v>
      </c>
      <c r="O18" s="67" t="str">
        <f>+'01-FR-03 POA INSTITUCIONAL'!J42</f>
        <v>Personería Delegada para la Coordinación de Potestad Disciplinaria</v>
      </c>
      <c r="P18" s="245">
        <v>0</v>
      </c>
      <c r="Q18" s="245"/>
      <c r="R18" s="245">
        <v>0</v>
      </c>
      <c r="S18" s="245"/>
      <c r="T18" s="245">
        <v>0</v>
      </c>
      <c r="U18" s="245"/>
      <c r="V18" s="53">
        <f t="shared" ref="V18:W23" si="6">P18+R18+T18</f>
        <v>0</v>
      </c>
      <c r="W18" s="53">
        <f t="shared" si="6"/>
        <v>0</v>
      </c>
      <c r="X18" s="245">
        <v>10</v>
      </c>
      <c r="Y18" s="245"/>
      <c r="Z18" s="245">
        <v>10</v>
      </c>
      <c r="AA18" s="245"/>
      <c r="AB18" s="245">
        <v>10</v>
      </c>
      <c r="AC18" s="245"/>
      <c r="AD18" s="53">
        <f t="shared" ref="AD18:AE23" si="7">X18+Z18+AB18</f>
        <v>30</v>
      </c>
      <c r="AE18" s="53">
        <f t="shared" si="7"/>
        <v>0</v>
      </c>
      <c r="AF18" s="245">
        <v>10</v>
      </c>
      <c r="AG18" s="245"/>
      <c r="AH18" s="245">
        <v>11</v>
      </c>
      <c r="AI18" s="245"/>
      <c r="AJ18" s="246">
        <v>0</v>
      </c>
      <c r="AK18" s="246"/>
      <c r="AL18" s="53">
        <f t="shared" ref="AL18:AM23" si="8">AF18+AH18+AJ18</f>
        <v>21</v>
      </c>
      <c r="AM18" s="53">
        <f t="shared" si="8"/>
        <v>0</v>
      </c>
      <c r="AN18" s="245">
        <v>0</v>
      </c>
      <c r="AO18" s="245"/>
      <c r="AP18" s="245">
        <v>0</v>
      </c>
      <c r="AQ18" s="245"/>
      <c r="AR18" s="245">
        <v>0</v>
      </c>
      <c r="AS18" s="245"/>
      <c r="AT18" s="53">
        <f t="shared" ref="AT18:AU23" si="9">AN18+AP18+AR18</f>
        <v>0</v>
      </c>
      <c r="AU18" s="53">
        <f t="shared" si="9"/>
        <v>0</v>
      </c>
      <c r="AV18" s="221">
        <f t="shared" ref="AV18:AV23" si="10">V18+AD18+AL18+AT18</f>
        <v>51</v>
      </c>
      <c r="AW18" s="66">
        <f t="shared" si="2"/>
        <v>0</v>
      </c>
      <c r="AX18" s="66">
        <f t="shared" si="3"/>
        <v>0</v>
      </c>
      <c r="AY18" s="66">
        <f t="shared" si="4"/>
        <v>0</v>
      </c>
      <c r="AZ18" s="66">
        <f t="shared" si="5"/>
        <v>0</v>
      </c>
      <c r="BA18" s="28">
        <f t="shared" ref="BA18:BA22" si="11">IF(AND(AW18&gt;0,AV18&gt;0),AW18/AV18,0)</f>
        <v>0</v>
      </c>
      <c r="BB18" s="28">
        <f t="shared" si="0"/>
        <v>0</v>
      </c>
      <c r="BC18" s="28">
        <f t="shared" si="0"/>
        <v>0</v>
      </c>
      <c r="BD18" s="28">
        <f t="shared" si="0"/>
        <v>0</v>
      </c>
      <c r="BE18" s="28">
        <f t="shared" si="1"/>
        <v>0</v>
      </c>
      <c r="BF18" s="28">
        <f t="shared" si="1"/>
        <v>0</v>
      </c>
      <c r="BG18" s="28">
        <f t="shared" si="1"/>
        <v>0</v>
      </c>
      <c r="BH18" s="28">
        <f t="shared" si="1"/>
        <v>0</v>
      </c>
    </row>
    <row r="19" spans="2:60" ht="102" customHeight="1">
      <c r="B19" s="501"/>
      <c r="C19" s="567"/>
      <c r="D19" s="19" t="str">
        <f>+'01-FR-03 POA INSTITUCIONAL'!D43</f>
        <v>3.2.2 Asumir por competencia preferente el 100% de los procesos cuyos temas sean considerados de interés e impacto el Distrito Capital.</v>
      </c>
      <c r="E19" s="37">
        <f>+'01-FR-03 POA INSTITUCIONAL'!E43</f>
        <v>0.5</v>
      </c>
      <c r="F19" s="162">
        <f>+'01-FR-03 POA INSTITUCIONAL'!F43</f>
        <v>1</v>
      </c>
      <c r="G19" s="162">
        <f>+'01-FR-03 POA INSTITUCIONAL'!L43</f>
        <v>1</v>
      </c>
      <c r="H19" s="162">
        <f>+'01-FR-03 POA INSTITUCIONAL'!G43</f>
        <v>1</v>
      </c>
      <c r="I19" s="129" t="str">
        <f>+'01-FR-03 POA INSTITUCIONAL'!H43</f>
        <v>Procesos de interés e impacto asumidos por competencia</v>
      </c>
      <c r="J19" s="198" t="s">
        <v>660</v>
      </c>
      <c r="K19" s="217" t="s">
        <v>300</v>
      </c>
      <c r="L19" s="201" t="s">
        <v>305</v>
      </c>
      <c r="M19" s="201" t="s">
        <v>313</v>
      </c>
      <c r="N19" s="201" t="s">
        <v>303</v>
      </c>
      <c r="O19" s="67" t="str">
        <f>+'01-FR-03 POA INSTITUCIONAL'!J43</f>
        <v>Personería Delegada para la Coordinación de Potestad Disciplinaria</v>
      </c>
      <c r="P19" s="247">
        <v>1</v>
      </c>
      <c r="Q19" s="287"/>
      <c r="R19" s="247">
        <v>1</v>
      </c>
      <c r="S19" s="287"/>
      <c r="T19" s="247">
        <v>1</v>
      </c>
      <c r="U19" s="245"/>
      <c r="V19" s="75">
        <f>IFERROR(AVERAGE(P19,R19,T19),0)</f>
        <v>1</v>
      </c>
      <c r="W19" s="75">
        <f>IFERROR(AVERAGE(Q19,S19,U19),0)</f>
        <v>0</v>
      </c>
      <c r="X19" s="247">
        <v>1</v>
      </c>
      <c r="Y19" s="287"/>
      <c r="Z19" s="247">
        <v>1</v>
      </c>
      <c r="AA19" s="287"/>
      <c r="AB19" s="247">
        <v>1</v>
      </c>
      <c r="AC19" s="245"/>
      <c r="AD19" s="75">
        <f>IFERROR(AVERAGE(X19,Z19,AB19),0)</f>
        <v>1</v>
      </c>
      <c r="AE19" s="75">
        <f>IFERROR(AVERAGE(Y19,AA19,AC19),0)</f>
        <v>0</v>
      </c>
      <c r="AF19" s="247">
        <v>1</v>
      </c>
      <c r="AG19" s="352"/>
      <c r="AH19" s="247">
        <v>1</v>
      </c>
      <c r="AI19" s="352"/>
      <c r="AJ19" s="247">
        <v>1</v>
      </c>
      <c r="AK19" s="246"/>
      <c r="AL19" s="75">
        <f>IFERROR(AVERAGE(AF19,AH19,AJ19),0)</f>
        <v>1</v>
      </c>
      <c r="AM19" s="75">
        <f>IFERROR(AVERAGE(AG19,AI19,AK19),0)</f>
        <v>0</v>
      </c>
      <c r="AN19" s="247">
        <v>1</v>
      </c>
      <c r="AO19" s="353"/>
      <c r="AP19" s="247">
        <v>1</v>
      </c>
      <c r="AQ19" s="353"/>
      <c r="AR19" s="247">
        <v>1</v>
      </c>
      <c r="AS19" s="245"/>
      <c r="AT19" s="75">
        <f>IFERROR(AVERAGE(AN19,AP19,AR19),0)</f>
        <v>1</v>
      </c>
      <c r="AU19" s="75">
        <f>IFERROR(AVERAGE(AO19,AQ19,AS19),0)</f>
        <v>0</v>
      </c>
      <c r="AV19" s="75">
        <f>IFERROR(AVERAGE(X19,Z19,AB19,AF19,AH19,AJ19,AN19,AP19,AR19),0)</f>
        <v>1</v>
      </c>
      <c r="AW19" s="66">
        <f t="shared" si="2"/>
        <v>0</v>
      </c>
      <c r="AX19" s="66">
        <f t="shared" si="3"/>
        <v>0</v>
      </c>
      <c r="AY19" s="66">
        <f t="shared" si="4"/>
        <v>0</v>
      </c>
      <c r="AZ19" s="66">
        <f t="shared" si="5"/>
        <v>0</v>
      </c>
      <c r="BA19" s="28">
        <f t="shared" si="11"/>
        <v>0</v>
      </c>
      <c r="BB19" s="28">
        <f t="shared" si="0"/>
        <v>0</v>
      </c>
      <c r="BC19" s="28">
        <f t="shared" si="0"/>
        <v>0</v>
      </c>
      <c r="BD19" s="28">
        <f t="shared" si="0"/>
        <v>0</v>
      </c>
      <c r="BE19" s="28">
        <f t="shared" si="1"/>
        <v>0</v>
      </c>
      <c r="BF19" s="28">
        <f t="shared" si="1"/>
        <v>0</v>
      </c>
      <c r="BG19" s="28">
        <f t="shared" si="1"/>
        <v>0</v>
      </c>
      <c r="BH19" s="28">
        <f t="shared" si="1"/>
        <v>0</v>
      </c>
    </row>
    <row r="20" spans="2:60" ht="135">
      <c r="B20" s="501"/>
      <c r="C20" s="19" t="str">
        <f>+'01-FR-03 POA INSTITUCIONAL'!C44</f>
        <v>3.3. Generar 8 escenarios que fortalezcan el conocimiento y las competencias del operador disciplinario, que apoya el cumplimiento de la labor misional, extendiendo el alcance a los jueces naturales en el Distrito Capital.</v>
      </c>
      <c r="D20" s="19" t="str">
        <f>+'01-FR-03 POA INSTITUCIONAL'!D44</f>
        <v>3.3.1 Generar 8 escenarios de intercambio de conocimiento con los(as) servidores(as) públicos(as) para fortalecer el conocimiento en la sustanciación de procesos disciplinarios en el Distrito Capital.</v>
      </c>
      <c r="E20" s="37">
        <f>+'01-FR-03 POA INSTITUCIONAL'!E44</f>
        <v>1</v>
      </c>
      <c r="F20" s="244">
        <f>+'01-FR-03 POA INSTITUCIONAL'!F44</f>
        <v>8</v>
      </c>
      <c r="G20" s="244">
        <f>+'01-FR-03 POA INSTITUCIONAL'!L44</f>
        <v>2</v>
      </c>
      <c r="H20" s="244">
        <f>+'01-FR-03 POA INSTITUCIONAL'!G44</f>
        <v>8</v>
      </c>
      <c r="I20" s="129" t="str">
        <f>+'01-FR-03 POA INSTITUCIONAL'!H44</f>
        <v>Escenarios de intercambio de conocimiento generados</v>
      </c>
      <c r="J20" s="198" t="s">
        <v>290</v>
      </c>
      <c r="K20" s="217" t="s">
        <v>301</v>
      </c>
      <c r="L20" s="201" t="s">
        <v>291</v>
      </c>
      <c r="M20" s="201" t="s">
        <v>313</v>
      </c>
      <c r="N20" s="201" t="s">
        <v>303</v>
      </c>
      <c r="O20" s="67" t="str">
        <f>+'01-FR-03 POA INSTITUCIONAL'!J44</f>
        <v>Personería Delegada para la Coordinación de Potestad Disciplinaria</v>
      </c>
      <c r="P20" s="245">
        <v>0</v>
      </c>
      <c r="Q20" s="245"/>
      <c r="R20" s="245">
        <v>0</v>
      </c>
      <c r="S20" s="245"/>
      <c r="T20" s="245">
        <v>0</v>
      </c>
      <c r="U20" s="245"/>
      <c r="V20" s="53">
        <f t="shared" si="6"/>
        <v>0</v>
      </c>
      <c r="W20" s="53">
        <f t="shared" si="6"/>
        <v>0</v>
      </c>
      <c r="X20" s="245">
        <v>0</v>
      </c>
      <c r="Y20" s="245"/>
      <c r="Z20" s="245">
        <v>0</v>
      </c>
      <c r="AA20" s="245"/>
      <c r="AB20" s="245">
        <v>0</v>
      </c>
      <c r="AC20" s="245"/>
      <c r="AD20" s="53">
        <f t="shared" si="7"/>
        <v>0</v>
      </c>
      <c r="AE20" s="53">
        <f t="shared" si="7"/>
        <v>0</v>
      </c>
      <c r="AF20" s="245">
        <v>0</v>
      </c>
      <c r="AG20" s="245"/>
      <c r="AH20" s="245">
        <v>1</v>
      </c>
      <c r="AI20" s="245"/>
      <c r="AJ20" s="246">
        <v>0</v>
      </c>
      <c r="AK20" s="246"/>
      <c r="AL20" s="53">
        <f t="shared" si="8"/>
        <v>1</v>
      </c>
      <c r="AM20" s="53">
        <f t="shared" si="8"/>
        <v>0</v>
      </c>
      <c r="AN20" s="245">
        <v>0</v>
      </c>
      <c r="AO20" s="245"/>
      <c r="AP20" s="245">
        <v>1</v>
      </c>
      <c r="AQ20" s="245"/>
      <c r="AR20" s="245">
        <v>0</v>
      </c>
      <c r="AS20" s="245"/>
      <c r="AT20" s="53">
        <f t="shared" si="9"/>
        <v>1</v>
      </c>
      <c r="AU20" s="53">
        <f t="shared" si="9"/>
        <v>0</v>
      </c>
      <c r="AV20" s="221">
        <f>V20+AD20+AL20+AT20</f>
        <v>2</v>
      </c>
      <c r="AW20" s="66">
        <f t="shared" si="2"/>
        <v>0</v>
      </c>
      <c r="AX20" s="66">
        <f t="shared" si="3"/>
        <v>0</v>
      </c>
      <c r="AY20" s="66">
        <f t="shared" si="4"/>
        <v>0</v>
      </c>
      <c r="AZ20" s="66">
        <f t="shared" si="5"/>
        <v>0</v>
      </c>
      <c r="BA20" s="28">
        <f t="shared" si="11"/>
        <v>0</v>
      </c>
      <c r="BB20" s="28">
        <f t="shared" si="0"/>
        <v>0</v>
      </c>
      <c r="BC20" s="28">
        <f t="shared" si="0"/>
        <v>0</v>
      </c>
      <c r="BD20" s="28">
        <f t="shared" si="0"/>
        <v>0</v>
      </c>
      <c r="BE20" s="28">
        <f t="shared" si="1"/>
        <v>0</v>
      </c>
      <c r="BF20" s="28">
        <f t="shared" si="1"/>
        <v>0</v>
      </c>
      <c r="BG20" s="28">
        <f t="shared" si="1"/>
        <v>0</v>
      </c>
      <c r="BH20" s="28">
        <f t="shared" si="1"/>
        <v>0</v>
      </c>
    </row>
    <row r="21" spans="2:60" ht="90">
      <c r="B21" s="501"/>
      <c r="C21" s="500" t="str">
        <f>+'01-FR-03 POA INSTITUCIONAL'!C45</f>
        <v>3.4. Implementar al 100% tres soluciones informáticas propias para la ejecución y gestión de la Potestad Disciplinaria.</v>
      </c>
      <c r="D21" s="19" t="str">
        <f>+'01-FR-03 POA INSTITUCIONAL'!D45</f>
        <v>3.4.1 Implementar un sistema de comunicación efectiva y eficiente con las Oficinas de Control Interno del Distrito Capital.</v>
      </c>
      <c r="E21" s="37">
        <f>+'01-FR-03 POA INSTITUCIONAL'!E45</f>
        <v>0.2</v>
      </c>
      <c r="F21" s="244">
        <f>+'01-FR-03 POA INSTITUCIONAL'!F45</f>
        <v>1</v>
      </c>
      <c r="G21" s="248">
        <f>+'01-FR-03 POA INSTITUCIONAL'!L45</f>
        <v>0.5</v>
      </c>
      <c r="H21" s="244" t="str">
        <f>+'01-FR-03 POA INSTITUCIONAL'!G45</f>
        <v>S.I.</v>
      </c>
      <c r="I21" s="129" t="str">
        <f>+'01-FR-03 POA INSTITUCIONAL'!H45</f>
        <v xml:space="preserve">Sistema de Comunicación con las Oficinas de Control Interno Disciplinario implementado </v>
      </c>
      <c r="J21" s="198" t="s">
        <v>297</v>
      </c>
      <c r="K21" s="217" t="s">
        <v>302</v>
      </c>
      <c r="L21" s="201" t="s">
        <v>292</v>
      </c>
      <c r="M21" s="201" t="s">
        <v>313</v>
      </c>
      <c r="N21" s="201" t="s">
        <v>303</v>
      </c>
      <c r="O21" s="67" t="str">
        <f>+'01-FR-03 POA INSTITUCIONAL'!J45</f>
        <v>Personería Delegada para la Coordinación de Potestad Disciplinaria</v>
      </c>
      <c r="P21" s="349">
        <v>0.05</v>
      </c>
      <c r="Q21" s="245"/>
      <c r="R21" s="349">
        <v>0.05</v>
      </c>
      <c r="S21" s="245"/>
      <c r="T21" s="349">
        <v>0.05</v>
      </c>
      <c r="U21" s="245"/>
      <c r="V21" s="243">
        <f t="shared" si="6"/>
        <v>0.15000000000000002</v>
      </c>
      <c r="W21" s="53">
        <f t="shared" si="6"/>
        <v>0</v>
      </c>
      <c r="X21" s="349">
        <v>0.05</v>
      </c>
      <c r="Y21" s="245"/>
      <c r="Z21" s="349">
        <v>0.05</v>
      </c>
      <c r="AA21" s="245"/>
      <c r="AB21" s="349">
        <v>0.05</v>
      </c>
      <c r="AC21" s="245"/>
      <c r="AD21" s="243">
        <f t="shared" si="7"/>
        <v>0.15000000000000002</v>
      </c>
      <c r="AE21" s="53">
        <f t="shared" si="7"/>
        <v>0</v>
      </c>
      <c r="AF21" s="349">
        <v>0.05</v>
      </c>
      <c r="AG21" s="245"/>
      <c r="AH21" s="349">
        <v>0.05</v>
      </c>
      <c r="AI21" s="245"/>
      <c r="AJ21" s="349">
        <v>0.05</v>
      </c>
      <c r="AK21" s="246"/>
      <c r="AL21" s="243">
        <f t="shared" si="8"/>
        <v>0.15000000000000002</v>
      </c>
      <c r="AM21" s="53">
        <f t="shared" si="8"/>
        <v>0</v>
      </c>
      <c r="AN21" s="349">
        <v>0.05</v>
      </c>
      <c r="AO21" s="245"/>
      <c r="AP21" s="245">
        <v>0</v>
      </c>
      <c r="AQ21" s="245"/>
      <c r="AR21" s="245">
        <v>0</v>
      </c>
      <c r="AS21" s="245"/>
      <c r="AT21" s="243">
        <f t="shared" si="9"/>
        <v>0.05</v>
      </c>
      <c r="AU21" s="243">
        <f t="shared" si="9"/>
        <v>0</v>
      </c>
      <c r="AV21" s="249">
        <f t="shared" si="10"/>
        <v>0.50000000000000011</v>
      </c>
      <c r="AW21" s="66">
        <f t="shared" si="2"/>
        <v>0</v>
      </c>
      <c r="AX21" s="66">
        <f t="shared" si="3"/>
        <v>0</v>
      </c>
      <c r="AY21" s="66">
        <f t="shared" si="4"/>
        <v>0</v>
      </c>
      <c r="AZ21" s="66">
        <f t="shared" si="5"/>
        <v>0</v>
      </c>
      <c r="BA21" s="28">
        <f t="shared" si="11"/>
        <v>0</v>
      </c>
      <c r="BB21" s="28">
        <f t="shared" si="0"/>
        <v>0</v>
      </c>
      <c r="BC21" s="28">
        <f t="shared" si="0"/>
        <v>0</v>
      </c>
      <c r="BD21" s="28">
        <f t="shared" si="0"/>
        <v>0</v>
      </c>
      <c r="BE21" s="28">
        <f t="shared" si="1"/>
        <v>0</v>
      </c>
      <c r="BF21" s="28">
        <f t="shared" si="1"/>
        <v>0</v>
      </c>
      <c r="BG21" s="28">
        <f t="shared" si="1"/>
        <v>0</v>
      </c>
      <c r="BH21" s="28">
        <f t="shared" si="1"/>
        <v>0</v>
      </c>
    </row>
    <row r="22" spans="2:60" ht="90">
      <c r="B22" s="501"/>
      <c r="C22" s="501"/>
      <c r="D22" s="19" t="str">
        <f>+'01-FR-03 POA INSTITUCIONAL'!D46</f>
        <v xml:space="preserve">3.4.2 Diseñar e implementar un sistema de información misional que generé el expediente electrónico  </v>
      </c>
      <c r="E22" s="37">
        <f>+'01-FR-03 POA INSTITUCIONAL'!E46</f>
        <v>0.7</v>
      </c>
      <c r="F22" s="244">
        <f>+'01-FR-03 POA INSTITUCIONAL'!F46</f>
        <v>1</v>
      </c>
      <c r="G22" s="248">
        <f>+'01-FR-03 POA INSTITUCIONAL'!L46</f>
        <v>0.4</v>
      </c>
      <c r="H22" s="244" t="str">
        <f>+'01-FR-03 POA INSTITUCIONAL'!G46</f>
        <v>S.I.</v>
      </c>
      <c r="I22" s="129" t="str">
        <f>+'01-FR-03 POA INSTITUCIONAL'!H46</f>
        <v xml:space="preserve">Sistema de información misional implementado </v>
      </c>
      <c r="J22" s="198" t="s">
        <v>298</v>
      </c>
      <c r="K22" s="217" t="s">
        <v>310</v>
      </c>
      <c r="L22" s="201" t="s">
        <v>292</v>
      </c>
      <c r="M22" s="201" t="s">
        <v>313</v>
      </c>
      <c r="N22" s="201" t="s">
        <v>303</v>
      </c>
      <c r="O22" s="67" t="str">
        <f>+'01-FR-03 POA INSTITUCIONAL'!J46</f>
        <v>Personería Delegada para la Coordinación de Potestad Disciplinaria</v>
      </c>
      <c r="P22" s="287">
        <v>0</v>
      </c>
      <c r="Q22" s="287"/>
      <c r="R22" s="287">
        <v>0.02</v>
      </c>
      <c r="S22" s="287"/>
      <c r="T22" s="287">
        <v>0.03</v>
      </c>
      <c r="U22" s="245"/>
      <c r="V22" s="243">
        <f t="shared" si="6"/>
        <v>0.05</v>
      </c>
      <c r="W22" s="53">
        <f t="shared" si="6"/>
        <v>0</v>
      </c>
      <c r="X22" s="287">
        <v>0.03</v>
      </c>
      <c r="Y22" s="245"/>
      <c r="Z22" s="287">
        <v>0.03</v>
      </c>
      <c r="AA22" s="245"/>
      <c r="AB22" s="287">
        <v>0.05</v>
      </c>
      <c r="AC22" s="245"/>
      <c r="AD22" s="243">
        <f t="shared" si="7"/>
        <v>0.11</v>
      </c>
      <c r="AE22" s="53">
        <f t="shared" si="7"/>
        <v>0</v>
      </c>
      <c r="AF22" s="287">
        <v>0.05</v>
      </c>
      <c r="AG22" s="245"/>
      <c r="AH22" s="287">
        <v>0.05</v>
      </c>
      <c r="AI22" s="245"/>
      <c r="AJ22" s="287">
        <v>0.05</v>
      </c>
      <c r="AK22" s="246"/>
      <c r="AL22" s="243">
        <f t="shared" si="8"/>
        <v>0.15000000000000002</v>
      </c>
      <c r="AM22" s="53">
        <f t="shared" si="8"/>
        <v>0</v>
      </c>
      <c r="AN22" s="287">
        <v>0.05</v>
      </c>
      <c r="AO22" s="245"/>
      <c r="AP22" s="287">
        <v>0.04</v>
      </c>
      <c r="AQ22" s="245"/>
      <c r="AR22" s="245">
        <v>0</v>
      </c>
      <c r="AS22" s="245"/>
      <c r="AT22" s="243">
        <f>AN22+AP22+AR22</f>
        <v>0.09</v>
      </c>
      <c r="AU22" s="243">
        <f t="shared" si="9"/>
        <v>0</v>
      </c>
      <c r="AV22" s="250">
        <f t="shared" si="10"/>
        <v>0.4</v>
      </c>
      <c r="AW22" s="66">
        <f t="shared" si="2"/>
        <v>0</v>
      </c>
      <c r="AX22" s="66">
        <f t="shared" si="3"/>
        <v>0</v>
      </c>
      <c r="AY22" s="66">
        <f t="shared" si="4"/>
        <v>0</v>
      </c>
      <c r="AZ22" s="66">
        <f t="shared" si="5"/>
        <v>0</v>
      </c>
      <c r="BA22" s="28">
        <f t="shared" si="11"/>
        <v>0</v>
      </c>
      <c r="BB22" s="28">
        <f t="shared" si="0"/>
        <v>0</v>
      </c>
      <c r="BC22" s="28">
        <f t="shared" si="0"/>
        <v>0</v>
      </c>
      <c r="BD22" s="28">
        <f t="shared" si="0"/>
        <v>0</v>
      </c>
      <c r="BE22" s="28">
        <f t="shared" si="1"/>
        <v>0</v>
      </c>
      <c r="BF22" s="28">
        <f t="shared" si="1"/>
        <v>0</v>
      </c>
      <c r="BG22" s="28">
        <f t="shared" si="1"/>
        <v>0</v>
      </c>
      <c r="BH22" s="28">
        <f t="shared" si="1"/>
        <v>0</v>
      </c>
    </row>
    <row r="23" spans="2:60" ht="90">
      <c r="B23" s="501"/>
      <c r="C23" s="567"/>
      <c r="D23" s="19" t="str">
        <f>+'01-FR-03 POA INSTITUCIONAL'!D47</f>
        <v xml:space="preserve">3.4.3 Diseñar e implementar una relatoría de las decisiones de fondo adoptadas en ejercicio de la potestad disciplinaria  </v>
      </c>
      <c r="E23" s="37">
        <f>+'01-FR-03 POA INSTITUCIONAL'!E47</f>
        <v>0.1</v>
      </c>
      <c r="F23" s="244">
        <f>+'01-FR-03 POA INSTITUCIONAL'!F47</f>
        <v>1</v>
      </c>
      <c r="G23" s="248">
        <f>+'01-FR-03 POA INSTITUCIONAL'!L47</f>
        <v>0.3</v>
      </c>
      <c r="H23" s="244" t="str">
        <f>+'01-FR-03 POA INSTITUCIONAL'!G47</f>
        <v>S.I.</v>
      </c>
      <c r="I23" s="129" t="str">
        <f>+'01-FR-03 POA INSTITUCIONAL'!H47</f>
        <v>Relatoría diseñada e implementada</v>
      </c>
      <c r="J23" s="198" t="s">
        <v>299</v>
      </c>
      <c r="K23" s="217" t="s">
        <v>311</v>
      </c>
      <c r="L23" s="201" t="s">
        <v>293</v>
      </c>
      <c r="M23" s="201" t="s">
        <v>313</v>
      </c>
      <c r="N23" s="201" t="s">
        <v>303</v>
      </c>
      <c r="O23" s="67" t="str">
        <f>+'01-FR-03 POA INSTITUCIONAL'!J47</f>
        <v>Personería Delegada para la Coordinación de Potestad Disciplinaria</v>
      </c>
      <c r="P23" s="245">
        <v>0</v>
      </c>
      <c r="Q23" s="245"/>
      <c r="R23" s="287">
        <v>0.03</v>
      </c>
      <c r="S23" s="245"/>
      <c r="T23" s="287">
        <v>0.03</v>
      </c>
      <c r="U23" s="245"/>
      <c r="V23" s="243">
        <f t="shared" si="6"/>
        <v>0.06</v>
      </c>
      <c r="W23" s="53">
        <f t="shared" si="6"/>
        <v>0</v>
      </c>
      <c r="X23" s="287">
        <v>0.03</v>
      </c>
      <c r="Y23" s="245"/>
      <c r="Z23" s="287">
        <v>0.03</v>
      </c>
      <c r="AA23" s="245"/>
      <c r="AB23" s="287">
        <v>0.03</v>
      </c>
      <c r="AC23" s="245"/>
      <c r="AD23" s="243">
        <f t="shared" si="7"/>
        <v>0.09</v>
      </c>
      <c r="AE23" s="53">
        <f t="shared" si="7"/>
        <v>0</v>
      </c>
      <c r="AF23" s="287">
        <v>0.03</v>
      </c>
      <c r="AG23" s="245"/>
      <c r="AH23" s="287">
        <v>0.03</v>
      </c>
      <c r="AI23" s="245"/>
      <c r="AJ23" s="287">
        <v>0.03</v>
      </c>
      <c r="AK23" s="246"/>
      <c r="AL23" s="243">
        <f t="shared" si="8"/>
        <v>0.09</v>
      </c>
      <c r="AM23" s="53">
        <f t="shared" si="8"/>
        <v>0</v>
      </c>
      <c r="AN23" s="287">
        <v>0.03</v>
      </c>
      <c r="AO23" s="245"/>
      <c r="AP23" s="287">
        <v>0.03</v>
      </c>
      <c r="AQ23" s="245"/>
      <c r="AR23" s="287">
        <v>0</v>
      </c>
      <c r="AS23" s="245"/>
      <c r="AT23" s="243">
        <f>AN23+AP23+AR23</f>
        <v>0.06</v>
      </c>
      <c r="AU23" s="243">
        <f t="shared" si="9"/>
        <v>0</v>
      </c>
      <c r="AV23" s="250">
        <f t="shared" si="10"/>
        <v>0.3</v>
      </c>
      <c r="AW23" s="66">
        <f t="shared" si="2"/>
        <v>0</v>
      </c>
      <c r="AX23" s="66">
        <f t="shared" si="3"/>
        <v>0</v>
      </c>
      <c r="AY23" s="66">
        <f t="shared" si="4"/>
        <v>0</v>
      </c>
      <c r="AZ23" s="66">
        <f t="shared" si="5"/>
        <v>0</v>
      </c>
      <c r="BA23" s="28">
        <f>IF(AND(AW23&gt;0,AV23&gt;0),AW23/AV23,0)</f>
        <v>0</v>
      </c>
      <c r="BB23" s="28">
        <f t="shared" si="0"/>
        <v>0</v>
      </c>
      <c r="BC23" s="28">
        <f t="shared" si="0"/>
        <v>0</v>
      </c>
      <c r="BD23" s="28">
        <f t="shared" si="0"/>
        <v>0</v>
      </c>
      <c r="BE23" s="28">
        <f t="shared" si="1"/>
        <v>0</v>
      </c>
      <c r="BF23" s="28">
        <f t="shared" si="1"/>
        <v>0</v>
      </c>
      <c r="BG23" s="28">
        <f t="shared" si="1"/>
        <v>0</v>
      </c>
      <c r="BH23" s="28">
        <f t="shared" si="1"/>
        <v>0</v>
      </c>
    </row>
    <row r="24" spans="2:60" ht="22.8">
      <c r="B24" s="496"/>
      <c r="C24" s="497"/>
      <c r="D24" s="497"/>
      <c r="E24" s="497"/>
      <c r="F24" s="497"/>
      <c r="G24" s="497"/>
      <c r="H24" s="497"/>
      <c r="I24" s="497"/>
      <c r="J24" s="497"/>
      <c r="K24" s="497"/>
      <c r="L24" s="497"/>
      <c r="M24" s="497"/>
      <c r="N24" s="497"/>
      <c r="O24" s="497"/>
      <c r="P24" s="497"/>
      <c r="Q24" s="497"/>
      <c r="R24" s="497"/>
      <c r="S24" s="497"/>
      <c r="T24" s="497"/>
      <c r="U24" s="497"/>
      <c r="V24" s="497"/>
      <c r="W24" s="497"/>
      <c r="X24" s="497"/>
      <c r="Y24" s="497"/>
      <c r="Z24" s="497"/>
      <c r="AA24" s="497"/>
      <c r="AB24" s="497"/>
      <c r="AC24" s="497"/>
      <c r="AD24" s="497"/>
      <c r="AE24" s="497"/>
      <c r="AF24" s="497"/>
      <c r="AG24" s="497"/>
      <c r="AH24" s="497"/>
      <c r="AI24" s="497"/>
      <c r="AJ24" s="497"/>
      <c r="AK24" s="497"/>
      <c r="AL24" s="497"/>
      <c r="AM24" s="497"/>
      <c r="AN24" s="497"/>
      <c r="AO24" s="497"/>
      <c r="AP24" s="497"/>
      <c r="AQ24" s="497"/>
      <c r="AR24" s="497"/>
      <c r="AS24" s="497"/>
      <c r="AT24" s="497"/>
      <c r="AU24" s="497"/>
      <c r="AV24" s="497"/>
      <c r="AW24" s="548"/>
      <c r="AX24" s="518" t="s">
        <v>19</v>
      </c>
      <c r="AY24" s="570"/>
      <c r="AZ24" s="570"/>
      <c r="BA24" s="56">
        <f t="shared" ref="BA24:BH24" si="12">AVERAGE(BA16:BA23)</f>
        <v>0</v>
      </c>
      <c r="BB24" s="56">
        <f t="shared" si="12"/>
        <v>0</v>
      </c>
      <c r="BC24" s="56">
        <f t="shared" si="12"/>
        <v>0</v>
      </c>
      <c r="BD24" s="56">
        <f t="shared" si="12"/>
        <v>0</v>
      </c>
      <c r="BE24" s="56">
        <f t="shared" si="12"/>
        <v>0</v>
      </c>
      <c r="BF24" s="56">
        <f t="shared" si="12"/>
        <v>0</v>
      </c>
      <c r="BG24" s="56">
        <f t="shared" si="12"/>
        <v>0</v>
      </c>
      <c r="BH24" s="56">
        <f t="shared" si="12"/>
        <v>0</v>
      </c>
    </row>
    <row r="25" spans="2:60">
      <c r="B25" s="453"/>
      <c r="C25" s="453"/>
      <c r="D25" s="453"/>
      <c r="E25" s="453"/>
      <c r="F25" s="453"/>
      <c r="G25" s="453"/>
      <c r="H25" s="223"/>
      <c r="I25" s="224"/>
      <c r="J25" s="224"/>
      <c r="K25" s="224"/>
      <c r="L25" s="224"/>
      <c r="M25" s="224"/>
      <c r="N25" s="224"/>
      <c r="O25" s="224"/>
    </row>
    <row r="26" spans="2:60">
      <c r="B26" s="224"/>
      <c r="C26" s="224"/>
      <c r="D26" s="549"/>
      <c r="E26" s="549"/>
      <c r="F26" s="549"/>
      <c r="G26" s="549"/>
      <c r="H26" s="549"/>
      <c r="I26" s="549"/>
      <c r="J26" s="549"/>
      <c r="K26" s="549"/>
      <c r="L26" s="549"/>
      <c r="M26" s="549"/>
      <c r="N26" s="549"/>
      <c r="O26" s="549"/>
    </row>
    <row r="27" spans="2:60" ht="15.6" customHeight="1">
      <c r="B27" s="63" t="s">
        <v>26</v>
      </c>
      <c r="C27" s="225">
        <v>44223</v>
      </c>
      <c r="D27" s="226"/>
      <c r="E27" s="558" t="s">
        <v>50</v>
      </c>
      <c r="F27" s="550" t="s">
        <v>657</v>
      </c>
      <c r="G27" s="551"/>
      <c r="H27" s="551"/>
      <c r="I27" s="551"/>
      <c r="J27" s="552"/>
      <c r="K27" s="227"/>
      <c r="L27" s="559"/>
      <c r="M27" s="559"/>
      <c r="N27" s="559"/>
      <c r="O27" s="560"/>
    </row>
    <row r="28" spans="2:60" ht="15.6">
      <c r="B28" s="224"/>
      <c r="C28" s="224"/>
      <c r="D28" s="227"/>
      <c r="E28" s="558"/>
      <c r="F28" s="553"/>
      <c r="G28" s="554"/>
      <c r="H28" s="554"/>
      <c r="I28" s="554"/>
      <c r="J28" s="555"/>
      <c r="K28" s="224"/>
      <c r="L28" s="224"/>
      <c r="M28" s="224"/>
      <c r="N28" s="224"/>
      <c r="O28" s="224"/>
    </row>
    <row r="29" spans="2:60" ht="15.6">
      <c r="B29" s="63" t="s">
        <v>49</v>
      </c>
      <c r="C29" s="225">
        <v>44470</v>
      </c>
      <c r="D29" s="224"/>
      <c r="E29" s="224"/>
      <c r="F29" s="224"/>
      <c r="K29" s="224"/>
      <c r="L29" s="224"/>
      <c r="M29" s="224"/>
      <c r="N29" s="224"/>
      <c r="O29" s="224"/>
    </row>
    <row r="30" spans="2:60">
      <c r="B30" s="224"/>
      <c r="C30" s="224"/>
      <c r="D30" s="224"/>
      <c r="E30" s="224"/>
      <c r="F30" s="224"/>
      <c r="K30" s="224"/>
      <c r="L30" s="224"/>
      <c r="M30" s="224"/>
      <c r="N30" s="224"/>
      <c r="O30" s="224"/>
    </row>
    <row r="31" spans="2:60" ht="24.6" customHeight="1">
      <c r="B31" s="63" t="s">
        <v>49</v>
      </c>
      <c r="C31" s="65">
        <v>44581</v>
      </c>
      <c r="D31" s="224"/>
      <c r="E31" s="224"/>
      <c r="F31" s="224"/>
      <c r="K31" s="224"/>
      <c r="L31" s="224"/>
      <c r="M31" s="224"/>
      <c r="N31" s="224"/>
      <c r="O31" s="224"/>
    </row>
    <row r="32" spans="2:60">
      <c r="B32" s="224"/>
      <c r="C32" s="224"/>
      <c r="D32" s="224"/>
      <c r="E32" s="224"/>
      <c r="F32" s="224"/>
      <c r="K32" s="224"/>
      <c r="L32" s="224"/>
      <c r="M32" s="224"/>
      <c r="N32" s="224"/>
      <c r="O32" s="224"/>
    </row>
    <row r="33" spans="2:15">
      <c r="B33" s="189" t="s">
        <v>673</v>
      </c>
      <c r="C33" s="224"/>
      <c r="D33" s="224"/>
      <c r="E33" s="224"/>
      <c r="F33" s="224"/>
      <c r="G33" s="223"/>
      <c r="H33" s="223"/>
      <c r="I33" s="575"/>
      <c r="J33" s="575"/>
      <c r="K33" s="575"/>
      <c r="L33" s="575"/>
      <c r="M33" s="228"/>
      <c r="N33" s="228"/>
      <c r="O33" s="228"/>
    </row>
    <row r="34" spans="2:15">
      <c r="B34" s="224"/>
      <c r="C34" s="224"/>
      <c r="D34" s="224"/>
      <c r="E34" s="224"/>
      <c r="F34" s="224"/>
      <c r="G34" s="223"/>
      <c r="H34" s="223"/>
      <c r="I34" s="224"/>
      <c r="J34" s="224"/>
      <c r="K34" s="229"/>
      <c r="L34" s="224"/>
      <c r="M34" s="224"/>
      <c r="N34" s="224"/>
      <c r="O34" s="224"/>
    </row>
    <row r="35" spans="2:15">
      <c r="B35" s="224"/>
      <c r="C35" s="224"/>
      <c r="D35" s="224"/>
      <c r="E35" s="224"/>
      <c r="F35" s="224"/>
      <c r="G35" s="223"/>
      <c r="H35" s="223"/>
      <c r="I35" s="575"/>
      <c r="J35" s="575"/>
      <c r="K35" s="575"/>
      <c r="L35" s="575"/>
      <c r="M35" s="228"/>
      <c r="N35" s="228"/>
      <c r="O35" s="228"/>
    </row>
    <row r="36" spans="2:15">
      <c r="B36" s="224"/>
      <c r="C36" s="224"/>
      <c r="D36" s="224"/>
      <c r="E36" s="224"/>
      <c r="F36" s="224"/>
      <c r="G36" s="223"/>
      <c r="H36" s="223"/>
      <c r="I36" s="224"/>
      <c r="J36" s="224"/>
      <c r="K36" s="229"/>
      <c r="L36" s="224"/>
      <c r="M36" s="224"/>
      <c r="N36" s="224"/>
      <c r="O36" s="224"/>
    </row>
    <row r="37" spans="2:15">
      <c r="B37" s="224"/>
      <c r="C37" s="224"/>
      <c r="D37" s="224"/>
      <c r="E37" s="224"/>
      <c r="F37" s="224"/>
      <c r="G37" s="223"/>
      <c r="H37" s="223"/>
      <c r="I37" s="575"/>
      <c r="J37" s="575"/>
      <c r="K37" s="575"/>
      <c r="L37" s="575"/>
      <c r="M37" s="228"/>
      <c r="N37" s="228"/>
      <c r="O37" s="228"/>
    </row>
  </sheetData>
  <sheetProtection algorithmName="SHA-512" hashValue="dS6p7vsC6r0qdWsSAEulZctrWADJSCet3HPHuaRe6+8FHrZUyZH9q/WFBQHS5Rt2AKpsyxXGuGhi0teG+CUxwA==" saltValue="IHSmKvZF1YxHDGSZHxQhUQ==" spinCount="100000" sheet="1" objects="1" scenarios="1"/>
  <mergeCells count="72">
    <mergeCell ref="I12:I15"/>
    <mergeCell ref="J12:J15"/>
    <mergeCell ref="K12:K15"/>
    <mergeCell ref="L12:L15"/>
    <mergeCell ref="C9:D9"/>
    <mergeCell ref="C10:D10"/>
    <mergeCell ref="F12:F15"/>
    <mergeCell ref="B12:B15"/>
    <mergeCell ref="C12:C15"/>
    <mergeCell ref="D12:D15"/>
    <mergeCell ref="B2:B6"/>
    <mergeCell ref="C2:BF6"/>
    <mergeCell ref="AZ13:AZ15"/>
    <mergeCell ref="BA13:BA15"/>
    <mergeCell ref="P12:AU12"/>
    <mergeCell ref="BD13:BD15"/>
    <mergeCell ref="AB14:AC14"/>
    <mergeCell ref="AP14:AQ14"/>
    <mergeCell ref="AR14:AS14"/>
    <mergeCell ref="AT14:AU14"/>
    <mergeCell ref="AF14:AG14"/>
    <mergeCell ref="AH14:AI14"/>
    <mergeCell ref="AJ14:AK14"/>
    <mergeCell ref="BG6:BH6"/>
    <mergeCell ref="AW7:BA7"/>
    <mergeCell ref="C8:D8"/>
    <mergeCell ref="BE13:BE15"/>
    <mergeCell ref="BF13:BF15"/>
    <mergeCell ref="BG13:BG15"/>
    <mergeCell ref="BH13:BH15"/>
    <mergeCell ref="M12:M15"/>
    <mergeCell ref="BE12:BH12"/>
    <mergeCell ref="P13:W13"/>
    <mergeCell ref="X13:AE13"/>
    <mergeCell ref="AF13:AM13"/>
    <mergeCell ref="AN13:AU13"/>
    <mergeCell ref="AW13:AW15"/>
    <mergeCell ref="AX13:AX15"/>
    <mergeCell ref="AY13:AY15"/>
    <mergeCell ref="AL14:AM14"/>
    <mergeCell ref="AN14:AO14"/>
    <mergeCell ref="BC13:BC15"/>
    <mergeCell ref="AV12:AV15"/>
    <mergeCell ref="AW12:AZ12"/>
    <mergeCell ref="BA12:BD12"/>
    <mergeCell ref="BB13:BB15"/>
    <mergeCell ref="B16:B23"/>
    <mergeCell ref="C16:C17"/>
    <mergeCell ref="C18:C19"/>
    <mergeCell ref="C21:C23"/>
    <mergeCell ref="AD14:AE14"/>
    <mergeCell ref="N12:N15"/>
    <mergeCell ref="O12:O15"/>
    <mergeCell ref="H12:H15"/>
    <mergeCell ref="Z14:AA14"/>
    <mergeCell ref="P14:Q14"/>
    <mergeCell ref="R14:S14"/>
    <mergeCell ref="T14:U14"/>
    <mergeCell ref="V14:W14"/>
    <mergeCell ref="X14:Y14"/>
    <mergeCell ref="G12:G15"/>
    <mergeCell ref="E12:E15"/>
    <mergeCell ref="AX24:AZ24"/>
    <mergeCell ref="D26:O26"/>
    <mergeCell ref="E27:E28"/>
    <mergeCell ref="L27:O27"/>
    <mergeCell ref="F27:J28"/>
    <mergeCell ref="I33:L33"/>
    <mergeCell ref="I35:L35"/>
    <mergeCell ref="I37:L37"/>
    <mergeCell ref="B25:G25"/>
    <mergeCell ref="B24:AW24"/>
  </mergeCells>
  <conditionalFormatting sqref="BA16:BD16 BB17:BD23">
    <cfRule type="cellIs" dxfId="128" priority="7" operator="between">
      <formula>0.7</formula>
      <formula>1</formula>
    </cfRule>
    <cfRule type="cellIs" dxfId="127" priority="8" operator="between">
      <formula>0.51</formula>
      <formula>0.69</formula>
    </cfRule>
    <cfRule type="cellIs" dxfId="126" priority="9" operator="between">
      <formula>0</formula>
      <formula>0.5</formula>
    </cfRule>
  </conditionalFormatting>
  <conditionalFormatting sqref="BA17:BA23">
    <cfRule type="cellIs" dxfId="125" priority="4" operator="between">
      <formula>0.7</formula>
      <formula>1</formula>
    </cfRule>
    <cfRule type="cellIs" dxfId="124" priority="5" operator="between">
      <formula>0.51</formula>
      <formula>0.69</formula>
    </cfRule>
    <cfRule type="cellIs" dxfId="123" priority="6" operator="between">
      <formula>0</formula>
      <formula>0.5</formula>
    </cfRule>
  </conditionalFormatting>
  <conditionalFormatting sqref="BE16:BH23">
    <cfRule type="cellIs" dxfId="122" priority="1" operator="between">
      <formula>0.7</formula>
      <formula>1</formula>
    </cfRule>
    <cfRule type="cellIs" dxfId="121" priority="2" operator="between">
      <formula>0.51</formula>
      <formula>0.69</formula>
    </cfRule>
    <cfRule type="cellIs" dxfId="120"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73F29265-57C3-4DC5-8A05-4C641A2234CF}"/>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5AAE4-7E4A-431D-B032-6E7EB61E01B3}">
  <sheetPr>
    <tabColor rgb="FF92D050"/>
  </sheetPr>
  <dimension ref="B1:BH35"/>
  <sheetViews>
    <sheetView showGridLines="0" topLeftCell="A22" zoomScale="55" zoomScaleNormal="55" workbookViewId="0">
      <selection activeCell="C10" sqref="C10:D10"/>
    </sheetView>
  </sheetViews>
  <sheetFormatPr baseColWidth="10" defaultColWidth="17.33203125" defaultRowHeight="15"/>
  <cols>
    <col min="1" max="1" width="4.33203125" style="251" customWidth="1"/>
    <col min="2" max="2" width="50.44140625" style="251" customWidth="1"/>
    <col min="3" max="3" width="31.44140625" style="251" customWidth="1"/>
    <col min="4" max="4" width="49.6640625" style="251" customWidth="1"/>
    <col min="5" max="6" width="27.5546875" style="251" customWidth="1"/>
    <col min="7" max="8" width="29.33203125" style="252" customWidth="1"/>
    <col min="9" max="9" width="36.33203125" style="251" customWidth="1"/>
    <col min="10" max="10" width="31.88671875" style="251" customWidth="1"/>
    <col min="11" max="11" width="63.88671875" style="251" customWidth="1"/>
    <col min="12" max="12" width="48.44140625" style="251" customWidth="1"/>
    <col min="13" max="14" width="28.5546875" style="251" customWidth="1"/>
    <col min="15" max="15" width="50" style="251" customWidth="1"/>
    <col min="16" max="47" width="15.88671875" style="251" customWidth="1"/>
    <col min="48" max="48" width="24.5546875" style="251" customWidth="1"/>
    <col min="49" max="49" width="22.88671875" style="251" customWidth="1"/>
    <col min="50" max="50" width="19.33203125" style="251" customWidth="1"/>
    <col min="51" max="51" width="18.44140625" style="251" customWidth="1"/>
    <col min="52" max="52" width="19.44140625" style="251" customWidth="1"/>
    <col min="53" max="53" width="23.33203125" style="251" customWidth="1"/>
    <col min="54" max="55" width="25.109375" style="251" customWidth="1"/>
    <col min="56" max="56" width="26.6640625" style="251" customWidth="1"/>
    <col min="57" max="57" width="26.33203125" style="251" customWidth="1"/>
    <col min="58" max="58" width="26.5546875" style="251" customWidth="1"/>
    <col min="59" max="59" width="26.33203125" style="251" customWidth="1"/>
    <col min="60" max="60" width="27.33203125" style="251" customWidth="1"/>
    <col min="61" max="16384" width="17.33203125" style="251"/>
  </cols>
  <sheetData>
    <row r="1" spans="2:60" ht="15.6" thickBot="1"/>
    <row r="2" spans="2:60" ht="15.6" customHeight="1">
      <c r="B2" s="489" t="s">
        <v>671</v>
      </c>
      <c r="C2" s="534" t="s">
        <v>117</v>
      </c>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35"/>
      <c r="AL2" s="535"/>
      <c r="AM2" s="535"/>
      <c r="AN2" s="535"/>
      <c r="AO2" s="535"/>
      <c r="AP2" s="535"/>
      <c r="AQ2" s="535"/>
      <c r="AR2" s="535"/>
      <c r="AS2" s="535"/>
      <c r="AT2" s="535"/>
      <c r="AU2" s="535"/>
      <c r="AV2" s="535"/>
      <c r="AW2" s="535"/>
      <c r="AX2" s="535"/>
      <c r="AY2" s="535"/>
      <c r="AZ2" s="535"/>
      <c r="BA2" s="535"/>
      <c r="BB2" s="535"/>
      <c r="BC2" s="535"/>
      <c r="BD2" s="535"/>
      <c r="BE2" s="535"/>
      <c r="BF2" s="536"/>
      <c r="BG2" s="190" t="s">
        <v>31</v>
      </c>
      <c r="BH2" s="191"/>
    </row>
    <row r="3" spans="2:60" ht="15.6">
      <c r="B3" s="490"/>
      <c r="C3" s="537"/>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8"/>
      <c r="AZ3" s="538"/>
      <c r="BA3" s="538"/>
      <c r="BB3" s="538"/>
      <c r="BC3" s="538"/>
      <c r="BD3" s="538"/>
      <c r="BE3" s="538"/>
      <c r="BF3" s="539"/>
      <c r="BG3" s="192" t="s">
        <v>28</v>
      </c>
      <c r="BH3" s="17" t="s">
        <v>29</v>
      </c>
    </row>
    <row r="4" spans="2:60" ht="15" customHeight="1">
      <c r="B4" s="490"/>
      <c r="C4" s="537"/>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538"/>
      <c r="BF4" s="539"/>
      <c r="BG4" s="193">
        <v>5</v>
      </c>
      <c r="BH4" s="18" t="s">
        <v>645</v>
      </c>
    </row>
    <row r="5" spans="2:60" ht="15.6">
      <c r="B5" s="490"/>
      <c r="C5" s="537"/>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538"/>
      <c r="BF5" s="539"/>
      <c r="BG5" s="194" t="s">
        <v>30</v>
      </c>
      <c r="BH5" s="195"/>
    </row>
    <row r="6" spans="2:60" ht="15.6" customHeight="1" thickBot="1">
      <c r="B6" s="491"/>
      <c r="C6" s="540"/>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1"/>
      <c r="AN6" s="541"/>
      <c r="AO6" s="541"/>
      <c r="AP6" s="541"/>
      <c r="AQ6" s="541"/>
      <c r="AR6" s="541"/>
      <c r="AS6" s="541"/>
      <c r="AT6" s="541"/>
      <c r="AU6" s="541"/>
      <c r="AV6" s="541"/>
      <c r="AW6" s="541"/>
      <c r="AX6" s="541"/>
      <c r="AY6" s="541"/>
      <c r="AZ6" s="541"/>
      <c r="BA6" s="541"/>
      <c r="BB6" s="541"/>
      <c r="BC6" s="541"/>
      <c r="BD6" s="541"/>
      <c r="BE6" s="541"/>
      <c r="BF6" s="542"/>
      <c r="BG6" s="556">
        <v>43941</v>
      </c>
      <c r="BH6" s="557"/>
    </row>
    <row r="7" spans="2:60">
      <c r="B7" s="197"/>
      <c r="C7" s="197"/>
      <c r="D7" s="197"/>
      <c r="E7" s="197"/>
      <c r="F7" s="197"/>
      <c r="G7" s="253"/>
      <c r="H7" s="253"/>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528"/>
      <c r="AX7" s="559"/>
      <c r="AY7" s="559"/>
      <c r="AZ7" s="559"/>
      <c r="BA7" s="530"/>
      <c r="BB7" s="214"/>
      <c r="BC7" s="214"/>
      <c r="BD7" s="214"/>
      <c r="BE7" s="197"/>
      <c r="BF7" s="197"/>
    </row>
    <row r="8" spans="2:60" ht="15.6">
      <c r="B8" s="254" t="s">
        <v>45</v>
      </c>
      <c r="C8" s="645" t="s">
        <v>90</v>
      </c>
      <c r="D8" s="645"/>
      <c r="E8" s="197"/>
      <c r="F8" s="197"/>
      <c r="G8" s="197"/>
      <c r="H8" s="197"/>
      <c r="I8" s="197"/>
      <c r="J8" s="197"/>
      <c r="K8" s="197"/>
      <c r="L8" s="197"/>
      <c r="M8" s="197"/>
      <c r="N8" s="197"/>
      <c r="O8" s="197"/>
      <c r="AW8" s="214"/>
      <c r="AX8" s="214"/>
      <c r="AY8" s="214"/>
      <c r="AZ8" s="214"/>
      <c r="BA8" s="214"/>
      <c r="BB8" s="214"/>
      <c r="BC8" s="214"/>
      <c r="BD8" s="214"/>
    </row>
    <row r="9" spans="2:60" ht="95.25" customHeight="1">
      <c r="B9" s="254" t="s">
        <v>34</v>
      </c>
      <c r="C9" s="644" t="s">
        <v>413</v>
      </c>
      <c r="D9" s="515"/>
      <c r="E9" s="197"/>
      <c r="F9" s="197"/>
      <c r="G9" s="197"/>
      <c r="H9" s="197"/>
      <c r="I9" s="197"/>
      <c r="J9" s="197"/>
      <c r="K9" s="197"/>
      <c r="L9" s="197"/>
      <c r="M9" s="197"/>
      <c r="N9" s="197"/>
      <c r="O9" s="197"/>
      <c r="AW9" s="214"/>
      <c r="AX9" s="214"/>
      <c r="AY9" s="214"/>
      <c r="AZ9" s="214"/>
      <c r="BA9" s="214"/>
      <c r="BB9" s="214"/>
      <c r="BC9" s="214"/>
      <c r="BD9" s="214"/>
    </row>
    <row r="10" spans="2:60" ht="15.6">
      <c r="B10" s="254" t="s">
        <v>100</v>
      </c>
      <c r="C10" s="642">
        <v>2022</v>
      </c>
      <c r="D10" s="643"/>
      <c r="E10" s="197"/>
      <c r="F10" s="197"/>
      <c r="G10" s="197"/>
      <c r="H10" s="197"/>
      <c r="I10" s="197"/>
      <c r="J10" s="197"/>
      <c r="K10" s="197"/>
      <c r="L10" s="197"/>
      <c r="M10" s="197"/>
      <c r="N10" s="197"/>
      <c r="O10" s="197"/>
      <c r="AW10" s="214"/>
      <c r="AX10" s="214"/>
      <c r="AY10" s="214"/>
      <c r="AZ10" s="214"/>
      <c r="BA10" s="214"/>
      <c r="BB10" s="214"/>
      <c r="BC10" s="214"/>
      <c r="BD10" s="214"/>
    </row>
    <row r="11" spans="2:60">
      <c r="B11" s="197"/>
      <c r="C11" s="197"/>
      <c r="D11" s="197"/>
      <c r="E11" s="197"/>
      <c r="F11" s="197"/>
      <c r="G11" s="253"/>
      <c r="H11" s="253"/>
      <c r="I11" s="197"/>
      <c r="J11" s="197"/>
      <c r="K11" s="197"/>
      <c r="L11" s="197"/>
      <c r="M11" s="197"/>
      <c r="N11" s="197"/>
      <c r="O11" s="197"/>
      <c r="AW11" s="214"/>
      <c r="AX11" s="214"/>
      <c r="AY11" s="214"/>
      <c r="AZ11" s="214"/>
      <c r="BA11" s="214"/>
      <c r="BB11" s="214"/>
      <c r="BC11" s="214"/>
      <c r="BD11" s="214"/>
    </row>
    <row r="12" spans="2:60" ht="39.6" customHeight="1">
      <c r="B12" s="488" t="s">
        <v>0</v>
      </c>
      <c r="C12" s="488" t="s">
        <v>52</v>
      </c>
      <c r="D12" s="526" t="s">
        <v>674</v>
      </c>
      <c r="E12" s="488" t="s">
        <v>60</v>
      </c>
      <c r="F12" s="527" t="s">
        <v>743</v>
      </c>
      <c r="G12" s="488" t="s">
        <v>57</v>
      </c>
      <c r="H12" s="488" t="s">
        <v>25</v>
      </c>
      <c r="I12" s="488" t="s">
        <v>59</v>
      </c>
      <c r="J12" s="488" t="s">
        <v>39</v>
      </c>
      <c r="K12" s="488" t="s">
        <v>36</v>
      </c>
      <c r="L12" s="488" t="s">
        <v>20</v>
      </c>
      <c r="M12" s="488" t="s">
        <v>51</v>
      </c>
      <c r="N12" s="488" t="s">
        <v>40</v>
      </c>
      <c r="O12" s="488" t="s">
        <v>42</v>
      </c>
      <c r="P12" s="499" t="s">
        <v>111</v>
      </c>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641" t="s">
        <v>61</v>
      </c>
      <c r="AW12" s="520" t="s">
        <v>675</v>
      </c>
      <c r="AX12" s="521"/>
      <c r="AY12" s="521"/>
      <c r="AZ12" s="522"/>
      <c r="BA12" s="508" t="s">
        <v>676</v>
      </c>
      <c r="BB12" s="509"/>
      <c r="BC12" s="509"/>
      <c r="BD12" s="510"/>
      <c r="BE12" s="502" t="s">
        <v>677</v>
      </c>
      <c r="BF12" s="503"/>
      <c r="BG12" s="503"/>
      <c r="BH12" s="504"/>
    </row>
    <row r="13" spans="2:60" ht="15.6">
      <c r="B13" s="488"/>
      <c r="C13" s="488"/>
      <c r="D13" s="526"/>
      <c r="E13" s="488"/>
      <c r="F13" s="527"/>
      <c r="G13" s="488"/>
      <c r="H13" s="488"/>
      <c r="I13" s="488"/>
      <c r="J13" s="488"/>
      <c r="K13" s="488"/>
      <c r="L13" s="488"/>
      <c r="M13" s="488"/>
      <c r="N13" s="488"/>
      <c r="O13" s="488"/>
      <c r="P13" s="558" t="s">
        <v>21</v>
      </c>
      <c r="Q13" s="558"/>
      <c r="R13" s="558"/>
      <c r="S13" s="558"/>
      <c r="T13" s="558"/>
      <c r="U13" s="558"/>
      <c r="V13" s="558"/>
      <c r="W13" s="558"/>
      <c r="X13" s="558" t="s">
        <v>22</v>
      </c>
      <c r="Y13" s="558"/>
      <c r="Z13" s="558"/>
      <c r="AA13" s="558"/>
      <c r="AB13" s="558"/>
      <c r="AC13" s="558"/>
      <c r="AD13" s="558"/>
      <c r="AE13" s="558"/>
      <c r="AF13" s="558" t="s">
        <v>23</v>
      </c>
      <c r="AG13" s="558"/>
      <c r="AH13" s="558"/>
      <c r="AI13" s="558"/>
      <c r="AJ13" s="558"/>
      <c r="AK13" s="558"/>
      <c r="AL13" s="558"/>
      <c r="AM13" s="558"/>
      <c r="AN13" s="558" t="s">
        <v>24</v>
      </c>
      <c r="AO13" s="558"/>
      <c r="AP13" s="558"/>
      <c r="AQ13" s="558"/>
      <c r="AR13" s="558"/>
      <c r="AS13" s="558"/>
      <c r="AT13" s="558"/>
      <c r="AU13" s="558"/>
      <c r="AV13" s="641"/>
      <c r="AW13" s="638" t="s">
        <v>118</v>
      </c>
      <c r="AX13" s="638" t="s">
        <v>22</v>
      </c>
      <c r="AY13" s="638" t="s">
        <v>119</v>
      </c>
      <c r="AZ13" s="638" t="s">
        <v>120</v>
      </c>
      <c r="BA13" s="635" t="s">
        <v>118</v>
      </c>
      <c r="BB13" s="635" t="s">
        <v>121</v>
      </c>
      <c r="BC13" s="635" t="s">
        <v>122</v>
      </c>
      <c r="BD13" s="635" t="s">
        <v>123</v>
      </c>
      <c r="BE13" s="632" t="s">
        <v>21</v>
      </c>
      <c r="BF13" s="632" t="s">
        <v>22</v>
      </c>
      <c r="BG13" s="632" t="s">
        <v>23</v>
      </c>
      <c r="BH13" s="632" t="s">
        <v>24</v>
      </c>
    </row>
    <row r="14" spans="2:60" ht="15.6">
      <c r="B14" s="488"/>
      <c r="C14" s="488"/>
      <c r="D14" s="526"/>
      <c r="E14" s="488"/>
      <c r="F14" s="527"/>
      <c r="G14" s="488"/>
      <c r="H14" s="488"/>
      <c r="I14" s="488"/>
      <c r="J14" s="488"/>
      <c r="K14" s="488"/>
      <c r="L14" s="488"/>
      <c r="M14" s="488"/>
      <c r="N14" s="488"/>
      <c r="O14" s="488"/>
      <c r="P14" s="622" t="s">
        <v>5</v>
      </c>
      <c r="Q14" s="622"/>
      <c r="R14" s="622" t="s">
        <v>6</v>
      </c>
      <c r="S14" s="622"/>
      <c r="T14" s="622" t="s">
        <v>7</v>
      </c>
      <c r="U14" s="622"/>
      <c r="V14" s="499" t="s">
        <v>8</v>
      </c>
      <c r="W14" s="499"/>
      <c r="X14" s="622" t="s">
        <v>27</v>
      </c>
      <c r="Y14" s="622"/>
      <c r="Z14" s="622" t="s">
        <v>9</v>
      </c>
      <c r="AA14" s="622"/>
      <c r="AB14" s="622" t="s">
        <v>10</v>
      </c>
      <c r="AC14" s="622"/>
      <c r="AD14" s="499" t="s">
        <v>8</v>
      </c>
      <c r="AE14" s="499"/>
      <c r="AF14" s="622" t="s">
        <v>11</v>
      </c>
      <c r="AG14" s="622"/>
      <c r="AH14" s="622" t="s">
        <v>12</v>
      </c>
      <c r="AI14" s="622"/>
      <c r="AJ14" s="622" t="s">
        <v>13</v>
      </c>
      <c r="AK14" s="622"/>
      <c r="AL14" s="499" t="s">
        <v>8</v>
      </c>
      <c r="AM14" s="499"/>
      <c r="AN14" s="622" t="s">
        <v>14</v>
      </c>
      <c r="AO14" s="622"/>
      <c r="AP14" s="622" t="s">
        <v>15</v>
      </c>
      <c r="AQ14" s="622"/>
      <c r="AR14" s="622" t="s">
        <v>16</v>
      </c>
      <c r="AS14" s="622"/>
      <c r="AT14" s="499" t="s">
        <v>8</v>
      </c>
      <c r="AU14" s="499"/>
      <c r="AV14" s="641"/>
      <c r="AW14" s="639"/>
      <c r="AX14" s="639"/>
      <c r="AY14" s="639"/>
      <c r="AZ14" s="639"/>
      <c r="BA14" s="636"/>
      <c r="BB14" s="636"/>
      <c r="BC14" s="636"/>
      <c r="BD14" s="636"/>
      <c r="BE14" s="633"/>
      <c r="BF14" s="633"/>
      <c r="BG14" s="633"/>
      <c r="BH14" s="633"/>
    </row>
    <row r="15" spans="2:60" ht="16.2" thickBot="1">
      <c r="B15" s="488"/>
      <c r="C15" s="488"/>
      <c r="D15" s="526"/>
      <c r="E15" s="488"/>
      <c r="F15" s="527"/>
      <c r="G15" s="488"/>
      <c r="H15" s="488"/>
      <c r="I15" s="488"/>
      <c r="J15" s="488"/>
      <c r="K15" s="488"/>
      <c r="L15" s="488"/>
      <c r="M15" s="488"/>
      <c r="N15" s="488"/>
      <c r="O15" s="488"/>
      <c r="P15" s="255" t="s">
        <v>17</v>
      </c>
      <c r="Q15" s="255" t="s">
        <v>18</v>
      </c>
      <c r="R15" s="255" t="s">
        <v>17</v>
      </c>
      <c r="S15" s="255" t="s">
        <v>18</v>
      </c>
      <c r="T15" s="255" t="s">
        <v>17</v>
      </c>
      <c r="U15" s="255" t="s">
        <v>18</v>
      </c>
      <c r="V15" s="256" t="s">
        <v>17</v>
      </c>
      <c r="W15" s="256" t="s">
        <v>18</v>
      </c>
      <c r="X15" s="255" t="s">
        <v>17</v>
      </c>
      <c r="Y15" s="255" t="s">
        <v>18</v>
      </c>
      <c r="Z15" s="255" t="s">
        <v>17</v>
      </c>
      <c r="AA15" s="255" t="s">
        <v>18</v>
      </c>
      <c r="AB15" s="255" t="s">
        <v>17</v>
      </c>
      <c r="AC15" s="255" t="s">
        <v>18</v>
      </c>
      <c r="AD15" s="256" t="s">
        <v>17</v>
      </c>
      <c r="AE15" s="256" t="s">
        <v>18</v>
      </c>
      <c r="AF15" s="255" t="s">
        <v>17</v>
      </c>
      <c r="AG15" s="255" t="s">
        <v>18</v>
      </c>
      <c r="AH15" s="255" t="s">
        <v>17</v>
      </c>
      <c r="AI15" s="255" t="s">
        <v>18</v>
      </c>
      <c r="AJ15" s="255" t="s">
        <v>17</v>
      </c>
      <c r="AK15" s="255" t="s">
        <v>18</v>
      </c>
      <c r="AL15" s="256" t="s">
        <v>17</v>
      </c>
      <c r="AM15" s="256" t="s">
        <v>18</v>
      </c>
      <c r="AN15" s="255" t="s">
        <v>17</v>
      </c>
      <c r="AO15" s="255" t="s">
        <v>18</v>
      </c>
      <c r="AP15" s="255" t="s">
        <v>17</v>
      </c>
      <c r="AQ15" s="255" t="s">
        <v>18</v>
      </c>
      <c r="AR15" s="255" t="s">
        <v>17</v>
      </c>
      <c r="AS15" s="255" t="s">
        <v>18</v>
      </c>
      <c r="AT15" s="256" t="s">
        <v>17</v>
      </c>
      <c r="AU15" s="256" t="s">
        <v>18</v>
      </c>
      <c r="AV15" s="641"/>
      <c r="AW15" s="640"/>
      <c r="AX15" s="640"/>
      <c r="AY15" s="640"/>
      <c r="AZ15" s="640"/>
      <c r="BA15" s="637"/>
      <c r="BB15" s="637"/>
      <c r="BC15" s="637"/>
      <c r="BD15" s="637"/>
      <c r="BE15" s="634"/>
      <c r="BF15" s="634"/>
      <c r="BG15" s="634"/>
      <c r="BH15" s="634"/>
    </row>
    <row r="16" spans="2:60" ht="369.6">
      <c r="B16" s="629"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629" t="str">
        <f>+'01-FR-03 POA INSTITUCIONAL'!C61</f>
        <v xml:space="preserve">4.3. Realizar el 100% de las actividades relacionadas con la Gestión del Talento Humano, que permita su fortalecimiento y el desarrollo de sus conocimientos, su competencia y bienestar. </v>
      </c>
      <c r="D16" s="19" t="str">
        <f>+'01-FR-03 POA INSTITUCIONAL'!D61</f>
        <v xml:space="preserve">4.3.1 Gestionar el 100% de las novedades y situaciones administrativas de los servidores públicos de la Entidad.
</v>
      </c>
      <c r="E16" s="37">
        <f>+'01-FR-03 POA INSTITUCIONAL'!E61</f>
        <v>0.1</v>
      </c>
      <c r="F16" s="37">
        <f>+'01-FR-03 POA INSTITUCIONAL'!F61</f>
        <v>1</v>
      </c>
      <c r="G16" s="37">
        <f>+'01-FR-03 POA INSTITUCIONAL'!L61</f>
        <v>1</v>
      </c>
      <c r="H16" s="37">
        <f>+'01-FR-03 POA INSTITUCIONAL'!G61</f>
        <v>1</v>
      </c>
      <c r="I16" s="129" t="str">
        <f>+'01-FR-03 POA INSTITUCIONAL'!H61</f>
        <v>Porcentaje de novedades y situaciones administrativas gestionadas</v>
      </c>
      <c r="J16" s="257" t="s">
        <v>390</v>
      </c>
      <c r="K16" s="258" t="s">
        <v>391</v>
      </c>
      <c r="L16" s="259" t="s">
        <v>392</v>
      </c>
      <c r="M16" s="201" t="s">
        <v>393</v>
      </c>
      <c r="N16" s="201" t="s">
        <v>394</v>
      </c>
      <c r="O16" s="217" t="str">
        <f>+'[6]POA Anualizado (Pág 1 de 3)'!J13</f>
        <v xml:space="preserve">
Dirección de Talento Humano
</v>
      </c>
      <c r="P16" s="247">
        <v>1</v>
      </c>
      <c r="Q16" s="245"/>
      <c r="R16" s="247">
        <v>1</v>
      </c>
      <c r="S16" s="245"/>
      <c r="T16" s="247">
        <v>1</v>
      </c>
      <c r="U16" s="245"/>
      <c r="V16" s="75">
        <f>AVERAGE(P16,R16,T16)</f>
        <v>1</v>
      </c>
      <c r="W16" s="75">
        <f>IFERROR(AVERAGE(Q16,S16,U16),0)</f>
        <v>0</v>
      </c>
      <c r="X16" s="247">
        <v>1</v>
      </c>
      <c r="Y16" s="245"/>
      <c r="Z16" s="247">
        <v>1</v>
      </c>
      <c r="AA16" s="245"/>
      <c r="AB16" s="247">
        <v>1</v>
      </c>
      <c r="AC16" s="245"/>
      <c r="AD16" s="75">
        <f>AVERAGE(X16,Z16,AB16)</f>
        <v>1</v>
      </c>
      <c r="AE16" s="75">
        <f>IFERROR(AVERAGE(Y16,AA16,AC16),0)</f>
        <v>0</v>
      </c>
      <c r="AF16" s="247">
        <v>1</v>
      </c>
      <c r="AG16" s="245"/>
      <c r="AH16" s="247">
        <v>1</v>
      </c>
      <c r="AI16" s="245"/>
      <c r="AJ16" s="247">
        <v>1</v>
      </c>
      <c r="AK16" s="246"/>
      <c r="AL16" s="75">
        <f>AVERAGE(AF16,AH16,AJ16)</f>
        <v>1</v>
      </c>
      <c r="AM16" s="75">
        <f>IFERROR(AVERAGE(AG16,AI16,AK16),0)</f>
        <v>0</v>
      </c>
      <c r="AN16" s="247">
        <v>1</v>
      </c>
      <c r="AO16" s="245"/>
      <c r="AP16" s="247">
        <v>1</v>
      </c>
      <c r="AQ16" s="245"/>
      <c r="AR16" s="247">
        <v>1</v>
      </c>
      <c r="AS16" s="245"/>
      <c r="AT16" s="75">
        <f>AVERAGE(AN16,AP16,AR16)</f>
        <v>1</v>
      </c>
      <c r="AU16" s="75">
        <f>IFERROR(AVERAGE(AO16,AQ16,AS16),0)</f>
        <v>0</v>
      </c>
      <c r="AV16" s="75">
        <f>AVERAGE(P16,R16,T16,X16,Z16,AB16,AF16,AH16,AJ16,AN16,AP16,AR16)</f>
        <v>1</v>
      </c>
      <c r="AW16" s="71">
        <f>+W16</f>
        <v>0</v>
      </c>
      <c r="AX16" s="71">
        <f>+W16+AE16</f>
        <v>0</v>
      </c>
      <c r="AY16" s="71">
        <f>+W16+AE16+AM16</f>
        <v>0</v>
      </c>
      <c r="AZ16" s="71">
        <f>+W16+AE16+AM16+AU16</f>
        <v>0</v>
      </c>
      <c r="BA16" s="72">
        <f>IF(AND(AW16&gt;0,$AV16&gt;0),AW16/$AV16,0)</f>
        <v>0</v>
      </c>
      <c r="BB16" s="72">
        <f t="shared" ref="BB16:BD23" si="0">IF(AND(AX16&gt;0,$AV16&gt;0),AX16/$AV16,0)</f>
        <v>0</v>
      </c>
      <c r="BC16" s="72">
        <f t="shared" si="0"/>
        <v>0</v>
      </c>
      <c r="BD16" s="72">
        <f t="shared" si="0"/>
        <v>0</v>
      </c>
      <c r="BE16" s="72">
        <f t="shared" ref="BE16:BH23" si="1">(IF(AND(AW16&gt;0,$AV16&gt;0),AW16/$AV16,0))*$E16</f>
        <v>0</v>
      </c>
      <c r="BF16" s="72">
        <f t="shared" si="1"/>
        <v>0</v>
      </c>
      <c r="BG16" s="72">
        <f t="shared" si="1"/>
        <v>0</v>
      </c>
      <c r="BH16" s="72">
        <f t="shared" si="1"/>
        <v>0</v>
      </c>
    </row>
    <row r="17" spans="2:60" ht="356.4">
      <c r="B17" s="630"/>
      <c r="C17" s="630"/>
      <c r="D17" s="19" t="str">
        <f>+'01-FR-03 POA INSTITUCIONAL'!D62</f>
        <v xml:space="preserve">4.3.2 Incluir el 97,8% de las Novedades en la nómina oportunamente, para liquidación y pago </v>
      </c>
      <c r="E17" s="37">
        <f>+'01-FR-03 POA INSTITUCIONAL'!E62</f>
        <v>0.1</v>
      </c>
      <c r="F17" s="37">
        <f>+'01-FR-03 POA INSTITUCIONAL'!F62</f>
        <v>0.97799999999999998</v>
      </c>
      <c r="G17" s="37">
        <f>+'01-FR-03 POA INSTITUCIONAL'!L62</f>
        <v>0.98</v>
      </c>
      <c r="H17" s="37">
        <f>+'01-FR-03 POA INSTITUCIONAL'!G62</f>
        <v>0.97</v>
      </c>
      <c r="I17" s="129" t="str">
        <f>+'01-FR-03 POA INSTITUCIONAL'!H62</f>
        <v xml:space="preserve">Novedades incluidas en la nómina  oportunamente  </v>
      </c>
      <c r="J17" s="260" t="s">
        <v>395</v>
      </c>
      <c r="K17" s="261" t="s">
        <v>396</v>
      </c>
      <c r="L17" s="262" t="s">
        <v>397</v>
      </c>
      <c r="M17" s="201" t="s">
        <v>393</v>
      </c>
      <c r="N17" s="201" t="s">
        <v>398</v>
      </c>
      <c r="O17" s="217" t="str">
        <f>+'[6]POA Anualizado (Pág 1 de 3)'!J14</f>
        <v>Dependencia Líder: 
Dirección de Talento Humano
Dependencia Operativa:
Subdirección de Gestión del Talento Humano</v>
      </c>
      <c r="P17" s="247">
        <v>0.98</v>
      </c>
      <c r="Q17" s="245"/>
      <c r="R17" s="247">
        <v>0.98</v>
      </c>
      <c r="S17" s="245"/>
      <c r="T17" s="247">
        <v>0.98</v>
      </c>
      <c r="U17" s="245"/>
      <c r="V17" s="75">
        <f>AVERAGE(P17,R17,T17)</f>
        <v>0.98</v>
      </c>
      <c r="W17" s="75">
        <f>IFERROR(AVERAGE(Q17,S17,U17),0)</f>
        <v>0</v>
      </c>
      <c r="X17" s="247">
        <v>0.98</v>
      </c>
      <c r="Y17" s="245"/>
      <c r="Z17" s="247">
        <v>0.98</v>
      </c>
      <c r="AA17" s="245"/>
      <c r="AB17" s="247">
        <v>0.98</v>
      </c>
      <c r="AC17" s="245"/>
      <c r="AD17" s="75">
        <f>AVERAGE(X17,Z17,AB17)</f>
        <v>0.98</v>
      </c>
      <c r="AE17" s="75">
        <f>IFERROR(AVERAGE(Y17,AA17,AC17),0)</f>
        <v>0</v>
      </c>
      <c r="AF17" s="247">
        <v>0.98</v>
      </c>
      <c r="AG17" s="245"/>
      <c r="AH17" s="247">
        <v>0.98</v>
      </c>
      <c r="AI17" s="245"/>
      <c r="AJ17" s="247">
        <v>0.98</v>
      </c>
      <c r="AK17" s="246"/>
      <c r="AL17" s="75">
        <f>AVERAGE(AF17,AH17,AJ17)</f>
        <v>0.98</v>
      </c>
      <c r="AM17" s="75">
        <f>IFERROR(AVERAGE(AG17,AI17,AK17),0)</f>
        <v>0</v>
      </c>
      <c r="AN17" s="247">
        <v>0.98</v>
      </c>
      <c r="AO17" s="245"/>
      <c r="AP17" s="247">
        <v>0.98</v>
      </c>
      <c r="AQ17" s="245"/>
      <c r="AR17" s="247">
        <v>0.98</v>
      </c>
      <c r="AS17" s="245"/>
      <c r="AT17" s="75">
        <f>AVERAGE(AN17,AP17,AR17)</f>
        <v>0.98</v>
      </c>
      <c r="AU17" s="75">
        <f>IFERROR(AVERAGE(AO17,AQ17,AS17),0)</f>
        <v>0</v>
      </c>
      <c r="AV17" s="363">
        <f>AVERAGE(P17,R17,T17,X17,Z17,AB17,AF17,AH17,AJ17,AN17,AP17,AR17)</f>
        <v>0.98000000000000032</v>
      </c>
      <c r="AW17" s="71">
        <f>+W17</f>
        <v>0</v>
      </c>
      <c r="AX17" s="71">
        <f>+W17+AE17</f>
        <v>0</v>
      </c>
      <c r="AY17" s="71">
        <f>+W17+AE17+AM17</f>
        <v>0</v>
      </c>
      <c r="AZ17" s="71">
        <f>+W17+AE17+AM17+AU17</f>
        <v>0</v>
      </c>
      <c r="BA17" s="72">
        <f>IF(AND(AW17&gt;0,$AV17&gt;0),AW17/$AV17,0)</f>
        <v>0</v>
      </c>
      <c r="BB17" s="72">
        <f t="shared" si="0"/>
        <v>0</v>
      </c>
      <c r="BC17" s="72">
        <f t="shared" si="0"/>
        <v>0</v>
      </c>
      <c r="BD17" s="72">
        <f t="shared" si="0"/>
        <v>0</v>
      </c>
      <c r="BE17" s="72">
        <f t="shared" si="1"/>
        <v>0</v>
      </c>
      <c r="BF17" s="72">
        <f t="shared" si="1"/>
        <v>0</v>
      </c>
      <c r="BG17" s="72">
        <f t="shared" si="1"/>
        <v>0</v>
      </c>
      <c r="BH17" s="72">
        <f t="shared" si="1"/>
        <v>0</v>
      </c>
    </row>
    <row r="18" spans="2:60" ht="184.8">
      <c r="B18" s="630"/>
      <c r="C18" s="630"/>
      <c r="D18" s="19" t="str">
        <f>+'01-FR-03 POA INSTITUCIONAL'!D63</f>
        <v xml:space="preserve">4.3.3 Lograr el 94,5 % de usuarios internos  satisfechos con las solicitudes de servicios atendidas de la SGTH (Certificaciones laborales, bonos pensionales y autorizaciones de retiro de cesantías). </v>
      </c>
      <c r="E18" s="37">
        <f>+'01-FR-03 POA INSTITUCIONAL'!E63</f>
        <v>0.1</v>
      </c>
      <c r="F18" s="373">
        <f>+'01-FR-03 POA INSTITUCIONAL'!F63</f>
        <v>0.94499999999999995</v>
      </c>
      <c r="G18" s="37">
        <f>+'01-FR-03 POA INSTITUCIONAL'!L63</f>
        <v>0.96</v>
      </c>
      <c r="H18" s="37" t="str">
        <f>+'01-FR-03 POA INSTITUCIONAL'!G63</f>
        <v>S.I.</v>
      </c>
      <c r="I18" s="129" t="str">
        <f>+'01-FR-03 POA INSTITUCIONAL'!H63</f>
        <v>Porcentaje de Usuarios internos satisfechos con las solicitudes de los servicios atendidas de la SGTH (Certificaciones laborales, bonos pensionales y autorizaciones de retiro de cesantías)</v>
      </c>
      <c r="J18" s="198" t="s">
        <v>399</v>
      </c>
      <c r="K18" s="261" t="s">
        <v>400</v>
      </c>
      <c r="L18" s="177" t="s">
        <v>401</v>
      </c>
      <c r="M18" s="201" t="s">
        <v>393</v>
      </c>
      <c r="N18" s="201" t="s">
        <v>394</v>
      </c>
      <c r="O18" s="217" t="str">
        <f>+'[6]POA Anualizado (Pág 1 de 3)'!J15</f>
        <v>Dependencia Líder: 
Dirección de Talento Humano
Dependencia Operativa:
Subdirección de Gestión del Talento Humano</v>
      </c>
      <c r="P18" s="247">
        <v>0.96</v>
      </c>
      <c r="Q18" s="245"/>
      <c r="R18" s="247">
        <v>0.96</v>
      </c>
      <c r="S18" s="245"/>
      <c r="T18" s="247">
        <v>0.96</v>
      </c>
      <c r="U18" s="245"/>
      <c r="V18" s="75">
        <f>IFERROR(AVERAGE(P18,R18,T18),0)</f>
        <v>0.96</v>
      </c>
      <c r="W18" s="75">
        <f>IFERROR(AVERAGE(Q18,S18,U18),0)</f>
        <v>0</v>
      </c>
      <c r="X18" s="247">
        <v>0.96</v>
      </c>
      <c r="Y18" s="245"/>
      <c r="Z18" s="247">
        <v>0.96</v>
      </c>
      <c r="AA18" s="245"/>
      <c r="AB18" s="247">
        <v>0.96</v>
      </c>
      <c r="AC18" s="245"/>
      <c r="AD18" s="75">
        <f>AVERAGE(X18,Z18,AB18)</f>
        <v>0.96</v>
      </c>
      <c r="AE18" s="75">
        <f>IFERROR(AVERAGE(Y18,AA18,AC18),0)</f>
        <v>0</v>
      </c>
      <c r="AF18" s="247">
        <v>0.96</v>
      </c>
      <c r="AG18" s="245"/>
      <c r="AH18" s="247">
        <v>0.96</v>
      </c>
      <c r="AI18" s="245"/>
      <c r="AJ18" s="247">
        <v>0.96</v>
      </c>
      <c r="AK18" s="246"/>
      <c r="AL18" s="75">
        <f>AVERAGE(AF18,AH18,AJ18)</f>
        <v>0.96</v>
      </c>
      <c r="AM18" s="75">
        <f>IFERROR(AVERAGE(AG18,AI18,AK18),0)</f>
        <v>0</v>
      </c>
      <c r="AN18" s="247">
        <v>0.96</v>
      </c>
      <c r="AO18" s="245"/>
      <c r="AP18" s="247">
        <v>0.96</v>
      </c>
      <c r="AQ18" s="245"/>
      <c r="AR18" s="247">
        <v>0.96</v>
      </c>
      <c r="AS18" s="245"/>
      <c r="AT18" s="75">
        <f>AVERAGE(AN18,AP18,AR18)</f>
        <v>0.96</v>
      </c>
      <c r="AU18" s="75">
        <f>IFERROR(AVERAGE(AO18,AQ18,AS18),0)</f>
        <v>0</v>
      </c>
      <c r="AV18" s="363">
        <f>AVERAGE(P18,R18,T18,X18,Z18,AB18,AF18,AH18,AJ18,AN18,AP18,AR18)</f>
        <v>0.9600000000000003</v>
      </c>
      <c r="AW18" s="71">
        <f t="shared" ref="AW18:AW22" si="2">+W18</f>
        <v>0</v>
      </c>
      <c r="AX18" s="71">
        <f t="shared" ref="AX18:AX22" si="3">+W18+AE18</f>
        <v>0</v>
      </c>
      <c r="AY18" s="71">
        <f t="shared" ref="AY18:AY22" si="4">+W18+AE18+AM18</f>
        <v>0</v>
      </c>
      <c r="AZ18" s="71">
        <f t="shared" ref="AZ18:AZ22" si="5">+W18+AE18+AM18+AU18</f>
        <v>0</v>
      </c>
      <c r="BA18" s="72">
        <f>IF(AND(AW18&gt;0,AV18&gt;0),AW18/AV18,0)</f>
        <v>0</v>
      </c>
      <c r="BB18" s="72">
        <f t="shared" si="0"/>
        <v>0</v>
      </c>
      <c r="BC18" s="72">
        <f t="shared" si="0"/>
        <v>0</v>
      </c>
      <c r="BD18" s="72">
        <f t="shared" si="0"/>
        <v>0</v>
      </c>
      <c r="BE18" s="72">
        <f t="shared" si="1"/>
        <v>0</v>
      </c>
      <c r="BF18" s="72">
        <f t="shared" si="1"/>
        <v>0</v>
      </c>
      <c r="BG18" s="72">
        <f t="shared" si="1"/>
        <v>0</v>
      </c>
      <c r="BH18" s="72">
        <f t="shared" si="1"/>
        <v>0</v>
      </c>
    </row>
    <row r="19" spans="2:60" ht="199.2" customHeight="1">
      <c r="B19" s="630"/>
      <c r="C19" s="630"/>
      <c r="D19" s="19" t="str">
        <f>+'01-FR-03 POA INSTITUCIONAL'!D64</f>
        <v xml:space="preserve">4.3.4 Formular e implementar el 100% del Plan Institucional de Capacitación de la vigencia.
</v>
      </c>
      <c r="E19" s="37">
        <f>+'01-FR-03 POA INSTITUCIONAL'!E64</f>
        <v>0.15</v>
      </c>
      <c r="F19" s="37">
        <f>+'01-FR-03 POA INSTITUCIONAL'!F64</f>
        <v>1</v>
      </c>
      <c r="G19" s="37">
        <f>+'01-FR-03 POA INSTITUCIONAL'!L64</f>
        <v>1</v>
      </c>
      <c r="H19" s="37">
        <f>+'01-FR-03 POA INSTITUCIONAL'!G64</f>
        <v>1</v>
      </c>
      <c r="I19" s="129" t="str">
        <f>+'01-FR-03 POA INSTITUCIONAL'!H64</f>
        <v>Plan Institucional de Capacitación formulado y ejecutado</v>
      </c>
      <c r="J19" s="263" t="s">
        <v>414</v>
      </c>
      <c r="K19" s="264" t="s">
        <v>402</v>
      </c>
      <c r="L19" s="217" t="s">
        <v>403</v>
      </c>
      <c r="M19" s="201" t="s">
        <v>419</v>
      </c>
      <c r="N19" s="201" t="s">
        <v>404</v>
      </c>
      <c r="O19" s="217" t="s">
        <v>381</v>
      </c>
      <c r="P19" s="374">
        <v>0.1</v>
      </c>
      <c r="Q19" s="374"/>
      <c r="R19" s="374">
        <f>10%+5%</f>
        <v>0.15000000000000002</v>
      </c>
      <c r="S19" s="375"/>
      <c r="T19" s="375">
        <v>0.05</v>
      </c>
      <c r="U19" s="219"/>
      <c r="V19" s="52">
        <f>+P19+R19+T19</f>
        <v>0.3</v>
      </c>
      <c r="W19" s="52">
        <f>+Q19+S19+U19</f>
        <v>0</v>
      </c>
      <c r="X19" s="375">
        <v>0.05</v>
      </c>
      <c r="Y19" s="375"/>
      <c r="Z19" s="375">
        <v>0.05</v>
      </c>
      <c r="AA19" s="375"/>
      <c r="AB19" s="375">
        <v>0.05</v>
      </c>
      <c r="AC19" s="219"/>
      <c r="AD19" s="52">
        <f>+X19+Z19+AB19</f>
        <v>0.15000000000000002</v>
      </c>
      <c r="AE19" s="52">
        <f>+Y19+AA19+AC19</f>
        <v>0</v>
      </c>
      <c r="AF19" s="375">
        <v>0</v>
      </c>
      <c r="AG19" s="375"/>
      <c r="AH19" s="375">
        <v>0.1</v>
      </c>
      <c r="AI19" s="375"/>
      <c r="AJ19" s="376">
        <v>0.1</v>
      </c>
      <c r="AK19" s="220"/>
      <c r="AL19" s="52">
        <f>+AF19+AH19+AJ19</f>
        <v>0.2</v>
      </c>
      <c r="AM19" s="52">
        <f>+AG19+AI19+AK19</f>
        <v>0</v>
      </c>
      <c r="AN19" s="375">
        <v>0.1</v>
      </c>
      <c r="AO19" s="375"/>
      <c r="AP19" s="375">
        <v>0.1</v>
      </c>
      <c r="AQ19" s="375"/>
      <c r="AR19" s="375">
        <f>5%+10%</f>
        <v>0.15000000000000002</v>
      </c>
      <c r="AS19" s="375"/>
      <c r="AT19" s="52">
        <f>+AN19+AP19+AR19</f>
        <v>0.35000000000000003</v>
      </c>
      <c r="AU19" s="52">
        <f>+AO19+AQ19+AS19</f>
        <v>0</v>
      </c>
      <c r="AV19" s="52">
        <f t="shared" ref="AV19:AV23" si="6">V19+AD19+AL19+AT19</f>
        <v>1</v>
      </c>
      <c r="AW19" s="71">
        <f t="shared" si="2"/>
        <v>0</v>
      </c>
      <c r="AX19" s="71">
        <f t="shared" si="3"/>
        <v>0</v>
      </c>
      <c r="AY19" s="71">
        <f t="shared" si="4"/>
        <v>0</v>
      </c>
      <c r="AZ19" s="71">
        <f t="shared" si="5"/>
        <v>0</v>
      </c>
      <c r="BA19" s="72">
        <f t="shared" ref="BA19:BA23" si="7">IF(AND(AW19&gt;0,AV19&gt;0),AW19/AV19,0)</f>
        <v>0</v>
      </c>
      <c r="BB19" s="72">
        <f t="shared" si="0"/>
        <v>0</v>
      </c>
      <c r="BC19" s="72">
        <f t="shared" si="0"/>
        <v>0</v>
      </c>
      <c r="BD19" s="72">
        <f t="shared" si="0"/>
        <v>0</v>
      </c>
      <c r="BE19" s="72">
        <f t="shared" si="1"/>
        <v>0</v>
      </c>
      <c r="BF19" s="72">
        <f t="shared" si="1"/>
        <v>0</v>
      </c>
      <c r="BG19" s="72">
        <f t="shared" si="1"/>
        <v>0</v>
      </c>
      <c r="BH19" s="72">
        <f t="shared" si="1"/>
        <v>0</v>
      </c>
    </row>
    <row r="20" spans="2:60" ht="158.4">
      <c r="B20" s="630"/>
      <c r="C20" s="630"/>
      <c r="D20" s="19" t="str">
        <f>+'01-FR-03 POA INSTITUCIONAL'!D65</f>
        <v>4.3.5 Formular e implementar el 100% del Plan Institucional de Bienestar de la vigencia .</v>
      </c>
      <c r="E20" s="37">
        <f>+'01-FR-03 POA INSTITUCIONAL'!E65</f>
        <v>0.15</v>
      </c>
      <c r="F20" s="37">
        <f>+'01-FR-03 POA INSTITUCIONAL'!F65</f>
        <v>1</v>
      </c>
      <c r="G20" s="37">
        <f>+'01-FR-03 POA INSTITUCIONAL'!L65</f>
        <v>1</v>
      </c>
      <c r="H20" s="37">
        <f>+'01-FR-03 POA INSTITUCIONAL'!G65</f>
        <v>1</v>
      </c>
      <c r="I20" s="129" t="str">
        <f>+'01-FR-03 POA INSTITUCIONAL'!H65</f>
        <v>Plan Institucional de Bienestar formulado y ejecutado</v>
      </c>
      <c r="J20" s="263" t="s">
        <v>415</v>
      </c>
      <c r="K20" s="265" t="s">
        <v>405</v>
      </c>
      <c r="L20" s="217" t="s">
        <v>406</v>
      </c>
      <c r="M20" s="201" t="s">
        <v>419</v>
      </c>
      <c r="N20" s="201" t="s">
        <v>404</v>
      </c>
      <c r="O20" s="217" t="s">
        <v>381</v>
      </c>
      <c r="P20" s="374">
        <f>10%+0.97%</f>
        <v>0.10970000000000001</v>
      </c>
      <c r="Q20" s="374"/>
      <c r="R20" s="374">
        <f>10%+0.97%</f>
        <v>0.10970000000000001</v>
      </c>
      <c r="S20" s="375"/>
      <c r="T20" s="375">
        <v>3.8899999999999997E-2</v>
      </c>
      <c r="U20" s="219"/>
      <c r="V20" s="52">
        <f t="shared" ref="V20:V22" si="8">+P20+R20+T20</f>
        <v>0.25830000000000003</v>
      </c>
      <c r="W20" s="52">
        <f t="shared" ref="W20:W22" si="9">+Q20+S20+U20</f>
        <v>0</v>
      </c>
      <c r="X20" s="375">
        <v>4.8599999999999997E-2</v>
      </c>
      <c r="Y20" s="375"/>
      <c r="Z20" s="375">
        <v>5.8299999999999998E-2</v>
      </c>
      <c r="AA20" s="375"/>
      <c r="AB20" s="375">
        <v>6.8099999999999994E-2</v>
      </c>
      <c r="AC20" s="219"/>
      <c r="AD20" s="52">
        <f t="shared" ref="AD20:AD22" si="10">+X20+Z20+AB20</f>
        <v>0.17499999999999999</v>
      </c>
      <c r="AE20" s="52">
        <f t="shared" ref="AE20:AE22" si="11">+Y20+AA20+AC20</f>
        <v>0</v>
      </c>
      <c r="AF20" s="375">
        <v>6.8099999999999994E-2</v>
      </c>
      <c r="AG20" s="375"/>
      <c r="AH20" s="375">
        <v>7.7799999999999994E-2</v>
      </c>
      <c r="AI20" s="375"/>
      <c r="AJ20" s="375">
        <v>7.7799999999999994E-2</v>
      </c>
      <c r="AK20" s="220"/>
      <c r="AL20" s="52">
        <f t="shared" ref="AL20:AL22" si="12">+AF20+AH20+AJ20</f>
        <v>0.22369999999999995</v>
      </c>
      <c r="AM20" s="52">
        <f t="shared" ref="AM20:AM22" si="13">+AG20+AI20+AK20</f>
        <v>0</v>
      </c>
      <c r="AN20" s="375">
        <v>0.1167</v>
      </c>
      <c r="AO20" s="375"/>
      <c r="AP20" s="375">
        <v>6.8099999999999994E-2</v>
      </c>
      <c r="AQ20" s="375"/>
      <c r="AR20" s="375">
        <f>5.82%+10%</f>
        <v>0.15820000000000001</v>
      </c>
      <c r="AS20" s="375"/>
      <c r="AT20" s="52">
        <f t="shared" ref="AT20:AT22" si="14">+AN20+AP20+AR20</f>
        <v>0.34299999999999997</v>
      </c>
      <c r="AU20" s="52">
        <f t="shared" ref="AU20:AU22" si="15">+AO20+AQ20+AS20</f>
        <v>0</v>
      </c>
      <c r="AV20" s="52">
        <f t="shared" si="6"/>
        <v>1</v>
      </c>
      <c r="AW20" s="71">
        <f t="shared" si="2"/>
        <v>0</v>
      </c>
      <c r="AX20" s="71">
        <f t="shared" si="3"/>
        <v>0</v>
      </c>
      <c r="AY20" s="71">
        <f t="shared" si="4"/>
        <v>0</v>
      </c>
      <c r="AZ20" s="71">
        <f t="shared" si="5"/>
        <v>0</v>
      </c>
      <c r="BA20" s="72">
        <f t="shared" si="7"/>
        <v>0</v>
      </c>
      <c r="BB20" s="72">
        <f t="shared" si="0"/>
        <v>0</v>
      </c>
      <c r="BC20" s="72">
        <f t="shared" si="0"/>
        <v>0</v>
      </c>
      <c r="BD20" s="72">
        <f t="shared" si="0"/>
        <v>0</v>
      </c>
      <c r="BE20" s="72">
        <f t="shared" si="1"/>
        <v>0</v>
      </c>
      <c r="BF20" s="72">
        <f t="shared" si="1"/>
        <v>0</v>
      </c>
      <c r="BG20" s="72">
        <f t="shared" si="1"/>
        <v>0</v>
      </c>
      <c r="BH20" s="72">
        <f t="shared" si="1"/>
        <v>0</v>
      </c>
    </row>
    <row r="21" spans="2:60" ht="150">
      <c r="B21" s="630"/>
      <c r="C21" s="630"/>
      <c r="D21" s="19" t="str">
        <f>+'01-FR-03 POA INSTITUCIONAL'!D66</f>
        <v>4.3.6 Formular e implementar el 100% del Plan Institucional de Incentivos de la vigencia.</v>
      </c>
      <c r="E21" s="37">
        <f>+'01-FR-03 POA INSTITUCIONAL'!E66</f>
        <v>0.15</v>
      </c>
      <c r="F21" s="37">
        <f>+'01-FR-03 POA INSTITUCIONAL'!F66</f>
        <v>1</v>
      </c>
      <c r="G21" s="37">
        <f>+'01-FR-03 POA INSTITUCIONAL'!L66</f>
        <v>1</v>
      </c>
      <c r="H21" s="37">
        <f>+'01-FR-03 POA INSTITUCIONAL'!G66</f>
        <v>1</v>
      </c>
      <c r="I21" s="129" t="str">
        <f>+'01-FR-03 POA INSTITUCIONAL'!H66</f>
        <v>Plan Institucional de Incentivos formulado y ejecutado</v>
      </c>
      <c r="J21" s="263" t="s">
        <v>416</v>
      </c>
      <c r="K21" s="265" t="s">
        <v>407</v>
      </c>
      <c r="L21" s="217" t="s">
        <v>406</v>
      </c>
      <c r="M21" s="201" t="s">
        <v>419</v>
      </c>
      <c r="N21" s="201" t="s">
        <v>404</v>
      </c>
      <c r="O21" s="217" t="s">
        <v>381</v>
      </c>
      <c r="P21" s="374">
        <v>0.1</v>
      </c>
      <c r="Q21" s="374"/>
      <c r="R21" s="374">
        <v>0.1</v>
      </c>
      <c r="S21" s="375"/>
      <c r="T21" s="333">
        <v>0.05</v>
      </c>
      <c r="U21" s="219"/>
      <c r="V21" s="52">
        <f t="shared" si="8"/>
        <v>0.25</v>
      </c>
      <c r="W21" s="52">
        <f t="shared" si="9"/>
        <v>0</v>
      </c>
      <c r="X21" s="333">
        <v>0.1</v>
      </c>
      <c r="Y21" s="375"/>
      <c r="Z21" s="375">
        <v>0</v>
      </c>
      <c r="AA21" s="375"/>
      <c r="AB21" s="375">
        <v>0</v>
      </c>
      <c r="AC21" s="219"/>
      <c r="AD21" s="52">
        <f t="shared" si="10"/>
        <v>0.1</v>
      </c>
      <c r="AE21" s="52">
        <f t="shared" si="11"/>
        <v>0</v>
      </c>
      <c r="AF21" s="333">
        <v>0</v>
      </c>
      <c r="AG21" s="375"/>
      <c r="AH21" s="333">
        <v>0.1</v>
      </c>
      <c r="AI21" s="375"/>
      <c r="AJ21" s="333">
        <v>0</v>
      </c>
      <c r="AK21" s="220"/>
      <c r="AL21" s="52">
        <f t="shared" si="12"/>
        <v>0.1</v>
      </c>
      <c r="AM21" s="52">
        <f t="shared" si="13"/>
        <v>0</v>
      </c>
      <c r="AN21" s="375">
        <v>0</v>
      </c>
      <c r="AO21" s="375"/>
      <c r="AP21" s="333">
        <v>0.1</v>
      </c>
      <c r="AQ21" s="375"/>
      <c r="AR21" s="375">
        <f>35%+10%</f>
        <v>0.44999999999999996</v>
      </c>
      <c r="AS21" s="375"/>
      <c r="AT21" s="52">
        <f t="shared" si="14"/>
        <v>0.54999999999999993</v>
      </c>
      <c r="AU21" s="52">
        <f t="shared" si="15"/>
        <v>0</v>
      </c>
      <c r="AV21" s="308">
        <f t="shared" si="6"/>
        <v>0.99999999999999989</v>
      </c>
      <c r="AW21" s="71">
        <f t="shared" si="2"/>
        <v>0</v>
      </c>
      <c r="AX21" s="71">
        <f t="shared" si="3"/>
        <v>0</v>
      </c>
      <c r="AY21" s="71">
        <f t="shared" si="4"/>
        <v>0</v>
      </c>
      <c r="AZ21" s="71">
        <f t="shared" si="5"/>
        <v>0</v>
      </c>
      <c r="BA21" s="72">
        <f t="shared" si="7"/>
        <v>0</v>
      </c>
      <c r="BB21" s="72">
        <f t="shared" si="0"/>
        <v>0</v>
      </c>
      <c r="BC21" s="72">
        <f t="shared" si="0"/>
        <v>0</v>
      </c>
      <c r="BD21" s="72">
        <f t="shared" si="0"/>
        <v>0</v>
      </c>
      <c r="BE21" s="72">
        <f t="shared" si="1"/>
        <v>0</v>
      </c>
      <c r="BF21" s="72">
        <f t="shared" si="1"/>
        <v>0</v>
      </c>
      <c r="BG21" s="72">
        <f t="shared" si="1"/>
        <v>0</v>
      </c>
      <c r="BH21" s="72">
        <f t="shared" si="1"/>
        <v>0</v>
      </c>
    </row>
    <row r="22" spans="2:60" ht="165">
      <c r="B22" s="630"/>
      <c r="C22" s="630"/>
      <c r="D22" s="19" t="str">
        <f>+'01-FR-03 POA INSTITUCIONAL'!D67</f>
        <v>4.3.7 Diseñar e implementar el 100 % del Plan Anual de Seguridad y Salud en el Trabajo de la vigencia.</v>
      </c>
      <c r="E22" s="37">
        <f>+'01-FR-03 POA INSTITUCIONAL'!E67</f>
        <v>0.15</v>
      </c>
      <c r="F22" s="37">
        <f>+'01-FR-03 POA INSTITUCIONAL'!F67</f>
        <v>1</v>
      </c>
      <c r="G22" s="37">
        <f>+'01-FR-03 POA INSTITUCIONAL'!L67</f>
        <v>1</v>
      </c>
      <c r="H22" s="37">
        <f>+'01-FR-03 POA INSTITUCIONAL'!G67</f>
        <v>0.99</v>
      </c>
      <c r="I22" s="129" t="str">
        <f>+'01-FR-03 POA INSTITUCIONAL'!H67</f>
        <v>Plan Anual de Seguridad y Salud en el Trabajo diseñado y ejecutado</v>
      </c>
      <c r="J22" s="263" t="s">
        <v>417</v>
      </c>
      <c r="K22" s="265" t="s">
        <v>408</v>
      </c>
      <c r="L22" s="217" t="s">
        <v>409</v>
      </c>
      <c r="M22" s="201" t="s">
        <v>419</v>
      </c>
      <c r="N22" s="201" t="s">
        <v>404</v>
      </c>
      <c r="O22" s="217" t="s">
        <v>381</v>
      </c>
      <c r="P22" s="374">
        <f>10%+1.68%</f>
        <v>0.1168</v>
      </c>
      <c r="Q22" s="374"/>
      <c r="R22" s="374">
        <f>10%+7.84%</f>
        <v>0.1784</v>
      </c>
      <c r="S22" s="375"/>
      <c r="T22" s="375">
        <v>0.10639999999999999</v>
      </c>
      <c r="U22" s="219"/>
      <c r="V22" s="52">
        <f t="shared" si="8"/>
        <v>0.40160000000000001</v>
      </c>
      <c r="W22" s="52">
        <f t="shared" si="9"/>
        <v>0</v>
      </c>
      <c r="X22" s="375">
        <v>5.04E-2</v>
      </c>
      <c r="Y22" s="375"/>
      <c r="Z22" s="375">
        <v>3.9199999999999999E-2</v>
      </c>
      <c r="AA22" s="375"/>
      <c r="AB22" s="375">
        <v>0.10639999999999999</v>
      </c>
      <c r="AC22" s="219"/>
      <c r="AD22" s="52">
        <f t="shared" si="10"/>
        <v>0.19600000000000001</v>
      </c>
      <c r="AE22" s="52">
        <f t="shared" si="11"/>
        <v>0</v>
      </c>
      <c r="AF22" s="375">
        <v>2.24E-2</v>
      </c>
      <c r="AG22" s="375"/>
      <c r="AH22" s="375">
        <v>3.9199999999999999E-2</v>
      </c>
      <c r="AI22" s="375"/>
      <c r="AJ22" s="376">
        <v>6.1600000000000002E-2</v>
      </c>
      <c r="AK22" s="220"/>
      <c r="AL22" s="52">
        <f t="shared" si="12"/>
        <v>0.1232</v>
      </c>
      <c r="AM22" s="52">
        <f t="shared" si="13"/>
        <v>0</v>
      </c>
      <c r="AN22" s="375">
        <v>2.24E-2</v>
      </c>
      <c r="AO22" s="375"/>
      <c r="AP22" s="375">
        <v>3.9199999999999999E-2</v>
      </c>
      <c r="AQ22" s="375"/>
      <c r="AR22" s="375">
        <f>11.76%+10%</f>
        <v>0.21760000000000002</v>
      </c>
      <c r="AS22" s="375"/>
      <c r="AT22" s="52">
        <f t="shared" si="14"/>
        <v>0.2792</v>
      </c>
      <c r="AU22" s="52">
        <f t="shared" si="15"/>
        <v>0</v>
      </c>
      <c r="AV22" s="308">
        <f t="shared" si="6"/>
        <v>1</v>
      </c>
      <c r="AW22" s="71">
        <f t="shared" si="2"/>
        <v>0</v>
      </c>
      <c r="AX22" s="71">
        <f t="shared" si="3"/>
        <v>0</v>
      </c>
      <c r="AY22" s="71">
        <f t="shared" si="4"/>
        <v>0</v>
      </c>
      <c r="AZ22" s="71">
        <f t="shared" si="5"/>
        <v>0</v>
      </c>
      <c r="BA22" s="72">
        <f t="shared" si="7"/>
        <v>0</v>
      </c>
      <c r="BB22" s="72">
        <f t="shared" si="0"/>
        <v>0</v>
      </c>
      <c r="BC22" s="72">
        <f t="shared" si="0"/>
        <v>0</v>
      </c>
      <c r="BD22" s="72">
        <f t="shared" si="0"/>
        <v>0</v>
      </c>
      <c r="BE22" s="72">
        <f t="shared" si="1"/>
        <v>0</v>
      </c>
      <c r="BF22" s="72">
        <f t="shared" si="1"/>
        <v>0</v>
      </c>
      <c r="BG22" s="72">
        <f t="shared" si="1"/>
        <v>0</v>
      </c>
      <c r="BH22" s="72">
        <f t="shared" si="1"/>
        <v>0</v>
      </c>
    </row>
    <row r="23" spans="2:60" ht="132">
      <c r="B23" s="631"/>
      <c r="C23" s="631"/>
      <c r="D23" s="19" t="str">
        <f>+'01-FR-03 POA INSTITUCIONAL'!D68</f>
        <v>4.3.8 Realizar 21 capacitaciones sobre los Sistemas de Gestión y Evaluación del Desempeño Laboral de la Entidad.</v>
      </c>
      <c r="E23" s="37">
        <f>+'01-FR-03 POA INSTITUCIONAL'!E68</f>
        <v>0.1</v>
      </c>
      <c r="F23" s="74">
        <f>+'01-FR-03 POA INSTITUCIONAL'!F68</f>
        <v>21</v>
      </c>
      <c r="G23" s="74">
        <f>+'01-FR-03 POA INSTITUCIONAL'!L68</f>
        <v>4</v>
      </c>
      <c r="H23" s="37" t="str">
        <f>+'01-FR-03 POA INSTITUCIONAL'!G68</f>
        <v>S.I.</v>
      </c>
      <c r="I23" s="129" t="str">
        <f>+'01-FR-03 POA INSTITUCIONAL'!H68</f>
        <v>Capacitaciones realizadas sobre los Sistemas de Gestión y Evaluación del Desempeño Laboral de la Personería de Bogotá, D.C.</v>
      </c>
      <c r="J23" s="198" t="s">
        <v>418</v>
      </c>
      <c r="K23" s="265" t="s">
        <v>410</v>
      </c>
      <c r="L23" s="217" t="s">
        <v>411</v>
      </c>
      <c r="M23" s="201" t="s">
        <v>420</v>
      </c>
      <c r="N23" s="201" t="s">
        <v>412</v>
      </c>
      <c r="O23" s="217" t="str">
        <f>+'[6]POA Anualizado (Pág 1 de 3)'!J20</f>
        <v>Dirección de Talento Humano</v>
      </c>
      <c r="P23" s="266">
        <v>1</v>
      </c>
      <c r="Q23" s="266"/>
      <c r="R23" s="266">
        <v>1</v>
      </c>
      <c r="S23" s="266"/>
      <c r="T23" s="266">
        <v>0</v>
      </c>
      <c r="U23" s="266"/>
      <c r="V23" s="78">
        <f>+P23+R23+T23</f>
        <v>2</v>
      </c>
      <c r="W23" s="78">
        <f>+Q23+S23+U23</f>
        <v>0</v>
      </c>
      <c r="X23" s="267">
        <v>0</v>
      </c>
      <c r="Y23" s="267"/>
      <c r="Z23" s="267">
        <v>0</v>
      </c>
      <c r="AA23" s="267"/>
      <c r="AB23" s="267">
        <v>1</v>
      </c>
      <c r="AC23" s="267"/>
      <c r="AD23" s="78">
        <f>+X23+Z23+AB23</f>
        <v>1</v>
      </c>
      <c r="AE23" s="78">
        <f>+Y23+AA23+AC23</f>
        <v>0</v>
      </c>
      <c r="AF23" s="268">
        <v>1</v>
      </c>
      <c r="AG23" s="268"/>
      <c r="AH23" s="268">
        <v>0</v>
      </c>
      <c r="AI23" s="268"/>
      <c r="AJ23" s="269">
        <v>0</v>
      </c>
      <c r="AK23" s="269"/>
      <c r="AL23" s="78">
        <f>+AF23+AH23+AJ23</f>
        <v>1</v>
      </c>
      <c r="AM23" s="78">
        <f>+AG23+AI23+AK23</f>
        <v>0</v>
      </c>
      <c r="AN23" s="270">
        <v>0</v>
      </c>
      <c r="AO23" s="270"/>
      <c r="AP23" s="270">
        <v>0</v>
      </c>
      <c r="AQ23" s="270"/>
      <c r="AR23" s="270">
        <v>0</v>
      </c>
      <c r="AS23" s="270"/>
      <c r="AT23" s="78">
        <f>+AN23+AP23+AR23</f>
        <v>0</v>
      </c>
      <c r="AU23" s="78">
        <f>+AO23+AQ23+AS23</f>
        <v>0</v>
      </c>
      <c r="AV23" s="271">
        <f t="shared" si="6"/>
        <v>4</v>
      </c>
      <c r="AW23" s="71">
        <v>0</v>
      </c>
      <c r="AX23" s="71">
        <v>0</v>
      </c>
      <c r="AY23" s="71">
        <v>0</v>
      </c>
      <c r="AZ23" s="71">
        <v>0</v>
      </c>
      <c r="BA23" s="72">
        <f t="shared" si="7"/>
        <v>0</v>
      </c>
      <c r="BB23" s="72">
        <f t="shared" si="0"/>
        <v>0</v>
      </c>
      <c r="BC23" s="72">
        <f t="shared" si="0"/>
        <v>0</v>
      </c>
      <c r="BD23" s="72">
        <f t="shared" si="0"/>
        <v>0</v>
      </c>
      <c r="BE23" s="72">
        <f t="shared" si="1"/>
        <v>0</v>
      </c>
      <c r="BF23" s="72">
        <f t="shared" si="1"/>
        <v>0</v>
      </c>
      <c r="BG23" s="72">
        <f t="shared" si="1"/>
        <v>0</v>
      </c>
      <c r="BH23" s="72">
        <f t="shared" si="1"/>
        <v>0</v>
      </c>
    </row>
    <row r="24" spans="2:60" ht="15.6">
      <c r="B24" s="623"/>
      <c r="C24" s="624"/>
      <c r="D24" s="624"/>
      <c r="E24" s="624"/>
      <c r="F24" s="624"/>
      <c r="G24" s="624"/>
      <c r="H24" s="624"/>
      <c r="I24" s="624"/>
      <c r="J24" s="624"/>
      <c r="K24" s="624"/>
      <c r="L24" s="624"/>
      <c r="M24" s="624"/>
      <c r="N24" s="624"/>
      <c r="O24" s="624"/>
      <c r="P24" s="624"/>
      <c r="Q24" s="624"/>
      <c r="R24" s="624"/>
      <c r="S24" s="624"/>
      <c r="T24" s="624"/>
      <c r="U24" s="624"/>
      <c r="V24" s="624"/>
      <c r="W24" s="624"/>
      <c r="X24" s="624"/>
      <c r="Y24" s="624"/>
      <c r="Z24" s="624"/>
      <c r="AA24" s="624"/>
      <c r="AB24" s="624"/>
      <c r="AC24" s="624"/>
      <c r="AD24" s="624"/>
      <c r="AE24" s="624"/>
      <c r="AF24" s="624"/>
      <c r="AG24" s="624"/>
      <c r="AH24" s="624"/>
      <c r="AI24" s="624"/>
      <c r="AJ24" s="624"/>
      <c r="AK24" s="624"/>
      <c r="AL24" s="624"/>
      <c r="AM24" s="624"/>
      <c r="AN24" s="624"/>
      <c r="AO24" s="624"/>
      <c r="AP24" s="624"/>
      <c r="AQ24" s="624"/>
      <c r="AR24" s="624"/>
      <c r="AS24" s="624"/>
      <c r="AT24" s="624"/>
      <c r="AU24" s="624"/>
      <c r="AV24" s="624"/>
      <c r="AW24" s="625"/>
      <c r="AX24" s="626" t="s">
        <v>19</v>
      </c>
      <c r="AY24" s="627"/>
      <c r="AZ24" s="627"/>
      <c r="BA24" s="73">
        <f t="shared" ref="BA24:BH24" si="16">AVERAGE(BA17:BA23)</f>
        <v>0</v>
      </c>
      <c r="BB24" s="73">
        <f t="shared" si="16"/>
        <v>0</v>
      </c>
      <c r="BC24" s="73">
        <f t="shared" si="16"/>
        <v>0</v>
      </c>
      <c r="BD24" s="73">
        <f t="shared" si="16"/>
        <v>0</v>
      </c>
      <c r="BE24" s="73">
        <f t="shared" si="16"/>
        <v>0</v>
      </c>
      <c r="BF24" s="73">
        <f t="shared" si="16"/>
        <v>0</v>
      </c>
      <c r="BG24" s="73">
        <f t="shared" si="16"/>
        <v>0</v>
      </c>
      <c r="BH24" s="73">
        <f t="shared" si="16"/>
        <v>0</v>
      </c>
    </row>
    <row r="25" spans="2:60">
      <c r="B25" s="453"/>
      <c r="C25" s="453"/>
      <c r="D25" s="453"/>
      <c r="E25" s="453"/>
      <c r="F25" s="453"/>
      <c r="G25" s="453"/>
      <c r="H25" s="272"/>
      <c r="I25" s="273"/>
      <c r="J25" s="273"/>
      <c r="K25" s="273"/>
      <c r="L25" s="273"/>
      <c r="M25" s="273"/>
      <c r="N25" s="273"/>
      <c r="O25" s="273"/>
    </row>
    <row r="26" spans="2:60">
      <c r="B26" s="273"/>
      <c r="C26" s="273"/>
      <c r="D26" s="628"/>
      <c r="E26" s="628"/>
      <c r="F26" s="628"/>
      <c r="G26" s="628"/>
      <c r="H26" s="628"/>
      <c r="I26" s="628"/>
      <c r="J26" s="628"/>
      <c r="K26" s="628"/>
      <c r="L26" s="628"/>
      <c r="M26" s="628"/>
      <c r="N26" s="628"/>
      <c r="O26" s="628"/>
    </row>
    <row r="27" spans="2:60" ht="15.6" customHeight="1">
      <c r="B27" s="63" t="s">
        <v>26</v>
      </c>
      <c r="C27" s="225">
        <v>44223</v>
      </c>
      <c r="D27" s="226"/>
      <c r="E27" s="558" t="s">
        <v>50</v>
      </c>
      <c r="F27" s="550" t="s">
        <v>667</v>
      </c>
      <c r="G27" s="551"/>
      <c r="H27" s="551"/>
      <c r="I27" s="551"/>
      <c r="J27" s="552"/>
      <c r="K27" s="227"/>
      <c r="L27" s="559"/>
      <c r="M27" s="559"/>
      <c r="N27" s="559"/>
      <c r="O27" s="560"/>
    </row>
    <row r="28" spans="2:60" ht="15.6">
      <c r="B28" s="273"/>
      <c r="C28" s="273"/>
      <c r="D28" s="227"/>
      <c r="E28" s="558"/>
      <c r="F28" s="553"/>
      <c r="G28" s="554"/>
      <c r="H28" s="554"/>
      <c r="I28" s="554"/>
      <c r="J28" s="555"/>
      <c r="K28" s="273"/>
      <c r="L28" s="273"/>
      <c r="M28" s="273"/>
      <c r="N28" s="273"/>
      <c r="O28" s="273"/>
    </row>
    <row r="29" spans="2:60" ht="15.6">
      <c r="B29" s="63" t="s">
        <v>49</v>
      </c>
      <c r="C29" s="225">
        <v>44581</v>
      </c>
      <c r="D29" s="273"/>
      <c r="E29" s="273"/>
      <c r="F29" s="347"/>
      <c r="K29" s="273"/>
      <c r="L29" s="273"/>
      <c r="M29" s="273"/>
      <c r="N29" s="273"/>
      <c r="O29" s="273"/>
    </row>
    <row r="30" spans="2:60">
      <c r="B30" s="273"/>
      <c r="C30" s="273"/>
      <c r="D30" s="273"/>
      <c r="E30" s="273"/>
      <c r="F30" s="347"/>
      <c r="K30" s="273"/>
      <c r="L30" s="273"/>
      <c r="M30" s="273"/>
      <c r="N30" s="273"/>
      <c r="O30" s="273"/>
    </row>
    <row r="31" spans="2:60">
      <c r="B31" s="189" t="s">
        <v>673</v>
      </c>
      <c r="C31" s="273"/>
      <c r="D31" s="273"/>
      <c r="E31" s="273"/>
      <c r="F31" s="347"/>
      <c r="G31" s="272"/>
      <c r="H31" s="272"/>
      <c r="I31" s="559"/>
      <c r="J31" s="559"/>
      <c r="K31" s="559"/>
      <c r="L31" s="559"/>
      <c r="M31" s="214"/>
      <c r="N31" s="214"/>
      <c r="O31" s="214"/>
    </row>
    <row r="32" spans="2:60">
      <c r="B32" s="273"/>
      <c r="C32" s="273"/>
      <c r="D32" s="273"/>
      <c r="E32" s="273"/>
      <c r="F32" s="347"/>
      <c r="G32" s="272"/>
      <c r="H32" s="272"/>
      <c r="I32" s="273"/>
      <c r="J32" s="273"/>
      <c r="K32" s="274"/>
      <c r="L32" s="273"/>
      <c r="M32" s="273"/>
      <c r="N32" s="273"/>
      <c r="O32" s="273"/>
    </row>
    <row r="33" spans="2:15">
      <c r="B33" s="273"/>
      <c r="C33" s="273"/>
      <c r="D33" s="273"/>
      <c r="E33" s="273"/>
      <c r="F33" s="347"/>
      <c r="G33" s="272"/>
      <c r="H33" s="272"/>
      <c r="I33" s="559"/>
      <c r="J33" s="559"/>
      <c r="K33" s="559"/>
      <c r="L33" s="559"/>
      <c r="M33" s="214"/>
      <c r="N33" s="214"/>
      <c r="O33" s="214"/>
    </row>
    <row r="34" spans="2:15">
      <c r="B34" s="273"/>
      <c r="C34" s="273"/>
      <c r="D34" s="273"/>
      <c r="E34" s="273"/>
      <c r="F34" s="347"/>
      <c r="G34" s="272"/>
      <c r="H34" s="272"/>
      <c r="I34" s="273"/>
      <c r="J34" s="273"/>
      <c r="K34" s="274"/>
      <c r="L34" s="273"/>
      <c r="M34" s="273"/>
      <c r="N34" s="273"/>
      <c r="O34" s="273"/>
    </row>
    <row r="35" spans="2:15">
      <c r="B35" s="273"/>
      <c r="C35" s="273"/>
      <c r="D35" s="273"/>
      <c r="E35" s="273"/>
      <c r="F35" s="347"/>
      <c r="G35" s="272"/>
      <c r="H35" s="272"/>
      <c r="I35" s="559"/>
      <c r="J35" s="559"/>
      <c r="K35" s="559"/>
      <c r="L35" s="559"/>
      <c r="M35" s="214"/>
      <c r="N35" s="214"/>
      <c r="O35" s="214"/>
    </row>
  </sheetData>
  <sheetProtection algorithmName="SHA-512" hashValue="stEArbB4lyVPRd2hsJZ2oopY0l7Bbcfyz647y7PQJWycpR8N+mVAXfNSIWdEuxnNM8pWDAehQ3xAl5nmk5wiXA==" saltValue="nzCEKdTUg5BFlU4ENmiqTw==" spinCount="100000" sheet="1" objects="1" scenarios="1"/>
  <mergeCells count="70">
    <mergeCell ref="C9:D9"/>
    <mergeCell ref="B2:B6"/>
    <mergeCell ref="C2:BF6"/>
    <mergeCell ref="BG6:BH6"/>
    <mergeCell ref="AW7:BA7"/>
    <mergeCell ref="C8:D8"/>
    <mergeCell ref="K12:K15"/>
    <mergeCell ref="L12:L15"/>
    <mergeCell ref="M12:M15"/>
    <mergeCell ref="C10:D10"/>
    <mergeCell ref="B12:B15"/>
    <mergeCell ref="C12:C15"/>
    <mergeCell ref="D12:D15"/>
    <mergeCell ref="E12:E15"/>
    <mergeCell ref="G12:G15"/>
    <mergeCell ref="F12:F15"/>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BE13:BE15"/>
    <mergeCell ref="BF13:BF15"/>
    <mergeCell ref="BG13:BG15"/>
    <mergeCell ref="BH13:BH15"/>
    <mergeCell ref="P14:Q14"/>
    <mergeCell ref="R14:S14"/>
    <mergeCell ref="T14:U14"/>
    <mergeCell ref="V14:W14"/>
    <mergeCell ref="X14:Y14"/>
    <mergeCell ref="Z14:AA14"/>
    <mergeCell ref="BD13:BD15"/>
    <mergeCell ref="AB14:AC14"/>
    <mergeCell ref="AX24:AZ24"/>
    <mergeCell ref="D26:O26"/>
    <mergeCell ref="B25:G25"/>
    <mergeCell ref="B16:B23"/>
    <mergeCell ref="C16:C23"/>
    <mergeCell ref="I35:L35"/>
    <mergeCell ref="AP14:AQ14"/>
    <mergeCell ref="AR14:AS14"/>
    <mergeCell ref="AT14:AU14"/>
    <mergeCell ref="B24:AW24"/>
    <mergeCell ref="AD14:AE14"/>
    <mergeCell ref="AF14:AG14"/>
    <mergeCell ref="AH14:AI14"/>
    <mergeCell ref="AJ14:AK14"/>
    <mergeCell ref="AL14:AM14"/>
    <mergeCell ref="AN14:AO14"/>
    <mergeCell ref="N12:N15"/>
    <mergeCell ref="O12:O15"/>
    <mergeCell ref="H12:H15"/>
    <mergeCell ref="I12:I15"/>
    <mergeCell ref="J12:J15"/>
    <mergeCell ref="E27:E28"/>
    <mergeCell ref="L27:O27"/>
    <mergeCell ref="I31:L31"/>
    <mergeCell ref="I33:L33"/>
    <mergeCell ref="F27:J28"/>
  </mergeCells>
  <conditionalFormatting sqref="BB18:BD23 BA16:BD17">
    <cfRule type="cellIs" dxfId="119" priority="7" operator="between">
      <formula>0.7</formula>
      <formula>1</formula>
    </cfRule>
    <cfRule type="cellIs" dxfId="118" priority="8" operator="between">
      <formula>0.51</formula>
      <formula>0.69</formula>
    </cfRule>
    <cfRule type="cellIs" dxfId="117" priority="9" operator="between">
      <formula>0</formula>
      <formula>0.5</formula>
    </cfRule>
  </conditionalFormatting>
  <conditionalFormatting sqref="BA18:BA23">
    <cfRule type="cellIs" dxfId="116" priority="4" operator="between">
      <formula>0.7</formula>
      <formula>1</formula>
    </cfRule>
    <cfRule type="cellIs" dxfId="115" priority="5" operator="between">
      <formula>0.51</formula>
      <formula>0.69</formula>
    </cfRule>
    <cfRule type="cellIs" dxfId="114" priority="6" operator="between">
      <formula>0</formula>
      <formula>0.5</formula>
    </cfRule>
  </conditionalFormatting>
  <conditionalFormatting sqref="BE16:BH23">
    <cfRule type="cellIs" dxfId="113" priority="1" operator="between">
      <formula>0.7</formula>
      <formula>1</formula>
    </cfRule>
    <cfRule type="cellIs" dxfId="112" priority="2" operator="between">
      <formula>0.51</formula>
      <formula>0.69</formula>
    </cfRule>
    <cfRule type="cellIs" dxfId="111"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04688874-8720-4380-A643-ECCE649529C4}"/>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3047C-AB33-42EA-830A-052583F15701}">
  <sheetPr>
    <tabColor rgb="FF92D050"/>
  </sheetPr>
  <dimension ref="B1:BI29"/>
  <sheetViews>
    <sheetView showGridLines="0" zoomScale="70" zoomScaleNormal="70" workbookViewId="0">
      <selection activeCell="C23" sqref="C23"/>
    </sheetView>
  </sheetViews>
  <sheetFormatPr baseColWidth="10" defaultColWidth="17.33203125" defaultRowHeight="15" customHeight="1"/>
  <cols>
    <col min="1" max="1" width="4.33203125" style="124" customWidth="1"/>
    <col min="2" max="2" width="50.44140625" style="122" customWidth="1"/>
    <col min="3" max="3" width="31.44140625" style="122" customWidth="1"/>
    <col min="4" max="4" width="49.6640625" style="122" customWidth="1"/>
    <col min="5" max="6" width="27.5546875" style="122" customWidth="1"/>
    <col min="7" max="8" width="29.33203125" style="123" customWidth="1"/>
    <col min="9" max="9" width="21.44140625" style="122" customWidth="1"/>
    <col min="10" max="10" width="31.88671875" style="122" customWidth="1"/>
    <col min="11" max="11" width="55.88671875" style="122" customWidth="1"/>
    <col min="12" max="12" width="48.44140625" style="122" customWidth="1"/>
    <col min="13" max="13" width="28.5546875" style="122" customWidth="1"/>
    <col min="14" max="14" width="33.5546875" style="122" customWidth="1"/>
    <col min="15" max="15" width="50" style="122" customWidth="1"/>
    <col min="16" max="47" width="15.88671875" style="124" customWidth="1"/>
    <col min="48" max="48" width="24.5546875" style="124" customWidth="1"/>
    <col min="49" max="49" width="22.88671875" style="124" customWidth="1"/>
    <col min="50" max="50" width="19.33203125" style="124" customWidth="1"/>
    <col min="51" max="51" width="18.44140625" style="124" customWidth="1"/>
    <col min="52" max="52" width="19.44140625" style="124" customWidth="1"/>
    <col min="53" max="53" width="23.33203125" style="124" customWidth="1"/>
    <col min="54" max="55" width="25.109375" style="124" customWidth="1"/>
    <col min="56" max="56" width="26.6640625" style="124" customWidth="1"/>
    <col min="57" max="57" width="26.33203125" style="124" customWidth="1"/>
    <col min="58" max="58" width="26.5546875" style="124" customWidth="1"/>
    <col min="59" max="59" width="26.33203125" style="124" customWidth="1"/>
    <col min="60" max="60" width="27.33203125" style="124" customWidth="1"/>
    <col min="61" max="16384" width="17.33203125" style="124"/>
  </cols>
  <sheetData>
    <row r="1" spans="2:61" ht="15.6" thickBot="1"/>
    <row r="2" spans="2:61" ht="15.6" customHeight="1">
      <c r="B2" s="489" t="s">
        <v>671</v>
      </c>
      <c r="C2" s="534" t="s">
        <v>117</v>
      </c>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35"/>
      <c r="AL2" s="535"/>
      <c r="AM2" s="535"/>
      <c r="AN2" s="535"/>
      <c r="AO2" s="535"/>
      <c r="AP2" s="535"/>
      <c r="AQ2" s="535"/>
      <c r="AR2" s="535"/>
      <c r="AS2" s="535"/>
      <c r="AT2" s="535"/>
      <c r="AU2" s="535"/>
      <c r="AV2" s="535"/>
      <c r="AW2" s="535"/>
      <c r="AX2" s="535"/>
      <c r="AY2" s="535"/>
      <c r="AZ2" s="535"/>
      <c r="BA2" s="535"/>
      <c r="BB2" s="535"/>
      <c r="BC2" s="535"/>
      <c r="BD2" s="535"/>
      <c r="BE2" s="535"/>
      <c r="BF2" s="536"/>
      <c r="BG2" s="190" t="s">
        <v>31</v>
      </c>
      <c r="BH2" s="191"/>
    </row>
    <row r="3" spans="2:61" ht="15.6" customHeight="1">
      <c r="B3" s="490"/>
      <c r="C3" s="537"/>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8"/>
      <c r="AZ3" s="538"/>
      <c r="BA3" s="538"/>
      <c r="BB3" s="538"/>
      <c r="BC3" s="538"/>
      <c r="BD3" s="538"/>
      <c r="BE3" s="538"/>
      <c r="BF3" s="539"/>
      <c r="BG3" s="192" t="s">
        <v>28</v>
      </c>
      <c r="BH3" s="17" t="s">
        <v>29</v>
      </c>
    </row>
    <row r="4" spans="2:61" ht="15" customHeight="1">
      <c r="B4" s="490"/>
      <c r="C4" s="537"/>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538"/>
      <c r="BF4" s="539"/>
      <c r="BG4" s="193">
        <v>5</v>
      </c>
      <c r="BH4" s="18" t="s">
        <v>646</v>
      </c>
    </row>
    <row r="5" spans="2:61" ht="15.6" customHeight="1">
      <c r="B5" s="490"/>
      <c r="C5" s="537"/>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538"/>
      <c r="BF5" s="539"/>
      <c r="BG5" s="194" t="s">
        <v>30</v>
      </c>
      <c r="BH5" s="195"/>
    </row>
    <row r="6" spans="2:61" ht="15.6" customHeight="1" thickBot="1">
      <c r="B6" s="491"/>
      <c r="C6" s="540"/>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1"/>
      <c r="AN6" s="541"/>
      <c r="AO6" s="541"/>
      <c r="AP6" s="541"/>
      <c r="AQ6" s="541"/>
      <c r="AR6" s="541"/>
      <c r="AS6" s="541"/>
      <c r="AT6" s="541"/>
      <c r="AU6" s="541"/>
      <c r="AV6" s="541"/>
      <c r="AW6" s="541"/>
      <c r="AX6" s="541"/>
      <c r="AY6" s="541"/>
      <c r="AZ6" s="541"/>
      <c r="BA6" s="541"/>
      <c r="BB6" s="541"/>
      <c r="BC6" s="541"/>
      <c r="BD6" s="541"/>
      <c r="BE6" s="541"/>
      <c r="BF6" s="542"/>
      <c r="BG6" s="556">
        <v>43941</v>
      </c>
      <c r="BH6" s="557"/>
    </row>
    <row r="7" spans="2:61">
      <c r="B7" s="125"/>
      <c r="C7" s="125"/>
      <c r="D7" s="125"/>
      <c r="E7" s="125"/>
      <c r="F7" s="125"/>
      <c r="G7" s="126"/>
      <c r="H7" s="126"/>
      <c r="I7" s="125"/>
      <c r="J7" s="125"/>
      <c r="K7" s="125"/>
      <c r="L7" s="125"/>
      <c r="M7" s="125"/>
      <c r="N7" s="125"/>
      <c r="O7" s="125"/>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528"/>
      <c r="AX7" s="559"/>
      <c r="AY7" s="559"/>
      <c r="AZ7" s="559"/>
      <c r="BA7" s="530"/>
      <c r="BB7" s="214"/>
      <c r="BC7" s="214"/>
      <c r="BD7" s="214"/>
      <c r="BE7" s="127"/>
      <c r="BF7" s="127"/>
    </row>
    <row r="8" spans="2:61" ht="21">
      <c r="B8" s="196" t="s">
        <v>45</v>
      </c>
      <c r="C8" s="576" t="s">
        <v>91</v>
      </c>
      <c r="D8" s="576"/>
      <c r="E8" s="197"/>
      <c r="F8" s="197"/>
      <c r="G8" s="197"/>
      <c r="H8" s="197"/>
      <c r="I8" s="197"/>
      <c r="J8" s="197"/>
      <c r="K8" s="197"/>
      <c r="L8" s="197"/>
      <c r="M8" s="197"/>
      <c r="N8" s="197"/>
      <c r="O8" s="197"/>
      <c r="AW8" s="214"/>
      <c r="AX8" s="214"/>
      <c r="AY8" s="214"/>
      <c r="AZ8" s="214"/>
      <c r="BA8" s="214"/>
      <c r="BB8" s="214"/>
      <c r="BC8" s="214"/>
      <c r="BD8" s="214"/>
    </row>
    <row r="9" spans="2:61" ht="63" customHeight="1">
      <c r="B9" s="196" t="s">
        <v>34</v>
      </c>
      <c r="C9" s="644" t="s">
        <v>425</v>
      </c>
      <c r="D9" s="515"/>
      <c r="E9" s="646"/>
      <c r="F9" s="647"/>
      <c r="G9" s="647"/>
      <c r="H9" s="197"/>
      <c r="I9" s="197"/>
      <c r="J9" s="197"/>
      <c r="K9" s="197"/>
      <c r="L9" s="197"/>
      <c r="M9" s="197"/>
      <c r="N9" s="197"/>
      <c r="O9" s="197"/>
      <c r="AW9" s="214"/>
      <c r="AX9" s="214"/>
      <c r="AY9" s="214"/>
      <c r="AZ9" s="214"/>
      <c r="BA9" s="214"/>
      <c r="BB9" s="214"/>
      <c r="BC9" s="214"/>
      <c r="BD9" s="214"/>
    </row>
    <row r="10" spans="2:61" ht="24.6">
      <c r="B10" s="196" t="s">
        <v>100</v>
      </c>
      <c r="C10" s="516">
        <v>2022</v>
      </c>
      <c r="D10" s="517"/>
      <c r="E10" s="275"/>
      <c r="F10" s="275"/>
      <c r="G10" s="197"/>
      <c r="H10" s="197"/>
      <c r="I10" s="197"/>
      <c r="J10" s="197"/>
      <c r="K10" s="197"/>
      <c r="L10" s="197"/>
      <c r="M10" s="197"/>
      <c r="N10" s="197"/>
      <c r="O10" s="197"/>
      <c r="AW10" s="214"/>
      <c r="AX10" s="214"/>
      <c r="AY10" s="214"/>
      <c r="AZ10" s="214"/>
      <c r="BA10" s="214"/>
      <c r="BB10" s="214"/>
      <c r="BC10" s="214"/>
      <c r="BD10" s="214"/>
    </row>
    <row r="11" spans="2:61">
      <c r="B11" s="125"/>
      <c r="C11" s="125"/>
      <c r="D11" s="125"/>
      <c r="E11" s="125"/>
      <c r="F11" s="125"/>
      <c r="G11" s="126"/>
      <c r="H11" s="126"/>
      <c r="I11" s="125"/>
      <c r="J11" s="125"/>
      <c r="K11" s="125"/>
      <c r="L11" s="125"/>
      <c r="M11" s="125"/>
      <c r="N11" s="125"/>
      <c r="O11" s="125"/>
      <c r="AW11" s="214"/>
      <c r="AX11" s="214"/>
      <c r="AY11" s="214"/>
      <c r="AZ11" s="214"/>
      <c r="BA11" s="214"/>
      <c r="BB11" s="214"/>
      <c r="BC11" s="214"/>
      <c r="BD11" s="214"/>
    </row>
    <row r="12" spans="2:61" ht="31.95" customHeight="1">
      <c r="B12" s="488" t="s">
        <v>0</v>
      </c>
      <c r="C12" s="488" t="s">
        <v>52</v>
      </c>
      <c r="D12" s="526" t="s">
        <v>674</v>
      </c>
      <c r="E12" s="488" t="s">
        <v>60</v>
      </c>
      <c r="F12" s="527" t="s">
        <v>743</v>
      </c>
      <c r="G12" s="488" t="s">
        <v>57</v>
      </c>
      <c r="H12" s="488" t="s">
        <v>25</v>
      </c>
      <c r="I12" s="488" t="s">
        <v>59</v>
      </c>
      <c r="J12" s="488" t="s">
        <v>39</v>
      </c>
      <c r="K12" s="488" t="s">
        <v>36</v>
      </c>
      <c r="L12" s="488" t="s">
        <v>20</v>
      </c>
      <c r="M12" s="488" t="s">
        <v>51</v>
      </c>
      <c r="N12" s="488" t="s">
        <v>40</v>
      </c>
      <c r="O12" s="488" t="s">
        <v>42</v>
      </c>
      <c r="P12" s="533" t="s">
        <v>111</v>
      </c>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3"/>
      <c r="AN12" s="533"/>
      <c r="AO12" s="533"/>
      <c r="AP12" s="533"/>
      <c r="AQ12" s="533"/>
      <c r="AR12" s="533"/>
      <c r="AS12" s="533"/>
      <c r="AT12" s="533"/>
      <c r="AU12" s="533"/>
      <c r="AV12" s="531" t="s">
        <v>61</v>
      </c>
      <c r="AW12" s="520" t="s">
        <v>675</v>
      </c>
      <c r="AX12" s="521"/>
      <c r="AY12" s="521"/>
      <c r="AZ12" s="522"/>
      <c r="BA12" s="508" t="s">
        <v>676</v>
      </c>
      <c r="BB12" s="509"/>
      <c r="BC12" s="509"/>
      <c r="BD12" s="510"/>
      <c r="BE12" s="502" t="s">
        <v>677</v>
      </c>
      <c r="BF12" s="503"/>
      <c r="BG12" s="503"/>
      <c r="BH12" s="504"/>
    </row>
    <row r="13" spans="2:61" ht="15.6">
      <c r="B13" s="488"/>
      <c r="C13" s="488"/>
      <c r="D13" s="526"/>
      <c r="E13" s="488"/>
      <c r="F13" s="527"/>
      <c r="G13" s="488"/>
      <c r="H13" s="488"/>
      <c r="I13" s="488"/>
      <c r="J13" s="488"/>
      <c r="K13" s="488"/>
      <c r="L13" s="488"/>
      <c r="M13" s="488"/>
      <c r="N13" s="488"/>
      <c r="O13" s="488"/>
      <c r="P13" s="532" t="s">
        <v>21</v>
      </c>
      <c r="Q13" s="532"/>
      <c r="R13" s="532"/>
      <c r="S13" s="532"/>
      <c r="T13" s="532"/>
      <c r="U13" s="532"/>
      <c r="V13" s="532"/>
      <c r="W13" s="532"/>
      <c r="X13" s="532" t="s">
        <v>22</v>
      </c>
      <c r="Y13" s="532"/>
      <c r="Z13" s="532"/>
      <c r="AA13" s="532"/>
      <c r="AB13" s="532"/>
      <c r="AC13" s="532"/>
      <c r="AD13" s="532"/>
      <c r="AE13" s="532"/>
      <c r="AF13" s="532" t="s">
        <v>23</v>
      </c>
      <c r="AG13" s="532"/>
      <c r="AH13" s="532"/>
      <c r="AI13" s="532"/>
      <c r="AJ13" s="532"/>
      <c r="AK13" s="532"/>
      <c r="AL13" s="532"/>
      <c r="AM13" s="532"/>
      <c r="AN13" s="532" t="s">
        <v>24</v>
      </c>
      <c r="AO13" s="532"/>
      <c r="AP13" s="532"/>
      <c r="AQ13" s="532"/>
      <c r="AR13" s="532"/>
      <c r="AS13" s="532"/>
      <c r="AT13" s="532"/>
      <c r="AU13" s="532"/>
      <c r="AV13" s="531"/>
      <c r="AW13" s="523" t="s">
        <v>118</v>
      </c>
      <c r="AX13" s="523" t="s">
        <v>22</v>
      </c>
      <c r="AY13" s="523" t="s">
        <v>306</v>
      </c>
      <c r="AZ13" s="523" t="s">
        <v>307</v>
      </c>
      <c r="BA13" s="511" t="s">
        <v>118</v>
      </c>
      <c r="BB13" s="511" t="s">
        <v>121</v>
      </c>
      <c r="BC13" s="511" t="s">
        <v>122</v>
      </c>
      <c r="BD13" s="511" t="s">
        <v>123</v>
      </c>
      <c r="BE13" s="505" t="s">
        <v>21</v>
      </c>
      <c r="BF13" s="505" t="s">
        <v>22</v>
      </c>
      <c r="BG13" s="505" t="s">
        <v>23</v>
      </c>
      <c r="BH13" s="505" t="s">
        <v>24</v>
      </c>
    </row>
    <row r="14" spans="2:61" ht="15.6">
      <c r="B14" s="488"/>
      <c r="C14" s="488"/>
      <c r="D14" s="526"/>
      <c r="E14" s="488"/>
      <c r="F14" s="527"/>
      <c r="G14" s="488"/>
      <c r="H14" s="488"/>
      <c r="I14" s="488"/>
      <c r="J14" s="488"/>
      <c r="K14" s="488"/>
      <c r="L14" s="488"/>
      <c r="M14" s="488"/>
      <c r="N14" s="488"/>
      <c r="O14" s="488"/>
      <c r="P14" s="571" t="s">
        <v>5</v>
      </c>
      <c r="Q14" s="571"/>
      <c r="R14" s="571" t="s">
        <v>6</v>
      </c>
      <c r="S14" s="571"/>
      <c r="T14" s="571" t="s">
        <v>7</v>
      </c>
      <c r="U14" s="571"/>
      <c r="V14" s="533" t="s">
        <v>8</v>
      </c>
      <c r="W14" s="533"/>
      <c r="X14" s="571" t="s">
        <v>27</v>
      </c>
      <c r="Y14" s="571"/>
      <c r="Z14" s="571" t="s">
        <v>9</v>
      </c>
      <c r="AA14" s="571"/>
      <c r="AB14" s="571" t="s">
        <v>10</v>
      </c>
      <c r="AC14" s="571"/>
      <c r="AD14" s="533" t="s">
        <v>8</v>
      </c>
      <c r="AE14" s="533"/>
      <c r="AF14" s="571" t="s">
        <v>11</v>
      </c>
      <c r="AG14" s="571"/>
      <c r="AH14" s="571" t="s">
        <v>12</v>
      </c>
      <c r="AI14" s="571"/>
      <c r="AJ14" s="571" t="s">
        <v>13</v>
      </c>
      <c r="AK14" s="571"/>
      <c r="AL14" s="533" t="s">
        <v>8</v>
      </c>
      <c r="AM14" s="533"/>
      <c r="AN14" s="571" t="s">
        <v>14</v>
      </c>
      <c r="AO14" s="571"/>
      <c r="AP14" s="571" t="s">
        <v>15</v>
      </c>
      <c r="AQ14" s="571"/>
      <c r="AR14" s="571" t="s">
        <v>16</v>
      </c>
      <c r="AS14" s="571"/>
      <c r="AT14" s="533" t="s">
        <v>8</v>
      </c>
      <c r="AU14" s="533"/>
      <c r="AV14" s="531"/>
      <c r="AW14" s="524"/>
      <c r="AX14" s="524"/>
      <c r="AY14" s="524"/>
      <c r="AZ14" s="524"/>
      <c r="BA14" s="512"/>
      <c r="BB14" s="512"/>
      <c r="BC14" s="512"/>
      <c r="BD14" s="512"/>
      <c r="BE14" s="506"/>
      <c r="BF14" s="506"/>
      <c r="BG14" s="506"/>
      <c r="BH14" s="506"/>
    </row>
    <row r="15" spans="2:61" ht="13.2" customHeight="1">
      <c r="B15" s="488"/>
      <c r="C15" s="488"/>
      <c r="D15" s="526"/>
      <c r="E15" s="488"/>
      <c r="F15" s="527"/>
      <c r="G15" s="488"/>
      <c r="H15" s="488"/>
      <c r="I15" s="488"/>
      <c r="J15" s="488"/>
      <c r="K15" s="488"/>
      <c r="L15" s="488"/>
      <c r="M15" s="488"/>
      <c r="N15" s="488"/>
      <c r="O15" s="488"/>
      <c r="P15" s="215" t="s">
        <v>17</v>
      </c>
      <c r="Q15" s="216" t="s">
        <v>18</v>
      </c>
      <c r="R15" s="215" t="s">
        <v>17</v>
      </c>
      <c r="S15" s="216" t="s">
        <v>18</v>
      </c>
      <c r="T15" s="215" t="s">
        <v>17</v>
      </c>
      <c r="U15" s="216" t="s">
        <v>18</v>
      </c>
      <c r="V15" s="61" t="s">
        <v>17</v>
      </c>
      <c r="W15" s="62" t="s">
        <v>18</v>
      </c>
      <c r="X15" s="215" t="s">
        <v>17</v>
      </c>
      <c r="Y15" s="216" t="s">
        <v>18</v>
      </c>
      <c r="Z15" s="215" t="s">
        <v>17</v>
      </c>
      <c r="AA15" s="216" t="s">
        <v>18</v>
      </c>
      <c r="AB15" s="215" t="s">
        <v>17</v>
      </c>
      <c r="AC15" s="216" t="s">
        <v>18</v>
      </c>
      <c r="AD15" s="61" t="s">
        <v>17</v>
      </c>
      <c r="AE15" s="62" t="s">
        <v>18</v>
      </c>
      <c r="AF15" s="215" t="s">
        <v>17</v>
      </c>
      <c r="AG15" s="216" t="s">
        <v>18</v>
      </c>
      <c r="AH15" s="215" t="s">
        <v>17</v>
      </c>
      <c r="AI15" s="216" t="s">
        <v>18</v>
      </c>
      <c r="AJ15" s="215" t="s">
        <v>17</v>
      </c>
      <c r="AK15" s="216" t="s">
        <v>18</v>
      </c>
      <c r="AL15" s="61" t="s">
        <v>17</v>
      </c>
      <c r="AM15" s="62" t="s">
        <v>18</v>
      </c>
      <c r="AN15" s="215" t="s">
        <v>17</v>
      </c>
      <c r="AO15" s="216" t="s">
        <v>18</v>
      </c>
      <c r="AP15" s="215" t="s">
        <v>17</v>
      </c>
      <c r="AQ15" s="216" t="s">
        <v>18</v>
      </c>
      <c r="AR15" s="215" t="s">
        <v>17</v>
      </c>
      <c r="AS15" s="216" t="s">
        <v>18</v>
      </c>
      <c r="AT15" s="61" t="s">
        <v>17</v>
      </c>
      <c r="AU15" s="62" t="s">
        <v>18</v>
      </c>
      <c r="AV15" s="531"/>
      <c r="AW15" s="525"/>
      <c r="AX15" s="525"/>
      <c r="AY15" s="525"/>
      <c r="AZ15" s="525"/>
      <c r="BA15" s="513"/>
      <c r="BB15" s="513"/>
      <c r="BC15" s="513"/>
      <c r="BD15" s="513"/>
      <c r="BE15" s="507"/>
      <c r="BF15" s="507"/>
      <c r="BG15" s="507"/>
      <c r="BH15" s="507"/>
    </row>
    <row r="16" spans="2:61" ht="231.6" customHeight="1">
      <c r="B16" s="500"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500" t="str">
        <f>+'01-FR-03 POA INSTITUCIONAL'!C69</f>
        <v>4.4. Implementar el 100% de las acciones necesarias para la modernización de la gestión institucional a través de los procesos de apoyo, que permita una mejor prestación del servicio.</v>
      </c>
      <c r="D16" s="231" t="str">
        <f>+'01-FR-03 POA INSTITUCIONAL'!D69</f>
        <v>4.4.1 Atender el 100% de los servicios de mantenimiento, almacén, transporte. Aseo y cafetería</v>
      </c>
      <c r="E16" s="37">
        <f>+'01-FR-03 POA INSTITUCIONAL'!E69</f>
        <v>0.1</v>
      </c>
      <c r="F16" s="149">
        <f>+'01-FR-03 POA INSTITUCIONAL'!F69</f>
        <v>1</v>
      </c>
      <c r="G16" s="149">
        <f>+'01-FR-03 POA INSTITUCIONAL'!L69</f>
        <v>1</v>
      </c>
      <c r="H16" s="276">
        <f>+'01-FR-03 POA INSTITUCIONAL'!G69</f>
        <v>0.99199999999999999</v>
      </c>
      <c r="I16" s="54" t="str">
        <f>+'[7]POA Anualizado (Pág 1 de 3)'!H13</f>
        <v>Porcentaje de servicios atendidos</v>
      </c>
      <c r="J16" s="198" t="s">
        <v>426</v>
      </c>
      <c r="K16" s="277" t="s">
        <v>427</v>
      </c>
      <c r="L16" s="218" t="s">
        <v>435</v>
      </c>
      <c r="M16" s="218" t="s">
        <v>428</v>
      </c>
      <c r="N16" s="218" t="s">
        <v>436</v>
      </c>
      <c r="O16" s="278" t="str">
        <f>+'01-FR-03 POA INSTITUCIONAL'!J69</f>
        <v>Subdirección de Gestión Documental y Recursos Físicos
Dirección Administrativa y Financiera</v>
      </c>
      <c r="P16" s="279">
        <v>1</v>
      </c>
      <c r="Q16" s="280"/>
      <c r="R16" s="281">
        <v>1</v>
      </c>
      <c r="S16" s="280"/>
      <c r="T16" s="281">
        <v>1</v>
      </c>
      <c r="U16" s="280"/>
      <c r="V16" s="75">
        <f>AVERAGE(P16,R16,T16)</f>
        <v>1</v>
      </c>
      <c r="W16" s="75">
        <f>IFERROR(AVERAGE(Q16,S16,U16),0)</f>
        <v>0</v>
      </c>
      <c r="X16" s="281">
        <v>1</v>
      </c>
      <c r="Y16" s="280"/>
      <c r="Z16" s="281">
        <v>1</v>
      </c>
      <c r="AA16" s="280"/>
      <c r="AB16" s="281">
        <v>1</v>
      </c>
      <c r="AC16" s="280"/>
      <c r="AD16" s="75">
        <f>AVERAGE(X16,Z16,AB16)</f>
        <v>1</v>
      </c>
      <c r="AE16" s="75">
        <f>IFERROR(AVERAGE(Y16,AA16,AC16),0)</f>
        <v>0</v>
      </c>
      <c r="AF16" s="281">
        <v>1</v>
      </c>
      <c r="AG16" s="280"/>
      <c r="AH16" s="281">
        <v>1</v>
      </c>
      <c r="AI16" s="280"/>
      <c r="AJ16" s="281">
        <v>1</v>
      </c>
      <c r="AK16" s="282"/>
      <c r="AL16" s="75">
        <f>AVERAGE(AF16,AH16,AJ16)</f>
        <v>1</v>
      </c>
      <c r="AM16" s="75">
        <f>IFERROR(AVERAGE(AG16,AI16,AK16),0)</f>
        <v>0</v>
      </c>
      <c r="AN16" s="281">
        <v>1</v>
      </c>
      <c r="AO16" s="280"/>
      <c r="AP16" s="281">
        <v>1</v>
      </c>
      <c r="AQ16" s="280"/>
      <c r="AR16" s="281">
        <v>1</v>
      </c>
      <c r="AS16" s="280"/>
      <c r="AT16" s="75">
        <f>AVERAGE(AN16,AP16,AR16)</f>
        <v>1</v>
      </c>
      <c r="AU16" s="75">
        <f>IFERROR(AVERAGE(AO16,AQ16,AS16),0)</f>
        <v>0</v>
      </c>
      <c r="AV16" s="75">
        <f>AVERAGE(P16,R16,T16,X16,Z16,AB16,AF16,AH16,AJ16,AN16,AP16,AR16)</f>
        <v>1</v>
      </c>
      <c r="AW16" s="79">
        <f>+W16</f>
        <v>0</v>
      </c>
      <c r="AX16" s="79">
        <f>+W16+AE16</f>
        <v>0</v>
      </c>
      <c r="AY16" s="79">
        <f>+W16+AE16+AM16</f>
        <v>0</v>
      </c>
      <c r="AZ16" s="79">
        <f>+W16+AE16+AM16+AU16</f>
        <v>0</v>
      </c>
      <c r="BA16" s="80">
        <f>IF(AND(AW16&gt;0,$AV16&gt;0),AW16/$AV16,0)</f>
        <v>0</v>
      </c>
      <c r="BB16" s="80">
        <f t="shared" ref="BB16:BD17" si="0">IF(AND(AX16&gt;0,$AV16&gt;0),AX16/$AV16,0)</f>
        <v>0</v>
      </c>
      <c r="BC16" s="80">
        <f t="shared" si="0"/>
        <v>0</v>
      </c>
      <c r="BD16" s="80">
        <f t="shared" si="0"/>
        <v>0</v>
      </c>
      <c r="BE16" s="80">
        <f t="shared" ref="BE16:BH17" si="1">(IF(AND(AW16&gt;0,$AV16&gt;0),AW16/$AV16,0))*$E16</f>
        <v>0</v>
      </c>
      <c r="BF16" s="80">
        <f t="shared" si="1"/>
        <v>0</v>
      </c>
      <c r="BG16" s="80">
        <f t="shared" si="1"/>
        <v>0</v>
      </c>
      <c r="BH16" s="80">
        <f t="shared" si="1"/>
        <v>0</v>
      </c>
      <c r="BI16" s="283"/>
    </row>
    <row r="17" spans="2:60" ht="89.4" customHeight="1">
      <c r="B17" s="567"/>
      <c r="C17" s="567"/>
      <c r="D17" s="231" t="str">
        <f>+'01-FR-03 POA INSTITUCIONAL'!D70</f>
        <v>4.4.2 Ejecutar el 97% de las actividades del Plan Estratégico de Seguridad Vial (PESV)</v>
      </c>
      <c r="E17" s="37">
        <f>+'01-FR-03 POA INSTITUCIONAL'!E70</f>
        <v>0.1</v>
      </c>
      <c r="F17" s="149">
        <f>+'01-FR-03 POA INSTITUCIONAL'!F70</f>
        <v>0.97</v>
      </c>
      <c r="G17" s="149">
        <f>+'01-FR-03 POA INSTITUCIONAL'!L70</f>
        <v>0.97</v>
      </c>
      <c r="H17" s="276">
        <f>+'01-FR-03 POA INSTITUCIONAL'!G70</f>
        <v>0.96599999999999997</v>
      </c>
      <c r="I17" s="54" t="str">
        <f>+'[7]POA Anualizado (Pág 1 de 3)'!H14</f>
        <v>Porcentaje de actividades del PESV ejecutadas</v>
      </c>
      <c r="J17" s="284" t="s">
        <v>429</v>
      </c>
      <c r="K17" s="277" t="s">
        <v>430</v>
      </c>
      <c r="L17" s="218" t="s">
        <v>431</v>
      </c>
      <c r="M17" s="218" t="s">
        <v>432</v>
      </c>
      <c r="N17" s="218" t="s">
        <v>433</v>
      </c>
      <c r="O17" s="278" t="str">
        <f>+'01-FR-03 POA INSTITUCIONAL'!J70</f>
        <v>Subdirección de Gestión Documental y Recursos Físicos
Dirección Administrativa y Financiera</v>
      </c>
      <c r="P17" s="279">
        <v>0.97</v>
      </c>
      <c r="Q17" s="280"/>
      <c r="R17" s="279">
        <v>0.97</v>
      </c>
      <c r="S17" s="280"/>
      <c r="T17" s="279">
        <v>0.97</v>
      </c>
      <c r="U17" s="280"/>
      <c r="V17" s="75">
        <f>AVERAGE(P17,R17,T17)</f>
        <v>0.97000000000000008</v>
      </c>
      <c r="W17" s="75">
        <f>IFERROR(AVERAGE(Q17,S17,U17),0)</f>
        <v>0</v>
      </c>
      <c r="X17" s="279">
        <v>0.97</v>
      </c>
      <c r="Y17" s="280"/>
      <c r="Z17" s="279">
        <v>0.97</v>
      </c>
      <c r="AA17" s="280"/>
      <c r="AB17" s="279">
        <v>0.97</v>
      </c>
      <c r="AC17" s="280"/>
      <c r="AD17" s="75">
        <f>AVERAGE(X17,Z17,AB17)</f>
        <v>0.97000000000000008</v>
      </c>
      <c r="AE17" s="75">
        <f>IFERROR(AVERAGE(Y17,AA17,AC17),0)</f>
        <v>0</v>
      </c>
      <c r="AF17" s="279">
        <v>0.97</v>
      </c>
      <c r="AG17" s="280"/>
      <c r="AH17" s="279">
        <v>0.97</v>
      </c>
      <c r="AI17" s="280"/>
      <c r="AJ17" s="279">
        <v>0.97</v>
      </c>
      <c r="AK17" s="282"/>
      <c r="AL17" s="75">
        <f>AVERAGE(AF17,AH17,AJ17)</f>
        <v>0.97000000000000008</v>
      </c>
      <c r="AM17" s="75">
        <f>IFERROR(AVERAGE(AG17,AI17,AK17),0)</f>
        <v>0</v>
      </c>
      <c r="AN17" s="279">
        <v>0.97</v>
      </c>
      <c r="AO17" s="280"/>
      <c r="AP17" s="279">
        <v>0.97</v>
      </c>
      <c r="AQ17" s="280"/>
      <c r="AR17" s="279">
        <v>0.97</v>
      </c>
      <c r="AS17" s="280"/>
      <c r="AT17" s="75">
        <f>AVERAGE(AN17,AP17,AR17)</f>
        <v>0.97000000000000008</v>
      </c>
      <c r="AU17" s="75">
        <f>IFERROR(AVERAGE(AO17,AQ17,AS17),0)</f>
        <v>0</v>
      </c>
      <c r="AV17" s="75">
        <f>AVERAGE(P17,R17,T17,X17,Z17,AB17,AF17,AH17,AJ17,AN17,AP17,AR17)</f>
        <v>0.97000000000000008</v>
      </c>
      <c r="AW17" s="79">
        <f>+W17</f>
        <v>0</v>
      </c>
      <c r="AX17" s="79">
        <f>+W17+AE17</f>
        <v>0</v>
      </c>
      <c r="AY17" s="79">
        <f>+W17+AE17+AM17</f>
        <v>0</v>
      </c>
      <c r="AZ17" s="79">
        <f>+W17+AE17+AM17+AU17</f>
        <v>0</v>
      </c>
      <c r="BA17" s="80">
        <f>IF(AND(AW17&gt;0,$AV17&gt;0),AW17/$AV17,0)</f>
        <v>0</v>
      </c>
      <c r="BB17" s="80">
        <f t="shared" si="0"/>
        <v>0</v>
      </c>
      <c r="BC17" s="80">
        <f t="shared" si="0"/>
        <v>0</v>
      </c>
      <c r="BD17" s="80">
        <f t="shared" si="0"/>
        <v>0</v>
      </c>
      <c r="BE17" s="80">
        <f t="shared" si="1"/>
        <v>0</v>
      </c>
      <c r="BF17" s="80">
        <f t="shared" si="1"/>
        <v>0</v>
      </c>
      <c r="BG17" s="80">
        <f t="shared" si="1"/>
        <v>0</v>
      </c>
      <c r="BH17" s="80">
        <f t="shared" si="1"/>
        <v>0</v>
      </c>
    </row>
    <row r="18" spans="2:60" ht="22.8">
      <c r="B18" s="496"/>
      <c r="C18" s="497"/>
      <c r="D18" s="497"/>
      <c r="E18" s="497"/>
      <c r="F18" s="497"/>
      <c r="G18" s="497"/>
      <c r="H18" s="497"/>
      <c r="I18" s="497"/>
      <c r="J18" s="497"/>
      <c r="K18" s="497"/>
      <c r="L18" s="497"/>
      <c r="M18" s="497"/>
      <c r="N18" s="497"/>
      <c r="O18" s="497"/>
      <c r="P18" s="497"/>
      <c r="Q18" s="497"/>
      <c r="R18" s="497"/>
      <c r="S18" s="497"/>
      <c r="T18" s="497"/>
      <c r="U18" s="497"/>
      <c r="V18" s="497"/>
      <c r="W18" s="497"/>
      <c r="X18" s="497"/>
      <c r="Y18" s="497"/>
      <c r="Z18" s="497"/>
      <c r="AA18" s="497"/>
      <c r="AB18" s="497"/>
      <c r="AC18" s="497"/>
      <c r="AD18" s="497"/>
      <c r="AE18" s="497"/>
      <c r="AF18" s="497"/>
      <c r="AG18" s="497"/>
      <c r="AH18" s="497"/>
      <c r="AI18" s="497"/>
      <c r="AJ18" s="497"/>
      <c r="AK18" s="497"/>
      <c r="AL18" s="497"/>
      <c r="AM18" s="497"/>
      <c r="AN18" s="497"/>
      <c r="AO18" s="497"/>
      <c r="AP18" s="497"/>
      <c r="AQ18" s="497"/>
      <c r="AR18" s="497"/>
      <c r="AS18" s="497"/>
      <c r="AT18" s="497"/>
      <c r="AU18" s="497"/>
      <c r="AV18" s="497"/>
      <c r="AW18" s="548"/>
      <c r="AX18" s="518" t="s">
        <v>19</v>
      </c>
      <c r="AY18" s="570"/>
      <c r="AZ18" s="570"/>
      <c r="BA18" s="56">
        <f t="shared" ref="BA18:BH18" si="2">AVERAGE(BA16:BA17)</f>
        <v>0</v>
      </c>
      <c r="BB18" s="56">
        <f t="shared" si="2"/>
        <v>0</v>
      </c>
      <c r="BC18" s="56">
        <f t="shared" si="2"/>
        <v>0</v>
      </c>
      <c r="BD18" s="56">
        <f t="shared" si="2"/>
        <v>0</v>
      </c>
      <c r="BE18" s="56">
        <f t="shared" si="2"/>
        <v>0</v>
      </c>
      <c r="BF18" s="56">
        <f t="shared" si="2"/>
        <v>0</v>
      </c>
      <c r="BG18" s="56">
        <f t="shared" si="2"/>
        <v>0</v>
      </c>
      <c r="BH18" s="56">
        <f t="shared" si="2"/>
        <v>0</v>
      </c>
    </row>
    <row r="19" spans="2:60">
      <c r="B19" s="453"/>
      <c r="C19" s="453"/>
      <c r="D19" s="453"/>
      <c r="E19" s="453"/>
      <c r="F19" s="453"/>
      <c r="G19" s="453"/>
      <c r="H19" s="223"/>
      <c r="I19" s="224"/>
      <c r="J19" s="224"/>
      <c r="K19" s="224"/>
      <c r="L19" s="224"/>
      <c r="M19" s="224"/>
      <c r="N19" s="224"/>
      <c r="O19" s="224"/>
    </row>
    <row r="20" spans="2:60">
      <c r="B20" s="224"/>
      <c r="C20" s="224"/>
      <c r="D20" s="549"/>
      <c r="E20" s="549"/>
      <c r="F20" s="549"/>
      <c r="G20" s="549"/>
      <c r="H20" s="549"/>
      <c r="I20" s="549"/>
      <c r="J20" s="549"/>
      <c r="K20" s="549"/>
      <c r="L20" s="549"/>
      <c r="M20" s="549"/>
      <c r="N20" s="549"/>
      <c r="O20" s="549"/>
    </row>
    <row r="21" spans="2:60" ht="15.6" customHeight="1">
      <c r="B21" s="63" t="s">
        <v>26</v>
      </c>
      <c r="C21" s="225">
        <v>44222</v>
      </c>
      <c r="D21" s="226"/>
      <c r="E21" s="558" t="s">
        <v>50</v>
      </c>
      <c r="F21" s="550" t="s">
        <v>434</v>
      </c>
      <c r="G21" s="551"/>
      <c r="H21" s="551"/>
      <c r="I21" s="551"/>
      <c r="J21" s="552"/>
      <c r="K21" s="227"/>
      <c r="L21" s="559"/>
      <c r="M21" s="559"/>
      <c r="N21" s="559"/>
      <c r="O21" s="560"/>
    </row>
    <row r="22" spans="2:60" ht="15.6">
      <c r="B22" s="224"/>
      <c r="C22" s="224"/>
      <c r="D22" s="227"/>
      <c r="E22" s="558"/>
      <c r="F22" s="553"/>
      <c r="G22" s="554"/>
      <c r="H22" s="554"/>
      <c r="I22" s="554"/>
      <c r="J22" s="555"/>
      <c r="K22" s="224"/>
      <c r="L22" s="224"/>
      <c r="M22" s="224"/>
      <c r="N22" s="224"/>
      <c r="O22" s="224"/>
    </row>
    <row r="23" spans="2:60" ht="15.6">
      <c r="B23" s="63" t="s">
        <v>49</v>
      </c>
      <c r="C23" s="65">
        <v>44581</v>
      </c>
      <c r="D23" s="224"/>
      <c r="E23" s="224"/>
      <c r="F23" s="224"/>
      <c r="K23" s="224"/>
      <c r="L23" s="224"/>
      <c r="M23" s="224"/>
      <c r="N23" s="224"/>
      <c r="O23" s="224"/>
    </row>
    <row r="24" spans="2:60">
      <c r="B24" s="224"/>
      <c r="C24" s="224"/>
      <c r="D24" s="224"/>
      <c r="E24" s="224"/>
      <c r="F24" s="224"/>
      <c r="K24" s="224"/>
      <c r="L24" s="224"/>
      <c r="M24" s="224"/>
      <c r="N24" s="224"/>
      <c r="O24" s="224"/>
    </row>
    <row r="25" spans="2:60">
      <c r="B25" s="189" t="s">
        <v>673</v>
      </c>
      <c r="C25" s="224"/>
      <c r="D25" s="224"/>
      <c r="E25" s="224"/>
      <c r="F25" s="224"/>
      <c r="G25" s="223"/>
      <c r="H25" s="223"/>
      <c r="I25" s="575"/>
      <c r="J25" s="575"/>
      <c r="K25" s="575"/>
      <c r="L25" s="575"/>
      <c r="M25" s="228"/>
      <c r="N25" s="228"/>
      <c r="O25" s="228"/>
    </row>
    <row r="26" spans="2:60">
      <c r="B26" s="224"/>
      <c r="C26" s="224"/>
      <c r="D26" s="224"/>
      <c r="E26" s="224"/>
      <c r="F26" s="224"/>
      <c r="G26" s="223"/>
      <c r="H26" s="223"/>
      <c r="I26" s="224"/>
      <c r="J26" s="224"/>
      <c r="K26" s="229"/>
      <c r="L26" s="224"/>
      <c r="M26" s="224"/>
      <c r="N26" s="224"/>
      <c r="O26" s="224"/>
    </row>
    <row r="27" spans="2:60">
      <c r="B27" s="224"/>
      <c r="C27" s="224"/>
      <c r="D27" s="224"/>
      <c r="E27" s="224"/>
      <c r="F27" s="224"/>
      <c r="G27" s="223"/>
      <c r="H27" s="223"/>
      <c r="I27" s="575"/>
      <c r="J27" s="575"/>
      <c r="K27" s="575"/>
      <c r="L27" s="575"/>
      <c r="M27" s="228"/>
      <c r="N27" s="228"/>
      <c r="O27" s="228"/>
    </row>
    <row r="28" spans="2:60">
      <c r="B28" s="224"/>
      <c r="C28" s="224"/>
      <c r="D28" s="224"/>
      <c r="E28" s="224"/>
      <c r="F28" s="224"/>
      <c r="G28" s="223"/>
      <c r="H28" s="223"/>
      <c r="I28" s="224"/>
      <c r="J28" s="224"/>
      <c r="K28" s="229"/>
      <c r="L28" s="224"/>
      <c r="M28" s="224"/>
      <c r="N28" s="224"/>
      <c r="O28" s="224"/>
    </row>
    <row r="29" spans="2:60">
      <c r="B29" s="224"/>
      <c r="C29" s="224"/>
      <c r="D29" s="224"/>
      <c r="E29" s="224"/>
      <c r="F29" s="224"/>
      <c r="G29" s="223"/>
      <c r="H29" s="223"/>
      <c r="I29" s="575"/>
      <c r="J29" s="575"/>
      <c r="K29" s="575"/>
      <c r="L29" s="575"/>
      <c r="M29" s="228"/>
      <c r="N29" s="228"/>
      <c r="O29" s="228"/>
    </row>
  </sheetData>
  <sheetProtection algorithmName="SHA-512" hashValue="lklxZwFrT/RlPCUalvQ1S5jYMyaPX0F6BIcoQaaDdohf1cbyOxdCcUqNcj+e9bUFdRWbj6CZKpRqXD1SAmjN7A==" saltValue="HH2w1k8Vl7D8HkrJe2Ag/Q==" spinCount="100000" sheet="1" objects="1" scenarios="1"/>
  <mergeCells count="71">
    <mergeCell ref="C9:D9"/>
    <mergeCell ref="E9:G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16:B17"/>
    <mergeCell ref="C16:C17"/>
    <mergeCell ref="AD14:AE14"/>
    <mergeCell ref="AF14:AG14"/>
    <mergeCell ref="AH14:AI14"/>
    <mergeCell ref="K12:K15"/>
    <mergeCell ref="L12:L15"/>
    <mergeCell ref="M12:M15"/>
    <mergeCell ref="G12:G15"/>
    <mergeCell ref="F12:F15"/>
    <mergeCell ref="AL14:AM14"/>
    <mergeCell ref="AN14:AO14"/>
    <mergeCell ref="N12:N15"/>
    <mergeCell ref="O12:O15"/>
    <mergeCell ref="H12:H15"/>
    <mergeCell ref="I12:I15"/>
    <mergeCell ref="J12:J15"/>
    <mergeCell ref="I27:L27"/>
    <mergeCell ref="I29:L29"/>
    <mergeCell ref="B19:G19"/>
    <mergeCell ref="AX18:AZ18"/>
    <mergeCell ref="D20:O20"/>
    <mergeCell ref="E21:E22"/>
    <mergeCell ref="L21:O21"/>
    <mergeCell ref="I25:L25"/>
    <mergeCell ref="B18:AW18"/>
    <mergeCell ref="F21:J22"/>
  </mergeCells>
  <conditionalFormatting sqref="BA16:BD16">
    <cfRule type="cellIs" dxfId="110" priority="10" operator="between">
      <formula>0.7</formula>
      <formula>1</formula>
    </cfRule>
    <cfRule type="cellIs" dxfId="109" priority="11" operator="between">
      <formula>0.51</formula>
      <formula>0.69</formula>
    </cfRule>
    <cfRule type="cellIs" dxfId="108" priority="12" operator="between">
      <formula>0</formula>
      <formula>0.5</formula>
    </cfRule>
  </conditionalFormatting>
  <conditionalFormatting sqref="BE16:BH16">
    <cfRule type="cellIs" dxfId="107" priority="7" operator="between">
      <formula>0.7</formula>
      <formula>1</formula>
    </cfRule>
    <cfRule type="cellIs" dxfId="106" priority="8" operator="between">
      <formula>0.51</formula>
      <formula>0.69</formula>
    </cfRule>
    <cfRule type="cellIs" dxfId="105" priority="9" operator="between">
      <formula>0</formula>
      <formula>0.5</formula>
    </cfRule>
  </conditionalFormatting>
  <conditionalFormatting sqref="BA17:BD17">
    <cfRule type="cellIs" dxfId="104" priority="4" operator="between">
      <formula>0.7</formula>
      <formula>1</formula>
    </cfRule>
    <cfRule type="cellIs" dxfId="103" priority="5" operator="between">
      <formula>0.51</formula>
      <formula>0.69</formula>
    </cfRule>
    <cfRule type="cellIs" dxfId="102" priority="6" operator="between">
      <formula>0</formula>
      <formula>0.5</formula>
    </cfRule>
  </conditionalFormatting>
  <conditionalFormatting sqref="BE17:BH17">
    <cfRule type="cellIs" dxfId="101" priority="1" operator="between">
      <formula>0.7</formula>
      <formula>1</formula>
    </cfRule>
    <cfRule type="cellIs" dxfId="100" priority="2" operator="between">
      <formula>0.51</formula>
      <formula>0.69</formula>
    </cfRule>
    <cfRule type="cellIs" dxfId="99"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7FF7ACF8-0279-4ACB-B98E-CEB4576E2348}"/>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B702D-4841-442F-9B42-50AA65EF5411}">
  <sheetPr>
    <tabColor rgb="FF92D050"/>
  </sheetPr>
  <dimension ref="B1:BH30"/>
  <sheetViews>
    <sheetView showGridLines="0" zoomScale="70" zoomScaleNormal="70" workbookViewId="0">
      <selection activeCell="C24" sqref="C24"/>
    </sheetView>
  </sheetViews>
  <sheetFormatPr baseColWidth="10" defaultColWidth="17.33203125" defaultRowHeight="15" customHeight="1"/>
  <cols>
    <col min="1" max="1" width="4.33203125" style="124" customWidth="1"/>
    <col min="2" max="2" width="50.44140625" style="122" customWidth="1"/>
    <col min="3" max="3" width="31.44140625" style="122" customWidth="1"/>
    <col min="4" max="4" width="49.6640625" style="122" customWidth="1"/>
    <col min="5" max="6" width="27.5546875" style="122" customWidth="1"/>
    <col min="7" max="7" width="30" style="123" customWidth="1"/>
    <col min="8" max="8" width="23.88671875" style="123" customWidth="1"/>
    <col min="9" max="9" width="44" style="122" customWidth="1"/>
    <col min="10" max="10" width="31.88671875" style="122" customWidth="1"/>
    <col min="11" max="11" width="55.88671875" style="122" customWidth="1"/>
    <col min="12" max="12" width="33.5546875" style="122" customWidth="1"/>
    <col min="13" max="13" width="49.44140625" style="122" customWidth="1"/>
    <col min="14" max="14" width="28.5546875" style="122" customWidth="1"/>
    <col min="15" max="15" width="50" style="122" customWidth="1"/>
    <col min="16" max="47" width="15.88671875" style="124" customWidth="1"/>
    <col min="48" max="48" width="24.5546875" style="124" customWidth="1"/>
    <col min="49" max="49" width="22.88671875" style="124" customWidth="1"/>
    <col min="50" max="50" width="19.33203125" style="124" customWidth="1"/>
    <col min="51" max="51" width="18.44140625" style="124" customWidth="1"/>
    <col min="52" max="52" width="19.44140625" style="124" customWidth="1"/>
    <col min="53" max="53" width="23.33203125" style="124" customWidth="1"/>
    <col min="54" max="55" width="25.109375" style="124" customWidth="1"/>
    <col min="56" max="56" width="26.6640625" style="124" customWidth="1"/>
    <col min="57" max="57" width="26.33203125" style="124" customWidth="1"/>
    <col min="58" max="58" width="26.5546875" style="124" customWidth="1"/>
    <col min="59" max="59" width="26.33203125" style="124" customWidth="1"/>
    <col min="60" max="60" width="27.33203125" style="124" customWidth="1"/>
    <col min="61" max="16384" width="17.33203125" style="124"/>
  </cols>
  <sheetData>
    <row r="1" spans="2:60" ht="15.6" thickBot="1"/>
    <row r="2" spans="2:60" ht="15.6" customHeight="1">
      <c r="B2" s="489" t="s">
        <v>671</v>
      </c>
      <c r="C2" s="534" t="s">
        <v>117</v>
      </c>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35"/>
      <c r="AL2" s="535"/>
      <c r="AM2" s="535"/>
      <c r="AN2" s="535"/>
      <c r="AO2" s="535"/>
      <c r="AP2" s="535"/>
      <c r="AQ2" s="535"/>
      <c r="AR2" s="535"/>
      <c r="AS2" s="535"/>
      <c r="AT2" s="535"/>
      <c r="AU2" s="535"/>
      <c r="AV2" s="535"/>
      <c r="AW2" s="535"/>
      <c r="AX2" s="535"/>
      <c r="AY2" s="535"/>
      <c r="AZ2" s="535"/>
      <c r="BA2" s="535"/>
      <c r="BB2" s="535"/>
      <c r="BC2" s="535"/>
      <c r="BD2" s="535"/>
      <c r="BE2" s="535"/>
      <c r="BF2" s="536"/>
      <c r="BG2" s="190" t="s">
        <v>31</v>
      </c>
      <c r="BH2" s="191"/>
    </row>
    <row r="3" spans="2:60" ht="15.6" customHeight="1">
      <c r="B3" s="490"/>
      <c r="C3" s="537"/>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8"/>
      <c r="AZ3" s="538"/>
      <c r="BA3" s="538"/>
      <c r="BB3" s="538"/>
      <c r="BC3" s="538"/>
      <c r="BD3" s="538"/>
      <c r="BE3" s="538"/>
      <c r="BF3" s="539"/>
      <c r="BG3" s="192" t="s">
        <v>28</v>
      </c>
      <c r="BH3" s="17" t="s">
        <v>29</v>
      </c>
    </row>
    <row r="4" spans="2:60" ht="15" customHeight="1">
      <c r="B4" s="490"/>
      <c r="C4" s="537"/>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538"/>
      <c r="BF4" s="539"/>
      <c r="BG4" s="193">
        <v>5</v>
      </c>
      <c r="BH4" s="18" t="s">
        <v>647</v>
      </c>
    </row>
    <row r="5" spans="2:60" ht="15.6" customHeight="1">
      <c r="B5" s="490"/>
      <c r="C5" s="537"/>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538"/>
      <c r="BF5" s="539"/>
      <c r="BG5" s="194" t="s">
        <v>30</v>
      </c>
      <c r="BH5" s="195"/>
    </row>
    <row r="6" spans="2:60" ht="15.6" customHeight="1" thickBot="1">
      <c r="B6" s="491"/>
      <c r="C6" s="540"/>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1"/>
      <c r="AN6" s="541"/>
      <c r="AO6" s="541"/>
      <c r="AP6" s="541"/>
      <c r="AQ6" s="541"/>
      <c r="AR6" s="541"/>
      <c r="AS6" s="541"/>
      <c r="AT6" s="541"/>
      <c r="AU6" s="541"/>
      <c r="AV6" s="541"/>
      <c r="AW6" s="541"/>
      <c r="AX6" s="541"/>
      <c r="AY6" s="541"/>
      <c r="AZ6" s="541"/>
      <c r="BA6" s="541"/>
      <c r="BB6" s="541"/>
      <c r="BC6" s="541"/>
      <c r="BD6" s="541"/>
      <c r="BE6" s="541"/>
      <c r="BF6" s="542"/>
      <c r="BG6" s="556">
        <v>43941</v>
      </c>
      <c r="BH6" s="557"/>
    </row>
    <row r="7" spans="2:60">
      <c r="B7" s="125"/>
      <c r="C7" s="125"/>
      <c r="D7" s="125"/>
      <c r="E7" s="125"/>
      <c r="F7" s="125"/>
      <c r="G7" s="126"/>
      <c r="H7" s="126"/>
      <c r="I7" s="125"/>
      <c r="J7" s="125"/>
      <c r="K7" s="125"/>
      <c r="L7" s="125"/>
      <c r="M7" s="125"/>
      <c r="N7" s="125"/>
      <c r="O7" s="125"/>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528"/>
      <c r="AX7" s="559"/>
      <c r="AY7" s="559"/>
      <c r="AZ7" s="559"/>
      <c r="BA7" s="530"/>
      <c r="BB7" s="214"/>
      <c r="BC7" s="214"/>
      <c r="BD7" s="214"/>
      <c r="BE7" s="127"/>
      <c r="BF7" s="127"/>
    </row>
    <row r="8" spans="2:60" ht="21">
      <c r="B8" s="196" t="s">
        <v>45</v>
      </c>
      <c r="C8" s="576" t="s">
        <v>92</v>
      </c>
      <c r="D8" s="576"/>
      <c r="E8" s="197"/>
      <c r="F8" s="197"/>
      <c r="G8" s="197"/>
      <c r="H8" s="197"/>
      <c r="I8" s="197"/>
      <c r="J8" s="197"/>
      <c r="K8" s="197"/>
      <c r="L8" s="197"/>
      <c r="M8" s="197"/>
      <c r="N8" s="197"/>
      <c r="O8" s="197"/>
      <c r="AW8" s="214"/>
      <c r="AX8" s="214"/>
      <c r="AY8" s="214"/>
      <c r="AZ8" s="214"/>
      <c r="BA8" s="214"/>
      <c r="BB8" s="214"/>
      <c r="BC8" s="214"/>
      <c r="BD8" s="214"/>
    </row>
    <row r="9" spans="2:60" ht="73.5" customHeight="1">
      <c r="B9" s="196" t="s">
        <v>34</v>
      </c>
      <c r="C9" s="514" t="s">
        <v>456</v>
      </c>
      <c r="D9" s="515"/>
      <c r="E9" s="197"/>
      <c r="F9" s="197"/>
      <c r="G9" s="197"/>
      <c r="H9" s="197"/>
      <c r="I9" s="197"/>
      <c r="J9" s="197"/>
      <c r="K9" s="197"/>
      <c r="L9" s="197"/>
      <c r="M9" s="197"/>
      <c r="N9" s="197"/>
      <c r="O9" s="197"/>
      <c r="AW9" s="214"/>
      <c r="AX9" s="214"/>
      <c r="AY9" s="214"/>
      <c r="AZ9" s="214"/>
      <c r="BA9" s="214"/>
      <c r="BB9" s="214"/>
      <c r="BC9" s="214"/>
      <c r="BD9" s="214"/>
    </row>
    <row r="10" spans="2:60" ht="24.6">
      <c r="B10" s="196" t="s">
        <v>100</v>
      </c>
      <c r="C10" s="516">
        <v>2022</v>
      </c>
      <c r="D10" s="517"/>
      <c r="E10" s="197"/>
      <c r="F10" s="197"/>
      <c r="G10" s="197"/>
      <c r="H10" s="197"/>
      <c r="I10" s="197"/>
      <c r="J10" s="197"/>
      <c r="K10" s="197"/>
      <c r="L10" s="197"/>
      <c r="M10" s="197"/>
      <c r="N10" s="197"/>
      <c r="O10" s="197"/>
      <c r="AW10" s="214"/>
      <c r="AX10" s="214"/>
      <c r="AY10" s="214"/>
      <c r="AZ10" s="214"/>
      <c r="BA10" s="214"/>
      <c r="BB10" s="214"/>
      <c r="BC10" s="214"/>
      <c r="BD10" s="214"/>
    </row>
    <row r="11" spans="2:60">
      <c r="B11" s="125"/>
      <c r="C11" s="125"/>
      <c r="D11" s="125"/>
      <c r="E11" s="125"/>
      <c r="F11" s="125"/>
      <c r="G11" s="126"/>
      <c r="H11" s="126"/>
      <c r="I11" s="125"/>
      <c r="J11" s="125"/>
      <c r="K11" s="125"/>
      <c r="L11" s="125"/>
      <c r="M11" s="125"/>
      <c r="N11" s="125"/>
      <c r="O11" s="125"/>
      <c r="AW11" s="214"/>
      <c r="AX11" s="214"/>
      <c r="AY11" s="214"/>
      <c r="AZ11" s="214"/>
      <c r="BA11" s="214"/>
      <c r="BB11" s="214"/>
      <c r="BC11" s="214"/>
      <c r="BD11" s="214"/>
    </row>
    <row r="12" spans="2:60" ht="27" customHeight="1">
      <c r="B12" s="488" t="s">
        <v>0</v>
      </c>
      <c r="C12" s="488" t="s">
        <v>52</v>
      </c>
      <c r="D12" s="526" t="s">
        <v>674</v>
      </c>
      <c r="E12" s="488" t="s">
        <v>60</v>
      </c>
      <c r="F12" s="527" t="s">
        <v>743</v>
      </c>
      <c r="G12" s="488" t="s">
        <v>57</v>
      </c>
      <c r="H12" s="488" t="s">
        <v>25</v>
      </c>
      <c r="I12" s="488" t="s">
        <v>59</v>
      </c>
      <c r="J12" s="488" t="s">
        <v>39</v>
      </c>
      <c r="K12" s="488" t="s">
        <v>36</v>
      </c>
      <c r="L12" s="488" t="s">
        <v>20</v>
      </c>
      <c r="M12" s="488" t="s">
        <v>51</v>
      </c>
      <c r="N12" s="488" t="s">
        <v>40</v>
      </c>
      <c r="O12" s="488" t="s">
        <v>42</v>
      </c>
      <c r="P12" s="533" t="s">
        <v>111</v>
      </c>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3"/>
      <c r="AN12" s="533"/>
      <c r="AO12" s="533"/>
      <c r="AP12" s="533"/>
      <c r="AQ12" s="533"/>
      <c r="AR12" s="533"/>
      <c r="AS12" s="533"/>
      <c r="AT12" s="533"/>
      <c r="AU12" s="533"/>
      <c r="AV12" s="531" t="s">
        <v>61</v>
      </c>
      <c r="AW12" s="520" t="s">
        <v>675</v>
      </c>
      <c r="AX12" s="521"/>
      <c r="AY12" s="521"/>
      <c r="AZ12" s="522"/>
      <c r="BA12" s="508" t="s">
        <v>676</v>
      </c>
      <c r="BB12" s="509"/>
      <c r="BC12" s="509"/>
      <c r="BD12" s="510"/>
      <c r="BE12" s="502" t="s">
        <v>677</v>
      </c>
      <c r="BF12" s="503"/>
      <c r="BG12" s="503"/>
      <c r="BH12" s="504"/>
    </row>
    <row r="13" spans="2:60" ht="15.6">
      <c r="B13" s="488"/>
      <c r="C13" s="488"/>
      <c r="D13" s="526"/>
      <c r="E13" s="488"/>
      <c r="F13" s="527"/>
      <c r="G13" s="488"/>
      <c r="H13" s="488"/>
      <c r="I13" s="488"/>
      <c r="J13" s="488"/>
      <c r="K13" s="488"/>
      <c r="L13" s="488"/>
      <c r="M13" s="488"/>
      <c r="N13" s="488"/>
      <c r="O13" s="488"/>
      <c r="P13" s="532" t="s">
        <v>21</v>
      </c>
      <c r="Q13" s="532"/>
      <c r="R13" s="532"/>
      <c r="S13" s="532"/>
      <c r="T13" s="532"/>
      <c r="U13" s="532"/>
      <c r="V13" s="532"/>
      <c r="W13" s="532"/>
      <c r="X13" s="532" t="s">
        <v>22</v>
      </c>
      <c r="Y13" s="532"/>
      <c r="Z13" s="532"/>
      <c r="AA13" s="532"/>
      <c r="AB13" s="532"/>
      <c r="AC13" s="532"/>
      <c r="AD13" s="532"/>
      <c r="AE13" s="532"/>
      <c r="AF13" s="532" t="s">
        <v>23</v>
      </c>
      <c r="AG13" s="532"/>
      <c r="AH13" s="532"/>
      <c r="AI13" s="532"/>
      <c r="AJ13" s="532"/>
      <c r="AK13" s="532"/>
      <c r="AL13" s="532"/>
      <c r="AM13" s="532"/>
      <c r="AN13" s="532" t="s">
        <v>24</v>
      </c>
      <c r="AO13" s="532"/>
      <c r="AP13" s="532"/>
      <c r="AQ13" s="532"/>
      <c r="AR13" s="532"/>
      <c r="AS13" s="532"/>
      <c r="AT13" s="532"/>
      <c r="AU13" s="532"/>
      <c r="AV13" s="531"/>
      <c r="AW13" s="523" t="s">
        <v>118</v>
      </c>
      <c r="AX13" s="523" t="s">
        <v>22</v>
      </c>
      <c r="AY13" s="523" t="s">
        <v>119</v>
      </c>
      <c r="AZ13" s="523" t="s">
        <v>120</v>
      </c>
      <c r="BA13" s="511" t="s">
        <v>118</v>
      </c>
      <c r="BB13" s="511" t="s">
        <v>121</v>
      </c>
      <c r="BC13" s="511" t="s">
        <v>122</v>
      </c>
      <c r="BD13" s="511" t="s">
        <v>123</v>
      </c>
      <c r="BE13" s="505" t="s">
        <v>21</v>
      </c>
      <c r="BF13" s="505" t="s">
        <v>22</v>
      </c>
      <c r="BG13" s="505" t="s">
        <v>23</v>
      </c>
      <c r="BH13" s="505" t="s">
        <v>24</v>
      </c>
    </row>
    <row r="14" spans="2:60" ht="15.6">
      <c r="B14" s="488"/>
      <c r="C14" s="488"/>
      <c r="D14" s="526"/>
      <c r="E14" s="488"/>
      <c r="F14" s="527"/>
      <c r="G14" s="488"/>
      <c r="H14" s="488"/>
      <c r="I14" s="488"/>
      <c r="J14" s="488"/>
      <c r="K14" s="488"/>
      <c r="L14" s="488"/>
      <c r="M14" s="488"/>
      <c r="N14" s="488"/>
      <c r="O14" s="488"/>
      <c r="P14" s="571" t="s">
        <v>5</v>
      </c>
      <c r="Q14" s="571"/>
      <c r="R14" s="571" t="s">
        <v>6</v>
      </c>
      <c r="S14" s="571"/>
      <c r="T14" s="571" t="s">
        <v>7</v>
      </c>
      <c r="U14" s="571"/>
      <c r="V14" s="533" t="s">
        <v>8</v>
      </c>
      <c r="W14" s="533"/>
      <c r="X14" s="571" t="s">
        <v>27</v>
      </c>
      <c r="Y14" s="571"/>
      <c r="Z14" s="571" t="s">
        <v>9</v>
      </c>
      <c r="AA14" s="571"/>
      <c r="AB14" s="571" t="s">
        <v>10</v>
      </c>
      <c r="AC14" s="571"/>
      <c r="AD14" s="533" t="s">
        <v>8</v>
      </c>
      <c r="AE14" s="533"/>
      <c r="AF14" s="571" t="s">
        <v>11</v>
      </c>
      <c r="AG14" s="571"/>
      <c r="AH14" s="571" t="s">
        <v>12</v>
      </c>
      <c r="AI14" s="571"/>
      <c r="AJ14" s="571" t="s">
        <v>13</v>
      </c>
      <c r="AK14" s="571"/>
      <c r="AL14" s="533" t="s">
        <v>8</v>
      </c>
      <c r="AM14" s="533"/>
      <c r="AN14" s="571" t="s">
        <v>14</v>
      </c>
      <c r="AO14" s="571"/>
      <c r="AP14" s="571" t="s">
        <v>15</v>
      </c>
      <c r="AQ14" s="571"/>
      <c r="AR14" s="571" t="s">
        <v>16</v>
      </c>
      <c r="AS14" s="571"/>
      <c r="AT14" s="533" t="s">
        <v>8</v>
      </c>
      <c r="AU14" s="533"/>
      <c r="AV14" s="531"/>
      <c r="AW14" s="524"/>
      <c r="AX14" s="524"/>
      <c r="AY14" s="524"/>
      <c r="AZ14" s="524"/>
      <c r="BA14" s="512"/>
      <c r="BB14" s="512"/>
      <c r="BC14" s="512"/>
      <c r="BD14" s="512"/>
      <c r="BE14" s="506"/>
      <c r="BF14" s="506"/>
      <c r="BG14" s="506"/>
      <c r="BH14" s="506"/>
    </row>
    <row r="15" spans="2:60" ht="13.2" customHeight="1">
      <c r="B15" s="488"/>
      <c r="C15" s="488"/>
      <c r="D15" s="526"/>
      <c r="E15" s="488"/>
      <c r="F15" s="527"/>
      <c r="G15" s="488"/>
      <c r="H15" s="488"/>
      <c r="I15" s="488"/>
      <c r="J15" s="488"/>
      <c r="K15" s="488"/>
      <c r="L15" s="488"/>
      <c r="M15" s="488"/>
      <c r="N15" s="488"/>
      <c r="O15" s="488"/>
      <c r="P15" s="215" t="s">
        <v>17</v>
      </c>
      <c r="Q15" s="216" t="s">
        <v>18</v>
      </c>
      <c r="R15" s="215" t="s">
        <v>17</v>
      </c>
      <c r="S15" s="216" t="s">
        <v>18</v>
      </c>
      <c r="T15" s="215" t="s">
        <v>17</v>
      </c>
      <c r="U15" s="216" t="s">
        <v>18</v>
      </c>
      <c r="V15" s="61" t="s">
        <v>17</v>
      </c>
      <c r="W15" s="62" t="s">
        <v>18</v>
      </c>
      <c r="X15" s="215" t="s">
        <v>17</v>
      </c>
      <c r="Y15" s="216" t="s">
        <v>18</v>
      </c>
      <c r="Z15" s="215" t="s">
        <v>17</v>
      </c>
      <c r="AA15" s="216" t="s">
        <v>18</v>
      </c>
      <c r="AB15" s="215" t="s">
        <v>17</v>
      </c>
      <c r="AC15" s="216" t="s">
        <v>18</v>
      </c>
      <c r="AD15" s="61" t="s">
        <v>17</v>
      </c>
      <c r="AE15" s="62" t="s">
        <v>18</v>
      </c>
      <c r="AF15" s="215" t="s">
        <v>17</v>
      </c>
      <c r="AG15" s="216" t="s">
        <v>18</v>
      </c>
      <c r="AH15" s="215" t="s">
        <v>17</v>
      </c>
      <c r="AI15" s="216" t="s">
        <v>18</v>
      </c>
      <c r="AJ15" s="215" t="s">
        <v>17</v>
      </c>
      <c r="AK15" s="216" t="s">
        <v>18</v>
      </c>
      <c r="AL15" s="61" t="s">
        <v>17</v>
      </c>
      <c r="AM15" s="62" t="s">
        <v>18</v>
      </c>
      <c r="AN15" s="215" t="s">
        <v>17</v>
      </c>
      <c r="AO15" s="216" t="s">
        <v>18</v>
      </c>
      <c r="AP15" s="215" t="s">
        <v>17</v>
      </c>
      <c r="AQ15" s="216" t="s">
        <v>18</v>
      </c>
      <c r="AR15" s="215" t="s">
        <v>17</v>
      </c>
      <c r="AS15" s="216" t="s">
        <v>18</v>
      </c>
      <c r="AT15" s="61" t="s">
        <v>17</v>
      </c>
      <c r="AU15" s="62" t="s">
        <v>18</v>
      </c>
      <c r="AV15" s="531"/>
      <c r="AW15" s="525"/>
      <c r="AX15" s="525"/>
      <c r="AY15" s="525"/>
      <c r="AZ15" s="525"/>
      <c r="BA15" s="513"/>
      <c r="BB15" s="513"/>
      <c r="BC15" s="513"/>
      <c r="BD15" s="513"/>
      <c r="BE15" s="507"/>
      <c r="BF15" s="507"/>
      <c r="BG15" s="507"/>
      <c r="BH15" s="507"/>
    </row>
    <row r="16" spans="2:60" ht="135">
      <c r="B16" s="462"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462" t="str">
        <f>+'01-FR-03 POA INSTITUCIONAL'!C69</f>
        <v>4.4. Implementar el 100% de las acciones necesarias para la modernización de la gestión institucional a través de los procesos de apoyo, que permita una mejor prestación del servicio.</v>
      </c>
      <c r="D16" s="209" t="str">
        <f>+'01-FR-03 POA INSTITUCIONAL'!D71</f>
        <v>4.4.3 Ejecutar el 95% del presupuesto aprobado para la Entidad</v>
      </c>
      <c r="E16" s="45">
        <f>+'01-FR-03 POA INSTITUCIONAL'!E71</f>
        <v>7.0000000000000007E-2</v>
      </c>
      <c r="F16" s="345">
        <f>+'01-FR-03 POA INSTITUCIONAL'!F71</f>
        <v>0.95</v>
      </c>
      <c r="G16" s="45">
        <f>+'01-FR-03 POA INSTITUCIONAL'!L71</f>
        <v>0.95</v>
      </c>
      <c r="H16" s="129" t="str">
        <f>+'01-FR-03 POA INSTITUCIONAL'!G71</f>
        <v>S.I.</v>
      </c>
      <c r="I16" s="129" t="str">
        <f>+'01-FR-03 POA INSTITUCIONAL'!H71</f>
        <v>Porcentaje del presupuesto aprobado y ejecutado.</v>
      </c>
      <c r="J16" s="285" t="s">
        <v>457</v>
      </c>
      <c r="K16" s="262" t="s">
        <v>458</v>
      </c>
      <c r="L16" s="201" t="s">
        <v>459</v>
      </c>
      <c r="M16" s="218" t="s">
        <v>472</v>
      </c>
      <c r="N16" s="201" t="s">
        <v>460</v>
      </c>
      <c r="O16" s="286" t="str">
        <f>+'01-FR-03 POA INSTITUCIONAL'!J71</f>
        <v>Subdirección de Gestión Financiera
Dirección Administrativa y Financiera</v>
      </c>
      <c r="P16" s="350">
        <v>7.0000000000000007E-2</v>
      </c>
      <c r="Q16" s="350"/>
      <c r="R16" s="350">
        <v>7.0000000000000007E-2</v>
      </c>
      <c r="S16" s="350"/>
      <c r="T16" s="350">
        <v>0.08</v>
      </c>
      <c r="U16" s="287"/>
      <c r="V16" s="75">
        <f>P16+R16+T16</f>
        <v>0.22000000000000003</v>
      </c>
      <c r="W16" s="75">
        <f>Q16+S16+U16</f>
        <v>0</v>
      </c>
      <c r="X16" s="350">
        <v>0.08</v>
      </c>
      <c r="Y16" s="350"/>
      <c r="Z16" s="350">
        <v>0.08</v>
      </c>
      <c r="AA16" s="350"/>
      <c r="AB16" s="350">
        <v>0.09</v>
      </c>
      <c r="AC16" s="287"/>
      <c r="AD16" s="75">
        <f>X16+Z16+AB16</f>
        <v>0.25</v>
      </c>
      <c r="AE16" s="75">
        <f>Y16+AA16+AC16</f>
        <v>0</v>
      </c>
      <c r="AF16" s="350">
        <v>0.08</v>
      </c>
      <c r="AG16" s="350"/>
      <c r="AH16" s="350">
        <v>0.08</v>
      </c>
      <c r="AI16" s="350"/>
      <c r="AJ16" s="354">
        <v>0.09</v>
      </c>
      <c r="AK16" s="288"/>
      <c r="AL16" s="75">
        <f>AF16+AH16+AJ16</f>
        <v>0.25</v>
      </c>
      <c r="AM16" s="75">
        <f>AG16+AI16+AK16</f>
        <v>0</v>
      </c>
      <c r="AN16" s="350">
        <v>0.08</v>
      </c>
      <c r="AO16" s="350"/>
      <c r="AP16" s="350">
        <v>0.08</v>
      </c>
      <c r="AQ16" s="350"/>
      <c r="AR16" s="350">
        <v>7.0000000000000007E-2</v>
      </c>
      <c r="AS16" s="287"/>
      <c r="AT16" s="75">
        <f>AN16+AP16+AR16</f>
        <v>0.23</v>
      </c>
      <c r="AU16" s="75">
        <f>AO16+AQ16+AS16</f>
        <v>0</v>
      </c>
      <c r="AV16" s="75">
        <f>V16+AD16+AL16+AT16</f>
        <v>0.95</v>
      </c>
      <c r="AW16" s="66">
        <f>+W16</f>
        <v>0</v>
      </c>
      <c r="AX16" s="66">
        <f>+W16+AE16</f>
        <v>0</v>
      </c>
      <c r="AY16" s="66">
        <f>+W16+AE16+AM16</f>
        <v>0</v>
      </c>
      <c r="AZ16" s="66">
        <f>+W16+AE16+AM16+AU16</f>
        <v>0</v>
      </c>
      <c r="BA16" s="28">
        <f>IF(AND(AW16&gt;0,$AV16&gt;0),AW16/$AV16,0)</f>
        <v>0</v>
      </c>
      <c r="BB16" s="28">
        <f t="shared" ref="BB16:BD18" si="0">IF(AND(AX16&gt;0,$AV16&gt;0),AX16/$AV16,0)</f>
        <v>0</v>
      </c>
      <c r="BC16" s="28">
        <f t="shared" si="0"/>
        <v>0</v>
      </c>
      <c r="BD16" s="28">
        <f t="shared" si="0"/>
        <v>0</v>
      </c>
      <c r="BE16" s="28">
        <f t="shared" ref="BE16:BH18" si="1">(IF(AND(AW16&gt;0,$AV16&gt;0),AW16/$AV16,0))*$E16</f>
        <v>0</v>
      </c>
      <c r="BF16" s="28">
        <f t="shared" si="1"/>
        <v>0</v>
      </c>
      <c r="BG16" s="28">
        <f t="shared" si="1"/>
        <v>0</v>
      </c>
      <c r="BH16" s="28">
        <f t="shared" si="1"/>
        <v>0</v>
      </c>
    </row>
    <row r="17" spans="2:60" ht="90">
      <c r="B17" s="620"/>
      <c r="C17" s="620"/>
      <c r="D17" s="209" t="str">
        <f>+'01-FR-03 POA INSTITUCIONAL'!D72</f>
        <v>4.4.4 Programar y ejecutar el 95% de los compromisos de pago adquiridos por la Entidad</v>
      </c>
      <c r="E17" s="45">
        <f>+'01-FR-03 POA INSTITUCIONAL'!E72</f>
        <v>7.0000000000000007E-2</v>
      </c>
      <c r="F17" s="345">
        <f>+'01-FR-03 POA INSTITUCIONAL'!F72</f>
        <v>0.95</v>
      </c>
      <c r="G17" s="345">
        <f>+'01-FR-03 POA INSTITUCIONAL'!L72</f>
        <v>0.95</v>
      </c>
      <c r="H17" s="129" t="str">
        <f>+'01-FR-03 POA INSTITUCIONAL'!G72</f>
        <v>S.I.</v>
      </c>
      <c r="I17" s="129" t="str">
        <f>+'01-FR-03 POA INSTITUCIONAL'!H72</f>
        <v>Porcentaje de los compromisos de pago programados y ejecutados.</v>
      </c>
      <c r="J17" s="285" t="s">
        <v>461</v>
      </c>
      <c r="K17" s="262" t="s">
        <v>462</v>
      </c>
      <c r="L17" s="201" t="s">
        <v>463</v>
      </c>
      <c r="M17" s="218" t="s">
        <v>470</v>
      </c>
      <c r="N17" s="201" t="s">
        <v>464</v>
      </c>
      <c r="O17" s="286" t="str">
        <f>+'01-FR-03 POA INSTITUCIONAL'!J72</f>
        <v>Subdirección de Gestión Financiera
Dirección Administrativa y Financiera</v>
      </c>
      <c r="P17" s="333">
        <v>0.03</v>
      </c>
      <c r="Q17" s="333"/>
      <c r="R17" s="333">
        <v>0.05</v>
      </c>
      <c r="S17" s="333"/>
      <c r="T17" s="333">
        <v>0.06</v>
      </c>
      <c r="U17" s="287"/>
      <c r="V17" s="75">
        <f t="shared" ref="V17:W18" si="2">P17+R17+T17</f>
        <v>0.14000000000000001</v>
      </c>
      <c r="W17" s="75">
        <f t="shared" si="2"/>
        <v>0</v>
      </c>
      <c r="X17" s="333">
        <v>7.0000000000000007E-2</v>
      </c>
      <c r="Y17" s="333"/>
      <c r="Z17" s="333">
        <v>0.08</v>
      </c>
      <c r="AA17" s="333"/>
      <c r="AB17" s="333">
        <v>0.1</v>
      </c>
      <c r="AC17" s="287"/>
      <c r="AD17" s="75">
        <f t="shared" ref="AD17:AE18" si="3">X17+Z17+AB17</f>
        <v>0.25</v>
      </c>
      <c r="AE17" s="75">
        <f t="shared" si="3"/>
        <v>0</v>
      </c>
      <c r="AF17" s="333">
        <v>7.0000000000000007E-2</v>
      </c>
      <c r="AG17" s="333"/>
      <c r="AH17" s="333">
        <v>0.08</v>
      </c>
      <c r="AI17" s="333"/>
      <c r="AJ17" s="333">
        <v>0.08</v>
      </c>
      <c r="AK17" s="287"/>
      <c r="AL17" s="75">
        <f t="shared" ref="AL17:AM18" si="4">AF17+AH17+AJ17</f>
        <v>0.23000000000000004</v>
      </c>
      <c r="AM17" s="75">
        <f t="shared" si="4"/>
        <v>0</v>
      </c>
      <c r="AN17" s="333">
        <v>0.08</v>
      </c>
      <c r="AO17" s="333"/>
      <c r="AP17" s="333">
        <v>0.09</v>
      </c>
      <c r="AQ17" s="333"/>
      <c r="AR17" s="333">
        <v>0.16</v>
      </c>
      <c r="AS17" s="287"/>
      <c r="AT17" s="75">
        <f t="shared" ref="AT17:AU18" si="5">AN17+AP17+AR17</f>
        <v>0.32999999999999996</v>
      </c>
      <c r="AU17" s="75">
        <f t="shared" si="5"/>
        <v>0</v>
      </c>
      <c r="AV17" s="75">
        <f t="shared" ref="AV17:AV18" si="6">V17+AD17+AL17+AT17</f>
        <v>0.95000000000000007</v>
      </c>
      <c r="AW17" s="81">
        <f t="shared" ref="AW17:AW18" si="7">+W17</f>
        <v>0</v>
      </c>
      <c r="AX17" s="81">
        <f t="shared" ref="AX17:AX18" si="8">+W17+AE17</f>
        <v>0</v>
      </c>
      <c r="AY17" s="81">
        <f t="shared" ref="AY17:AY18" si="9">+W17+AE17+AM17</f>
        <v>0</v>
      </c>
      <c r="AZ17" s="81">
        <f t="shared" ref="AZ17:AZ18" si="10">+W17+AE17+AM17+AU17</f>
        <v>0</v>
      </c>
      <c r="BA17" s="28">
        <f t="shared" ref="BA17:BA18" si="11">IF(AND(AW17&gt;0,AV17&gt;0),AW17/AV17,0)</f>
        <v>0</v>
      </c>
      <c r="BB17" s="28">
        <f t="shared" si="0"/>
        <v>0</v>
      </c>
      <c r="BC17" s="28">
        <f t="shared" si="0"/>
        <v>0</v>
      </c>
      <c r="BD17" s="28">
        <f t="shared" si="0"/>
        <v>0</v>
      </c>
      <c r="BE17" s="28">
        <f t="shared" si="1"/>
        <v>0</v>
      </c>
      <c r="BF17" s="28">
        <f t="shared" si="1"/>
        <v>0</v>
      </c>
      <c r="BG17" s="28">
        <f t="shared" si="1"/>
        <v>0</v>
      </c>
      <c r="BH17" s="28">
        <f t="shared" si="1"/>
        <v>0</v>
      </c>
    </row>
    <row r="18" spans="2:60" ht="90">
      <c r="B18" s="620"/>
      <c r="C18" s="620"/>
      <c r="D18" s="209" t="str">
        <f>+'01-FR-03 POA INSTITUCIONAL'!D73</f>
        <v>4.4.5 Elaborar y presentar el 100% de los estados financieros de la Entidad</v>
      </c>
      <c r="E18" s="45">
        <f>+'01-FR-03 POA INSTITUCIONAL'!E73</f>
        <v>0.06</v>
      </c>
      <c r="F18" s="345">
        <f>+'01-FR-03 POA INSTITUCIONAL'!F73</f>
        <v>1</v>
      </c>
      <c r="G18" s="345">
        <f>+'01-FR-03 POA INSTITUCIONAL'!L73</f>
        <v>1</v>
      </c>
      <c r="H18" s="129" t="str">
        <f>+'01-FR-03 POA INSTITUCIONAL'!G73</f>
        <v>S.I.</v>
      </c>
      <c r="I18" s="129" t="str">
        <f>+'01-FR-03 POA INSTITUCIONAL'!H73</f>
        <v>Porcentaje de estados financieros de la Entidad elaborados y presentados.</v>
      </c>
      <c r="J18" s="285" t="s">
        <v>465</v>
      </c>
      <c r="K18" s="262" t="s">
        <v>466</v>
      </c>
      <c r="L18" s="201" t="s">
        <v>467</v>
      </c>
      <c r="M18" s="218" t="s">
        <v>471</v>
      </c>
      <c r="N18" s="201" t="s">
        <v>468</v>
      </c>
      <c r="O18" s="286" t="str">
        <f>+'01-FR-03 POA INSTITUCIONAL'!J73</f>
        <v>Subdirección de Gestión Financiera
Dirección Administrativa y Financiera</v>
      </c>
      <c r="P18" s="350">
        <v>0.08</v>
      </c>
      <c r="Q18" s="350"/>
      <c r="R18" s="350">
        <v>0.08</v>
      </c>
      <c r="S18" s="350"/>
      <c r="T18" s="350">
        <v>0.09</v>
      </c>
      <c r="U18" s="287"/>
      <c r="V18" s="75">
        <f t="shared" si="2"/>
        <v>0.25</v>
      </c>
      <c r="W18" s="75">
        <f t="shared" si="2"/>
        <v>0</v>
      </c>
      <c r="X18" s="350">
        <v>0.08</v>
      </c>
      <c r="Y18" s="350"/>
      <c r="Z18" s="350">
        <v>0.08</v>
      </c>
      <c r="AA18" s="350"/>
      <c r="AB18" s="350">
        <v>0.09</v>
      </c>
      <c r="AC18" s="287"/>
      <c r="AD18" s="75">
        <f t="shared" si="3"/>
        <v>0.25</v>
      </c>
      <c r="AE18" s="75">
        <f t="shared" si="3"/>
        <v>0</v>
      </c>
      <c r="AF18" s="350">
        <v>0.08</v>
      </c>
      <c r="AG18" s="350"/>
      <c r="AH18" s="350">
        <v>0.08</v>
      </c>
      <c r="AI18" s="350"/>
      <c r="AJ18" s="350">
        <v>0.09</v>
      </c>
      <c r="AK18" s="287"/>
      <c r="AL18" s="75">
        <f t="shared" si="4"/>
        <v>0.25</v>
      </c>
      <c r="AM18" s="75">
        <f t="shared" si="4"/>
        <v>0</v>
      </c>
      <c r="AN18" s="350">
        <v>0.08</v>
      </c>
      <c r="AO18" s="350"/>
      <c r="AP18" s="350">
        <v>0.08</v>
      </c>
      <c r="AQ18" s="350"/>
      <c r="AR18" s="350">
        <v>0.09</v>
      </c>
      <c r="AS18" s="287"/>
      <c r="AT18" s="75">
        <f t="shared" si="5"/>
        <v>0.25</v>
      </c>
      <c r="AU18" s="75">
        <f t="shared" si="5"/>
        <v>0</v>
      </c>
      <c r="AV18" s="75">
        <f t="shared" si="6"/>
        <v>1</v>
      </c>
      <c r="AW18" s="81">
        <f t="shared" si="7"/>
        <v>0</v>
      </c>
      <c r="AX18" s="81">
        <f t="shared" si="8"/>
        <v>0</v>
      </c>
      <c r="AY18" s="81">
        <f t="shared" si="9"/>
        <v>0</v>
      </c>
      <c r="AZ18" s="81">
        <f t="shared" si="10"/>
        <v>0</v>
      </c>
      <c r="BA18" s="28">
        <f t="shared" si="11"/>
        <v>0</v>
      </c>
      <c r="BB18" s="28">
        <f t="shared" si="0"/>
        <v>0</v>
      </c>
      <c r="BC18" s="28">
        <f t="shared" si="0"/>
        <v>0</v>
      </c>
      <c r="BD18" s="28">
        <f t="shared" si="0"/>
        <v>0</v>
      </c>
      <c r="BE18" s="28">
        <f t="shared" si="1"/>
        <v>0</v>
      </c>
      <c r="BF18" s="28">
        <f t="shared" si="1"/>
        <v>0</v>
      </c>
      <c r="BG18" s="28">
        <f t="shared" si="1"/>
        <v>0</v>
      </c>
      <c r="BH18" s="28">
        <f t="shared" si="1"/>
        <v>0</v>
      </c>
    </row>
    <row r="19" spans="2:60" ht="22.8">
      <c r="B19" s="496"/>
      <c r="C19" s="497"/>
      <c r="D19" s="497"/>
      <c r="E19" s="497"/>
      <c r="F19" s="497"/>
      <c r="G19" s="497"/>
      <c r="H19" s="497"/>
      <c r="I19" s="497"/>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c r="AG19" s="497"/>
      <c r="AH19" s="497"/>
      <c r="AI19" s="497"/>
      <c r="AJ19" s="497"/>
      <c r="AK19" s="497"/>
      <c r="AL19" s="497"/>
      <c r="AM19" s="497"/>
      <c r="AN19" s="497"/>
      <c r="AO19" s="497"/>
      <c r="AP19" s="497"/>
      <c r="AQ19" s="497"/>
      <c r="AR19" s="497"/>
      <c r="AS19" s="497"/>
      <c r="AT19" s="497"/>
      <c r="AU19" s="497"/>
      <c r="AV19" s="497"/>
      <c r="AW19" s="548"/>
      <c r="AX19" s="518" t="s">
        <v>19</v>
      </c>
      <c r="AY19" s="570"/>
      <c r="AZ19" s="570"/>
      <c r="BA19" s="56">
        <f t="shared" ref="BA19:BH19" si="12">AVERAGE(BA16:BA18)</f>
        <v>0</v>
      </c>
      <c r="BB19" s="56">
        <f t="shared" si="12"/>
        <v>0</v>
      </c>
      <c r="BC19" s="56">
        <f t="shared" si="12"/>
        <v>0</v>
      </c>
      <c r="BD19" s="56">
        <f t="shared" si="12"/>
        <v>0</v>
      </c>
      <c r="BE19" s="56">
        <f t="shared" si="12"/>
        <v>0</v>
      </c>
      <c r="BF19" s="56">
        <f t="shared" si="12"/>
        <v>0</v>
      </c>
      <c r="BG19" s="56">
        <f t="shared" si="12"/>
        <v>0</v>
      </c>
      <c r="BH19" s="56">
        <f t="shared" si="12"/>
        <v>0</v>
      </c>
    </row>
    <row r="20" spans="2:60">
      <c r="B20" s="453"/>
      <c r="C20" s="453"/>
      <c r="D20" s="453"/>
      <c r="E20" s="453"/>
      <c r="F20" s="453"/>
      <c r="G20" s="453"/>
      <c r="H20" s="223"/>
      <c r="I20" s="224"/>
      <c r="J20" s="224"/>
      <c r="K20" s="224"/>
      <c r="L20" s="224"/>
      <c r="M20" s="224"/>
      <c r="N20" s="224"/>
      <c r="O20" s="224"/>
    </row>
    <row r="21" spans="2:60">
      <c r="B21" s="224"/>
      <c r="C21" s="224"/>
      <c r="D21" s="549"/>
      <c r="E21" s="549"/>
      <c r="F21" s="549"/>
      <c r="G21" s="549"/>
      <c r="H21" s="549"/>
      <c r="I21" s="549"/>
      <c r="J21" s="549"/>
      <c r="K21" s="549"/>
      <c r="L21" s="549"/>
      <c r="M21" s="549"/>
      <c r="N21" s="549"/>
      <c r="O21" s="549"/>
    </row>
    <row r="22" spans="2:60" ht="15.6" customHeight="1">
      <c r="B22" s="63" t="s">
        <v>26</v>
      </c>
      <c r="C22" s="225">
        <v>44223</v>
      </c>
      <c r="D22" s="226"/>
      <c r="E22" s="558" t="s">
        <v>50</v>
      </c>
      <c r="F22" s="550" t="s">
        <v>469</v>
      </c>
      <c r="G22" s="551"/>
      <c r="H22" s="551"/>
      <c r="I22" s="551"/>
      <c r="J22" s="552"/>
      <c r="K22" s="227"/>
      <c r="L22" s="559"/>
      <c r="M22" s="559"/>
      <c r="N22" s="559"/>
      <c r="O22" s="560"/>
    </row>
    <row r="23" spans="2:60" ht="15.6">
      <c r="B23" s="224"/>
      <c r="C23" s="224"/>
      <c r="D23" s="227"/>
      <c r="E23" s="558"/>
      <c r="F23" s="553"/>
      <c r="G23" s="554"/>
      <c r="H23" s="554"/>
      <c r="I23" s="554"/>
      <c r="J23" s="555"/>
      <c r="K23" s="224"/>
      <c r="L23" s="224"/>
      <c r="M23" s="224"/>
      <c r="N23" s="224"/>
      <c r="O23" s="224"/>
    </row>
    <row r="24" spans="2:60" ht="15.6">
      <c r="B24" s="63" t="s">
        <v>49</v>
      </c>
      <c r="C24" s="65">
        <v>44581</v>
      </c>
      <c r="D24" s="224"/>
      <c r="E24" s="224"/>
      <c r="F24" s="224"/>
      <c r="K24" s="224"/>
      <c r="L24" s="224"/>
      <c r="M24" s="224"/>
      <c r="N24" s="224"/>
      <c r="O24" s="224"/>
    </row>
    <row r="25" spans="2:60">
      <c r="B25" s="224"/>
      <c r="C25" s="224"/>
      <c r="D25" s="224"/>
      <c r="E25" s="224"/>
      <c r="F25" s="224"/>
      <c r="K25" s="224"/>
      <c r="L25" s="224"/>
      <c r="M25" s="224"/>
      <c r="N25" s="224"/>
      <c r="O25" s="224"/>
    </row>
    <row r="26" spans="2:60">
      <c r="B26" s="189" t="s">
        <v>673</v>
      </c>
      <c r="C26" s="224"/>
      <c r="D26" s="224"/>
      <c r="E26" s="224"/>
      <c r="F26" s="224"/>
      <c r="G26" s="223"/>
      <c r="H26" s="223"/>
      <c r="I26" s="575"/>
      <c r="J26" s="575"/>
      <c r="K26" s="575"/>
      <c r="L26" s="575"/>
      <c r="M26" s="228"/>
      <c r="N26" s="228"/>
      <c r="O26" s="228"/>
    </row>
    <row r="27" spans="2:60">
      <c r="B27" s="224"/>
      <c r="C27" s="224"/>
      <c r="D27" s="224"/>
      <c r="E27" s="224"/>
      <c r="F27" s="224"/>
      <c r="G27" s="223"/>
      <c r="H27" s="223"/>
      <c r="I27" s="224"/>
      <c r="J27" s="224"/>
      <c r="K27" s="229"/>
      <c r="L27" s="224"/>
      <c r="M27" s="224"/>
      <c r="N27" s="224"/>
      <c r="O27" s="224"/>
    </row>
    <row r="28" spans="2:60">
      <c r="B28" s="224"/>
      <c r="C28" s="224"/>
      <c r="D28" s="224"/>
      <c r="E28" s="224"/>
      <c r="F28" s="224"/>
      <c r="G28" s="223"/>
      <c r="H28" s="223"/>
      <c r="I28" s="575"/>
      <c r="J28" s="575"/>
      <c r="K28" s="575"/>
      <c r="L28" s="575"/>
      <c r="M28" s="228"/>
      <c r="N28" s="228"/>
      <c r="O28" s="228"/>
    </row>
    <row r="29" spans="2:60">
      <c r="B29" s="224"/>
      <c r="C29" s="224"/>
      <c r="D29" s="224"/>
      <c r="E29" s="224"/>
      <c r="F29" s="224"/>
      <c r="G29" s="223"/>
      <c r="H29" s="223"/>
      <c r="I29" s="224"/>
      <c r="J29" s="224"/>
      <c r="K29" s="229"/>
      <c r="L29" s="224"/>
      <c r="M29" s="224"/>
      <c r="N29" s="224"/>
      <c r="O29" s="224"/>
    </row>
    <row r="30" spans="2:60">
      <c r="B30" s="224"/>
      <c r="C30" s="224"/>
      <c r="D30" s="224"/>
      <c r="E30" s="224"/>
      <c r="F30" s="224"/>
      <c r="G30" s="223"/>
      <c r="H30" s="223"/>
      <c r="I30" s="575"/>
      <c r="J30" s="575"/>
      <c r="K30" s="575"/>
      <c r="L30" s="575"/>
      <c r="M30" s="228"/>
      <c r="N30" s="228"/>
      <c r="O30" s="228"/>
    </row>
  </sheetData>
  <sheetProtection algorithmName="SHA-512" hashValue="XesfYbU+aeGE7ESs7uUpbfaTnmLDinHhkxO7OOlnt72LYx9IPki6X99DDxqVIyNn6f2nwRdyd3ib74WSD3+IqA==" saltValue="VmWPqKApiWMFcD9ousIz2A==" spinCount="100000" sheet="1" objects="1" scenarios="1"/>
  <mergeCells count="70">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16:B18"/>
    <mergeCell ref="C16:C18"/>
    <mergeCell ref="AD14:AE14"/>
    <mergeCell ref="AF14:AG14"/>
    <mergeCell ref="AH14:AI14"/>
    <mergeCell ref="K12:K15"/>
    <mergeCell ref="L12:L15"/>
    <mergeCell ref="M12:M15"/>
    <mergeCell ref="G12:G15"/>
    <mergeCell ref="F12:F15"/>
    <mergeCell ref="AL14:AM14"/>
    <mergeCell ref="AN14:AO14"/>
    <mergeCell ref="N12:N15"/>
    <mergeCell ref="O12:O15"/>
    <mergeCell ref="H12:H15"/>
    <mergeCell ref="I12:I15"/>
    <mergeCell ref="J12:J15"/>
    <mergeCell ref="I28:L28"/>
    <mergeCell ref="I30:L30"/>
    <mergeCell ref="B20:G20"/>
    <mergeCell ref="AX19:AZ19"/>
    <mergeCell ref="D21:O21"/>
    <mergeCell ref="E22:E23"/>
    <mergeCell ref="L22:O22"/>
    <mergeCell ref="I26:L26"/>
    <mergeCell ref="B19:AW19"/>
    <mergeCell ref="F22:J23"/>
  </mergeCells>
  <conditionalFormatting sqref="BA16:BD16">
    <cfRule type="cellIs" dxfId="98" priority="49" operator="between">
      <formula>0.7</formula>
      <formula>1</formula>
    </cfRule>
    <cfRule type="cellIs" dxfId="97" priority="50" operator="between">
      <formula>0.51</formula>
      <formula>0.69</formula>
    </cfRule>
    <cfRule type="cellIs" dxfId="96" priority="51" operator="between">
      <formula>0</formula>
      <formula>0.5</formula>
    </cfRule>
  </conditionalFormatting>
  <conditionalFormatting sqref="BA17:BA18">
    <cfRule type="cellIs" dxfId="95" priority="46" operator="between">
      <formula>0.7</formula>
      <formula>1</formula>
    </cfRule>
    <cfRule type="cellIs" dxfId="94" priority="47" operator="between">
      <formula>0.51</formula>
      <formula>0.69</formula>
    </cfRule>
    <cfRule type="cellIs" dxfId="93" priority="48" operator="between">
      <formula>0</formula>
      <formula>0.5</formula>
    </cfRule>
  </conditionalFormatting>
  <conditionalFormatting sqref="BE16:BH16">
    <cfRule type="cellIs" dxfId="92" priority="43" operator="between">
      <formula>0.7</formula>
      <formula>1</formula>
    </cfRule>
    <cfRule type="cellIs" dxfId="91" priority="44" operator="between">
      <formula>0.51</formula>
      <formula>0.69</formula>
    </cfRule>
    <cfRule type="cellIs" dxfId="90" priority="45" operator="between">
      <formula>0</formula>
      <formula>0.5</formula>
    </cfRule>
  </conditionalFormatting>
  <conditionalFormatting sqref="BH17">
    <cfRule type="cellIs" dxfId="89" priority="22" operator="between">
      <formula>0.7</formula>
      <formula>1</formula>
    </cfRule>
    <cfRule type="cellIs" dxfId="88" priority="23" operator="between">
      <formula>0.51</formula>
      <formula>0.69</formula>
    </cfRule>
    <cfRule type="cellIs" dxfId="87" priority="24" operator="between">
      <formula>0</formula>
      <formula>0.5</formula>
    </cfRule>
  </conditionalFormatting>
  <conditionalFormatting sqref="BB17">
    <cfRule type="cellIs" dxfId="86" priority="40" operator="between">
      <formula>0.7</formula>
      <formula>1</formula>
    </cfRule>
    <cfRule type="cellIs" dxfId="85" priority="41" operator="between">
      <formula>0.51</formula>
      <formula>0.69</formula>
    </cfRule>
    <cfRule type="cellIs" dxfId="84" priority="42" operator="between">
      <formula>0</formula>
      <formula>0.5</formula>
    </cfRule>
  </conditionalFormatting>
  <conditionalFormatting sqref="BC17">
    <cfRule type="cellIs" dxfId="83" priority="37" operator="between">
      <formula>0.7</formula>
      <formula>1</formula>
    </cfRule>
    <cfRule type="cellIs" dxfId="82" priority="38" operator="between">
      <formula>0.51</formula>
      <formula>0.69</formula>
    </cfRule>
    <cfRule type="cellIs" dxfId="81" priority="39" operator="between">
      <formula>0</formula>
      <formula>0.5</formula>
    </cfRule>
  </conditionalFormatting>
  <conditionalFormatting sqref="BD17">
    <cfRule type="cellIs" dxfId="80" priority="34" operator="between">
      <formula>0.7</formula>
      <formula>1</formula>
    </cfRule>
    <cfRule type="cellIs" dxfId="79" priority="35" operator="between">
      <formula>0.51</formula>
      <formula>0.69</formula>
    </cfRule>
    <cfRule type="cellIs" dxfId="78" priority="36" operator="between">
      <formula>0</formula>
      <formula>0.5</formula>
    </cfRule>
  </conditionalFormatting>
  <conditionalFormatting sqref="BE17">
    <cfRule type="cellIs" dxfId="77" priority="31" operator="between">
      <formula>0.7</formula>
      <formula>1</formula>
    </cfRule>
    <cfRule type="cellIs" dxfId="76" priority="32" operator="between">
      <formula>0.51</formula>
      <formula>0.69</formula>
    </cfRule>
    <cfRule type="cellIs" dxfId="75" priority="33" operator="between">
      <formula>0</formula>
      <formula>0.5</formula>
    </cfRule>
  </conditionalFormatting>
  <conditionalFormatting sqref="BF17">
    <cfRule type="cellIs" dxfId="74" priority="28" operator="between">
      <formula>0.7</formula>
      <formula>1</formula>
    </cfRule>
    <cfRule type="cellIs" dxfId="73" priority="29" operator="between">
      <formula>0.51</formula>
      <formula>0.69</formula>
    </cfRule>
    <cfRule type="cellIs" dxfId="72" priority="30" operator="between">
      <formula>0</formula>
      <formula>0.5</formula>
    </cfRule>
  </conditionalFormatting>
  <conditionalFormatting sqref="BG17">
    <cfRule type="cellIs" dxfId="71" priority="25" operator="between">
      <formula>0.7</formula>
      <formula>1</formula>
    </cfRule>
    <cfRule type="cellIs" dxfId="70" priority="26" operator="between">
      <formula>0.51</formula>
      <formula>0.69</formula>
    </cfRule>
    <cfRule type="cellIs" dxfId="69" priority="27" operator="between">
      <formula>0</formula>
      <formula>0.5</formula>
    </cfRule>
  </conditionalFormatting>
  <conditionalFormatting sqref="BB18">
    <cfRule type="cellIs" dxfId="68" priority="19" operator="between">
      <formula>0.7</formula>
      <formula>1</formula>
    </cfRule>
    <cfRule type="cellIs" dxfId="67" priority="20" operator="between">
      <formula>0.51</formula>
      <formula>0.69</formula>
    </cfRule>
    <cfRule type="cellIs" dxfId="66" priority="21" operator="between">
      <formula>0</formula>
      <formula>0.5</formula>
    </cfRule>
  </conditionalFormatting>
  <conditionalFormatting sqref="BC18">
    <cfRule type="cellIs" dxfId="65" priority="16" operator="between">
      <formula>0.7</formula>
      <formula>1</formula>
    </cfRule>
    <cfRule type="cellIs" dxfId="64" priority="17" operator="between">
      <formula>0.51</formula>
      <formula>0.69</formula>
    </cfRule>
    <cfRule type="cellIs" dxfId="63" priority="18" operator="between">
      <formula>0</formula>
      <formula>0.5</formula>
    </cfRule>
  </conditionalFormatting>
  <conditionalFormatting sqref="BD18">
    <cfRule type="cellIs" dxfId="62" priority="13" operator="between">
      <formula>0.7</formula>
      <formula>1</formula>
    </cfRule>
    <cfRule type="cellIs" dxfId="61" priority="14" operator="between">
      <formula>0.51</formula>
      <formula>0.69</formula>
    </cfRule>
    <cfRule type="cellIs" dxfId="60" priority="15" operator="between">
      <formula>0</formula>
      <formula>0.5</formula>
    </cfRule>
  </conditionalFormatting>
  <conditionalFormatting sqref="BE18">
    <cfRule type="cellIs" dxfId="59" priority="10" operator="between">
      <formula>0.7</formula>
      <formula>1</formula>
    </cfRule>
    <cfRule type="cellIs" dxfId="58" priority="11" operator="between">
      <formula>0.51</formula>
      <formula>0.69</formula>
    </cfRule>
    <cfRule type="cellIs" dxfId="57" priority="12" operator="between">
      <formula>0</formula>
      <formula>0.5</formula>
    </cfRule>
  </conditionalFormatting>
  <conditionalFormatting sqref="BF18">
    <cfRule type="cellIs" dxfId="56" priority="7" operator="between">
      <formula>0.7</formula>
      <formula>1</formula>
    </cfRule>
    <cfRule type="cellIs" dxfId="55" priority="8" operator="between">
      <formula>0.51</formula>
      <formula>0.69</formula>
    </cfRule>
    <cfRule type="cellIs" dxfId="54" priority="9" operator="between">
      <formula>0</formula>
      <formula>0.5</formula>
    </cfRule>
  </conditionalFormatting>
  <conditionalFormatting sqref="BG18">
    <cfRule type="cellIs" dxfId="53" priority="4" operator="between">
      <formula>0.7</formula>
      <formula>1</formula>
    </cfRule>
    <cfRule type="cellIs" dxfId="52" priority="5" operator="between">
      <formula>0.51</formula>
      <formula>0.69</formula>
    </cfRule>
    <cfRule type="cellIs" dxfId="51" priority="6" operator="between">
      <formula>0</formula>
      <formula>0.5</formula>
    </cfRule>
  </conditionalFormatting>
  <conditionalFormatting sqref="BH18">
    <cfRule type="cellIs" dxfId="50" priority="1" operator="between">
      <formula>0.7</formula>
      <formula>1</formula>
    </cfRule>
    <cfRule type="cellIs" dxfId="49" priority="2" operator="between">
      <formula>0.51</formula>
      <formula>0.69</formula>
    </cfRule>
    <cfRule type="cellIs" dxfId="48"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38ED5FE9-E1A0-4491-9707-93294B97E159}"/>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C84D8-AC24-4DC5-A666-D82B445F2205}">
  <sheetPr>
    <tabColor rgb="FF92D050"/>
  </sheetPr>
  <dimension ref="B1:BH37"/>
  <sheetViews>
    <sheetView showGridLines="0" zoomScale="70" zoomScaleNormal="70" workbookViewId="0">
      <selection activeCell="C27" sqref="C27"/>
    </sheetView>
  </sheetViews>
  <sheetFormatPr baseColWidth="10" defaultColWidth="17.33203125" defaultRowHeight="15" customHeight="1"/>
  <cols>
    <col min="1" max="1" width="4.33203125" style="124" customWidth="1"/>
    <col min="2" max="2" width="50.44140625" style="122" customWidth="1"/>
    <col min="3" max="3" width="31.44140625" style="122" customWidth="1"/>
    <col min="4" max="4" width="49.6640625" style="122" customWidth="1"/>
    <col min="5" max="6" width="27.5546875" style="122" customWidth="1"/>
    <col min="7" max="8" width="29.33203125" style="123" customWidth="1"/>
    <col min="9" max="9" width="21.44140625" style="122" customWidth="1"/>
    <col min="10" max="10" width="41.33203125" style="122" customWidth="1"/>
    <col min="11" max="11" width="55.88671875" style="122" customWidth="1"/>
    <col min="12" max="12" width="48.44140625" style="122" customWidth="1"/>
    <col min="13" max="14" width="28.5546875" style="122" customWidth="1"/>
    <col min="15" max="15" width="50" style="122" customWidth="1"/>
    <col min="16" max="47" width="15.88671875" style="124" customWidth="1"/>
    <col min="48" max="48" width="24.5546875" style="124" customWidth="1"/>
    <col min="49" max="49" width="22.88671875" style="124" customWidth="1"/>
    <col min="50" max="50" width="19.33203125" style="124" customWidth="1"/>
    <col min="51" max="51" width="18.44140625" style="124" customWidth="1"/>
    <col min="52" max="52" width="19.44140625" style="124" customWidth="1"/>
    <col min="53" max="53" width="23.33203125" style="124" customWidth="1"/>
    <col min="54" max="55" width="25.109375" style="124" customWidth="1"/>
    <col min="56" max="56" width="26.6640625" style="124" customWidth="1"/>
    <col min="57" max="57" width="26.33203125" style="124" customWidth="1"/>
    <col min="58" max="58" width="26.5546875" style="124" customWidth="1"/>
    <col min="59" max="59" width="26.33203125" style="124" customWidth="1"/>
    <col min="60" max="60" width="27.33203125" style="124" customWidth="1"/>
    <col min="61" max="16384" width="17.33203125" style="124"/>
  </cols>
  <sheetData>
    <row r="1" spans="2:60" ht="15.6" thickBot="1"/>
    <row r="2" spans="2:60" ht="15.6" customHeight="1">
      <c r="B2" s="489" t="s">
        <v>671</v>
      </c>
      <c r="C2" s="534" t="s">
        <v>117</v>
      </c>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35"/>
      <c r="AL2" s="535"/>
      <c r="AM2" s="535"/>
      <c r="AN2" s="535"/>
      <c r="AO2" s="535"/>
      <c r="AP2" s="535"/>
      <c r="AQ2" s="535"/>
      <c r="AR2" s="535"/>
      <c r="AS2" s="535"/>
      <c r="AT2" s="535"/>
      <c r="AU2" s="535"/>
      <c r="AV2" s="535"/>
      <c r="AW2" s="535"/>
      <c r="AX2" s="535"/>
      <c r="AY2" s="535"/>
      <c r="AZ2" s="535"/>
      <c r="BA2" s="535"/>
      <c r="BB2" s="535"/>
      <c r="BC2" s="535"/>
      <c r="BD2" s="535"/>
      <c r="BE2" s="535"/>
      <c r="BF2" s="536"/>
      <c r="BG2" s="190" t="s">
        <v>31</v>
      </c>
      <c r="BH2" s="191"/>
    </row>
    <row r="3" spans="2:60" ht="15.6" customHeight="1">
      <c r="B3" s="490"/>
      <c r="C3" s="537"/>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8"/>
      <c r="AZ3" s="538"/>
      <c r="BA3" s="538"/>
      <c r="BB3" s="538"/>
      <c r="BC3" s="538"/>
      <c r="BD3" s="538"/>
      <c r="BE3" s="538"/>
      <c r="BF3" s="539"/>
      <c r="BG3" s="192" t="s">
        <v>28</v>
      </c>
      <c r="BH3" s="17" t="s">
        <v>29</v>
      </c>
    </row>
    <row r="4" spans="2:60" ht="15" customHeight="1">
      <c r="B4" s="490"/>
      <c r="C4" s="537"/>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538"/>
      <c r="BF4" s="539"/>
      <c r="BG4" s="193">
        <v>5</v>
      </c>
      <c r="BH4" s="18" t="s">
        <v>648</v>
      </c>
    </row>
    <row r="5" spans="2:60" ht="15.6" customHeight="1">
      <c r="B5" s="490"/>
      <c r="C5" s="537"/>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538"/>
      <c r="BF5" s="539"/>
      <c r="BG5" s="194" t="s">
        <v>30</v>
      </c>
      <c r="BH5" s="195"/>
    </row>
    <row r="6" spans="2:60" ht="15.6" customHeight="1" thickBot="1">
      <c r="B6" s="491"/>
      <c r="C6" s="540"/>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1"/>
      <c r="AN6" s="541"/>
      <c r="AO6" s="541"/>
      <c r="AP6" s="541"/>
      <c r="AQ6" s="541"/>
      <c r="AR6" s="541"/>
      <c r="AS6" s="541"/>
      <c r="AT6" s="541"/>
      <c r="AU6" s="541"/>
      <c r="AV6" s="541"/>
      <c r="AW6" s="541"/>
      <c r="AX6" s="541"/>
      <c r="AY6" s="541"/>
      <c r="AZ6" s="541"/>
      <c r="BA6" s="541"/>
      <c r="BB6" s="541"/>
      <c r="BC6" s="541"/>
      <c r="BD6" s="541"/>
      <c r="BE6" s="541"/>
      <c r="BF6" s="542"/>
      <c r="BG6" s="556">
        <v>43941</v>
      </c>
      <c r="BH6" s="557"/>
    </row>
    <row r="7" spans="2:60">
      <c r="B7" s="125"/>
      <c r="C7" s="125"/>
      <c r="D7" s="125"/>
      <c r="E7" s="125"/>
      <c r="F7" s="125"/>
      <c r="G7" s="126"/>
      <c r="H7" s="126"/>
      <c r="I7" s="125"/>
      <c r="J7" s="125"/>
      <c r="K7" s="125"/>
      <c r="L7" s="125"/>
      <c r="M7" s="125"/>
      <c r="N7" s="125"/>
      <c r="O7" s="125"/>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528"/>
      <c r="AX7" s="559"/>
      <c r="AY7" s="559"/>
      <c r="AZ7" s="559"/>
      <c r="BA7" s="530"/>
      <c r="BB7" s="214"/>
      <c r="BC7" s="214"/>
      <c r="BD7" s="214"/>
      <c r="BE7" s="127"/>
      <c r="BF7" s="127"/>
    </row>
    <row r="8" spans="2:60" ht="21">
      <c r="B8" s="196" t="s">
        <v>45</v>
      </c>
      <c r="C8" s="576" t="s">
        <v>93</v>
      </c>
      <c r="D8" s="576"/>
      <c r="E8" s="197"/>
      <c r="F8" s="197"/>
      <c r="G8" s="197"/>
      <c r="H8" s="197"/>
      <c r="I8" s="197"/>
      <c r="J8" s="197"/>
      <c r="K8" s="197"/>
      <c r="L8" s="197"/>
      <c r="M8" s="197"/>
      <c r="N8" s="197"/>
      <c r="O8" s="197"/>
      <c r="AW8" s="214"/>
      <c r="AX8" s="214"/>
      <c r="AY8" s="214"/>
      <c r="AZ8" s="214"/>
      <c r="BA8" s="214"/>
      <c r="BB8" s="214"/>
      <c r="BC8" s="214"/>
      <c r="BD8" s="214"/>
    </row>
    <row r="9" spans="2:60" ht="79.5" customHeight="1">
      <c r="B9" s="196" t="s">
        <v>34</v>
      </c>
      <c r="C9" s="514" t="s">
        <v>440</v>
      </c>
      <c r="D9" s="515"/>
      <c r="E9" s="197"/>
      <c r="F9" s="197"/>
      <c r="G9" s="197"/>
      <c r="H9" s="197"/>
      <c r="I9" s="197"/>
      <c r="J9" s="197"/>
      <c r="K9" s="197"/>
      <c r="L9" s="197"/>
      <c r="M9" s="197"/>
      <c r="N9" s="197"/>
      <c r="O9" s="197"/>
      <c r="AW9" s="214"/>
      <c r="AX9" s="214"/>
      <c r="AY9" s="214"/>
      <c r="AZ9" s="214"/>
      <c r="BA9" s="214"/>
      <c r="BB9" s="214"/>
      <c r="BC9" s="214"/>
      <c r="BD9" s="214"/>
    </row>
    <row r="10" spans="2:60" ht="24.6">
      <c r="B10" s="196" t="s">
        <v>100</v>
      </c>
      <c r="C10" s="516">
        <v>2022</v>
      </c>
      <c r="D10" s="517"/>
      <c r="E10" s="197"/>
      <c r="F10" s="197"/>
      <c r="G10" s="197"/>
      <c r="H10" s="197"/>
      <c r="I10" s="197"/>
      <c r="J10" s="197"/>
      <c r="K10" s="197"/>
      <c r="L10" s="197"/>
      <c r="M10" s="197"/>
      <c r="N10" s="197"/>
      <c r="O10" s="197"/>
      <c r="AW10" s="214"/>
      <c r="AX10" s="214"/>
      <c r="AY10" s="214"/>
      <c r="AZ10" s="214"/>
      <c r="BA10" s="214"/>
      <c r="BB10" s="214"/>
      <c r="BC10" s="214"/>
      <c r="BD10" s="214"/>
    </row>
    <row r="11" spans="2:60">
      <c r="B11" s="125"/>
      <c r="C11" s="125"/>
      <c r="D11" s="125"/>
      <c r="E11" s="125"/>
      <c r="F11" s="125"/>
      <c r="G11" s="126"/>
      <c r="H11" s="126"/>
      <c r="I11" s="125"/>
      <c r="J11" s="125"/>
      <c r="K11" s="125"/>
      <c r="L11" s="125"/>
      <c r="M11" s="125"/>
      <c r="N11" s="125"/>
      <c r="O11" s="125"/>
      <c r="AW11" s="214"/>
      <c r="AX11" s="214"/>
      <c r="AY11" s="214"/>
      <c r="AZ11" s="214"/>
      <c r="BA11" s="214"/>
      <c r="BB11" s="214"/>
      <c r="BC11" s="214"/>
      <c r="BD11" s="214"/>
    </row>
    <row r="12" spans="2:60" ht="24" customHeight="1">
      <c r="B12" s="488" t="s">
        <v>0</v>
      </c>
      <c r="C12" s="488" t="s">
        <v>52</v>
      </c>
      <c r="D12" s="526" t="s">
        <v>674</v>
      </c>
      <c r="E12" s="488" t="s">
        <v>60</v>
      </c>
      <c r="F12" s="527" t="s">
        <v>743</v>
      </c>
      <c r="G12" s="488" t="s">
        <v>57</v>
      </c>
      <c r="H12" s="488" t="s">
        <v>25</v>
      </c>
      <c r="I12" s="488" t="s">
        <v>59</v>
      </c>
      <c r="J12" s="488" t="s">
        <v>39</v>
      </c>
      <c r="K12" s="488" t="s">
        <v>36</v>
      </c>
      <c r="L12" s="488" t="s">
        <v>20</v>
      </c>
      <c r="M12" s="488" t="s">
        <v>51</v>
      </c>
      <c r="N12" s="488" t="s">
        <v>40</v>
      </c>
      <c r="O12" s="488" t="s">
        <v>42</v>
      </c>
      <c r="P12" s="533" t="s">
        <v>111</v>
      </c>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3"/>
      <c r="AN12" s="533"/>
      <c r="AO12" s="533"/>
      <c r="AP12" s="533"/>
      <c r="AQ12" s="533"/>
      <c r="AR12" s="533"/>
      <c r="AS12" s="533"/>
      <c r="AT12" s="533"/>
      <c r="AU12" s="533"/>
      <c r="AV12" s="531" t="s">
        <v>61</v>
      </c>
      <c r="AW12" s="520" t="s">
        <v>675</v>
      </c>
      <c r="AX12" s="521"/>
      <c r="AY12" s="521"/>
      <c r="AZ12" s="522"/>
      <c r="BA12" s="508" t="s">
        <v>676</v>
      </c>
      <c r="BB12" s="509"/>
      <c r="BC12" s="509"/>
      <c r="BD12" s="510"/>
      <c r="BE12" s="502" t="s">
        <v>677</v>
      </c>
      <c r="BF12" s="503"/>
      <c r="BG12" s="503"/>
      <c r="BH12" s="504"/>
    </row>
    <row r="13" spans="2:60" ht="15.6">
      <c r="B13" s="488"/>
      <c r="C13" s="488"/>
      <c r="D13" s="526"/>
      <c r="E13" s="488"/>
      <c r="F13" s="527"/>
      <c r="G13" s="488"/>
      <c r="H13" s="488"/>
      <c r="I13" s="488"/>
      <c r="J13" s="488"/>
      <c r="K13" s="488"/>
      <c r="L13" s="488"/>
      <c r="M13" s="488"/>
      <c r="N13" s="488"/>
      <c r="O13" s="488"/>
      <c r="P13" s="532" t="s">
        <v>21</v>
      </c>
      <c r="Q13" s="532"/>
      <c r="R13" s="532"/>
      <c r="S13" s="532"/>
      <c r="T13" s="532"/>
      <c r="U13" s="532"/>
      <c r="V13" s="532"/>
      <c r="W13" s="532"/>
      <c r="X13" s="532" t="s">
        <v>22</v>
      </c>
      <c r="Y13" s="532"/>
      <c r="Z13" s="532"/>
      <c r="AA13" s="532"/>
      <c r="AB13" s="532"/>
      <c r="AC13" s="532"/>
      <c r="AD13" s="532"/>
      <c r="AE13" s="532"/>
      <c r="AF13" s="532" t="s">
        <v>23</v>
      </c>
      <c r="AG13" s="532"/>
      <c r="AH13" s="532"/>
      <c r="AI13" s="532"/>
      <c r="AJ13" s="532"/>
      <c r="AK13" s="532"/>
      <c r="AL13" s="532"/>
      <c r="AM13" s="532"/>
      <c r="AN13" s="532" t="s">
        <v>24</v>
      </c>
      <c r="AO13" s="532"/>
      <c r="AP13" s="532"/>
      <c r="AQ13" s="532"/>
      <c r="AR13" s="532"/>
      <c r="AS13" s="532"/>
      <c r="AT13" s="532"/>
      <c r="AU13" s="532"/>
      <c r="AV13" s="531"/>
      <c r="AW13" s="523" t="s">
        <v>118</v>
      </c>
      <c r="AX13" s="523" t="s">
        <v>22</v>
      </c>
      <c r="AY13" s="523" t="s">
        <v>119</v>
      </c>
      <c r="AZ13" s="523" t="s">
        <v>120</v>
      </c>
      <c r="BA13" s="511" t="s">
        <v>118</v>
      </c>
      <c r="BB13" s="511" t="s">
        <v>121</v>
      </c>
      <c r="BC13" s="511" t="s">
        <v>122</v>
      </c>
      <c r="BD13" s="511" t="s">
        <v>123</v>
      </c>
      <c r="BE13" s="505" t="s">
        <v>21</v>
      </c>
      <c r="BF13" s="505" t="s">
        <v>22</v>
      </c>
      <c r="BG13" s="505" t="s">
        <v>23</v>
      </c>
      <c r="BH13" s="505" t="s">
        <v>24</v>
      </c>
    </row>
    <row r="14" spans="2:60" ht="15.6">
      <c r="B14" s="488"/>
      <c r="C14" s="488"/>
      <c r="D14" s="526"/>
      <c r="E14" s="488"/>
      <c r="F14" s="527"/>
      <c r="G14" s="488"/>
      <c r="H14" s="488"/>
      <c r="I14" s="488"/>
      <c r="J14" s="488"/>
      <c r="K14" s="488"/>
      <c r="L14" s="488"/>
      <c r="M14" s="488"/>
      <c r="N14" s="488"/>
      <c r="O14" s="488"/>
      <c r="P14" s="571" t="s">
        <v>5</v>
      </c>
      <c r="Q14" s="571"/>
      <c r="R14" s="571" t="s">
        <v>6</v>
      </c>
      <c r="S14" s="571"/>
      <c r="T14" s="571" t="s">
        <v>7</v>
      </c>
      <c r="U14" s="571"/>
      <c r="V14" s="533" t="s">
        <v>8</v>
      </c>
      <c r="W14" s="533"/>
      <c r="X14" s="571" t="s">
        <v>27</v>
      </c>
      <c r="Y14" s="571"/>
      <c r="Z14" s="571" t="s">
        <v>9</v>
      </c>
      <c r="AA14" s="571"/>
      <c r="AB14" s="571" t="s">
        <v>10</v>
      </c>
      <c r="AC14" s="571"/>
      <c r="AD14" s="533" t="s">
        <v>8</v>
      </c>
      <c r="AE14" s="533"/>
      <c r="AF14" s="571" t="s">
        <v>11</v>
      </c>
      <c r="AG14" s="571"/>
      <c r="AH14" s="571" t="s">
        <v>12</v>
      </c>
      <c r="AI14" s="571"/>
      <c r="AJ14" s="571" t="s">
        <v>13</v>
      </c>
      <c r="AK14" s="571"/>
      <c r="AL14" s="533" t="s">
        <v>8</v>
      </c>
      <c r="AM14" s="533"/>
      <c r="AN14" s="571" t="s">
        <v>14</v>
      </c>
      <c r="AO14" s="571"/>
      <c r="AP14" s="571" t="s">
        <v>15</v>
      </c>
      <c r="AQ14" s="571"/>
      <c r="AR14" s="571" t="s">
        <v>16</v>
      </c>
      <c r="AS14" s="571"/>
      <c r="AT14" s="533" t="s">
        <v>8</v>
      </c>
      <c r="AU14" s="533"/>
      <c r="AV14" s="531"/>
      <c r="AW14" s="524"/>
      <c r="AX14" s="524"/>
      <c r="AY14" s="524"/>
      <c r="AZ14" s="524"/>
      <c r="BA14" s="512"/>
      <c r="BB14" s="512"/>
      <c r="BC14" s="512"/>
      <c r="BD14" s="512"/>
      <c r="BE14" s="506"/>
      <c r="BF14" s="506"/>
      <c r="BG14" s="506"/>
      <c r="BH14" s="506"/>
    </row>
    <row r="15" spans="2:60" ht="13.2" customHeight="1">
      <c r="B15" s="488"/>
      <c r="C15" s="488"/>
      <c r="D15" s="526"/>
      <c r="E15" s="488"/>
      <c r="F15" s="527"/>
      <c r="G15" s="488"/>
      <c r="H15" s="488"/>
      <c r="I15" s="488"/>
      <c r="J15" s="488"/>
      <c r="K15" s="488"/>
      <c r="L15" s="488"/>
      <c r="M15" s="488"/>
      <c r="N15" s="488"/>
      <c r="O15" s="488"/>
      <c r="P15" s="215" t="s">
        <v>17</v>
      </c>
      <c r="Q15" s="216" t="s">
        <v>18</v>
      </c>
      <c r="R15" s="215" t="s">
        <v>17</v>
      </c>
      <c r="S15" s="216" t="s">
        <v>18</v>
      </c>
      <c r="T15" s="215" t="s">
        <v>17</v>
      </c>
      <c r="U15" s="216" t="s">
        <v>18</v>
      </c>
      <c r="V15" s="61" t="s">
        <v>17</v>
      </c>
      <c r="W15" s="62" t="s">
        <v>18</v>
      </c>
      <c r="X15" s="215" t="s">
        <v>17</v>
      </c>
      <c r="Y15" s="216" t="s">
        <v>18</v>
      </c>
      <c r="Z15" s="215" t="s">
        <v>17</v>
      </c>
      <c r="AA15" s="216" t="s">
        <v>18</v>
      </c>
      <c r="AB15" s="215" t="s">
        <v>17</v>
      </c>
      <c r="AC15" s="216" t="s">
        <v>18</v>
      </c>
      <c r="AD15" s="61" t="s">
        <v>17</v>
      </c>
      <c r="AE15" s="62" t="s">
        <v>18</v>
      </c>
      <c r="AF15" s="215" t="s">
        <v>17</v>
      </c>
      <c r="AG15" s="216" t="s">
        <v>18</v>
      </c>
      <c r="AH15" s="215" t="s">
        <v>17</v>
      </c>
      <c r="AI15" s="216" t="s">
        <v>18</v>
      </c>
      <c r="AJ15" s="215" t="s">
        <v>17</v>
      </c>
      <c r="AK15" s="216" t="s">
        <v>18</v>
      </c>
      <c r="AL15" s="61" t="s">
        <v>17</v>
      </c>
      <c r="AM15" s="62" t="s">
        <v>18</v>
      </c>
      <c r="AN15" s="215" t="s">
        <v>17</v>
      </c>
      <c r="AO15" s="216" t="s">
        <v>18</v>
      </c>
      <c r="AP15" s="215" t="s">
        <v>17</v>
      </c>
      <c r="AQ15" s="216" t="s">
        <v>18</v>
      </c>
      <c r="AR15" s="215" t="s">
        <v>17</v>
      </c>
      <c r="AS15" s="216" t="s">
        <v>18</v>
      </c>
      <c r="AT15" s="61" t="s">
        <v>17</v>
      </c>
      <c r="AU15" s="62" t="s">
        <v>18</v>
      </c>
      <c r="AV15" s="531"/>
      <c r="AW15" s="525"/>
      <c r="AX15" s="525"/>
      <c r="AY15" s="525"/>
      <c r="AZ15" s="525"/>
      <c r="BA15" s="513"/>
      <c r="BB15" s="513"/>
      <c r="BC15" s="513"/>
      <c r="BD15" s="513"/>
      <c r="BE15" s="507"/>
      <c r="BF15" s="507"/>
      <c r="BG15" s="507"/>
      <c r="BH15" s="507"/>
    </row>
    <row r="16" spans="2:60" ht="135">
      <c r="B16" s="500"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500" t="str">
        <f>+'01-FR-03 POA INSTITUCIONAL'!C69</f>
        <v>4.4. Implementar el 100% de las acciones necesarias para la modernización de la gestión institucional a través de los procesos de apoyo, que permita una mejor prestación del servicio.</v>
      </c>
      <c r="D16" s="231" t="str">
        <f>+'01-FR-03 POA INSTITUCIONAL'!D74</f>
        <v>4.4.6 Ejecutar el 95% del Plan Anual de Adquisiciones respecto de gastos generales</v>
      </c>
      <c r="E16" s="45">
        <v>0.1</v>
      </c>
      <c r="F16" s="289">
        <f>+'01-FR-03 POA INSTITUCIONAL'!F74</f>
        <v>0.95</v>
      </c>
      <c r="G16" s="289">
        <f>+'01-FR-03 POA INSTITUCIONAL'!L74</f>
        <v>0.95</v>
      </c>
      <c r="H16" s="129" t="str">
        <f>+'01-FR-03 POA INSTITUCIONAL'!G74</f>
        <v>S.I.</v>
      </c>
      <c r="I16" s="129" t="str">
        <f>+'01-FR-03 POA INSTITUCIONAL'!H74</f>
        <v xml:space="preserve">Porcentaje del Plan Anual de Adquisiciones ejecutado </v>
      </c>
      <c r="J16" s="285" t="s">
        <v>441</v>
      </c>
      <c r="K16" s="262" t="s">
        <v>442</v>
      </c>
      <c r="L16" s="290" t="s">
        <v>443</v>
      </c>
      <c r="M16" s="291" t="s">
        <v>444</v>
      </c>
      <c r="N16" s="291" t="s">
        <v>445</v>
      </c>
      <c r="O16" s="286" t="str">
        <f>+'01-FR-03 POA INSTITUCIONAL'!J74</f>
        <v>Subdirección de Gestión Contractual
Dirección Administrativa y Financiera</v>
      </c>
      <c r="P16" s="287">
        <v>0.2</v>
      </c>
      <c r="Q16" s="287"/>
      <c r="R16" s="287">
        <v>0.08</v>
      </c>
      <c r="S16" s="287"/>
      <c r="T16" s="287">
        <v>0.08</v>
      </c>
      <c r="U16" s="287"/>
      <c r="V16" s="75">
        <f>P16+R16+T16</f>
        <v>0.36000000000000004</v>
      </c>
      <c r="W16" s="75">
        <f>Q16+S16+U16</f>
        <v>0</v>
      </c>
      <c r="X16" s="287">
        <v>0.08</v>
      </c>
      <c r="Y16" s="287"/>
      <c r="Z16" s="287">
        <v>7.0000000000000007E-2</v>
      </c>
      <c r="AA16" s="287"/>
      <c r="AB16" s="287">
        <v>7.0000000000000007E-2</v>
      </c>
      <c r="AC16" s="287"/>
      <c r="AD16" s="75">
        <f>X16+Z16+AB16</f>
        <v>0.22000000000000003</v>
      </c>
      <c r="AE16" s="75">
        <f>Y16+AA16+AC16</f>
        <v>0</v>
      </c>
      <c r="AF16" s="287">
        <v>0.12</v>
      </c>
      <c r="AG16" s="287"/>
      <c r="AH16" s="287">
        <v>0.05</v>
      </c>
      <c r="AI16" s="287"/>
      <c r="AJ16" s="288">
        <v>0.05</v>
      </c>
      <c r="AK16" s="288"/>
      <c r="AL16" s="75">
        <f>AF16+AH16+AJ16</f>
        <v>0.21999999999999997</v>
      </c>
      <c r="AM16" s="75">
        <f>AG16+AI16+AK16</f>
        <v>0</v>
      </c>
      <c r="AN16" s="287">
        <v>0.05</v>
      </c>
      <c r="AO16" s="287"/>
      <c r="AP16" s="287">
        <v>0.05</v>
      </c>
      <c r="AQ16" s="287"/>
      <c r="AR16" s="287">
        <v>0.05</v>
      </c>
      <c r="AS16" s="287"/>
      <c r="AT16" s="75">
        <f>AN16+AP16+AR16</f>
        <v>0.15000000000000002</v>
      </c>
      <c r="AU16" s="75">
        <f>AO16+AQ16+AS16</f>
        <v>0</v>
      </c>
      <c r="AV16" s="75">
        <f>V16+AD16+AL16+AT16</f>
        <v>0.95000000000000007</v>
      </c>
      <c r="AW16" s="66">
        <f>+W16</f>
        <v>0</v>
      </c>
      <c r="AX16" s="66">
        <f>+W16+AE16</f>
        <v>0</v>
      </c>
      <c r="AY16" s="66">
        <f>+W16+AE16+AM16</f>
        <v>0</v>
      </c>
      <c r="AZ16" s="66">
        <f>+W16+AE16+AM16+AU16</f>
        <v>0</v>
      </c>
      <c r="BA16" s="28">
        <f>IF(AND(AW16&gt;0,$AV16&gt;0),AW16/$AV16,0)</f>
        <v>0</v>
      </c>
      <c r="BB16" s="28">
        <f t="shared" ref="BB16:BD16" si="0">IF(AND(AX16&gt;0,$AV16&gt;0),AX16/$AV16,0)</f>
        <v>0</v>
      </c>
      <c r="BC16" s="28">
        <f t="shared" si="0"/>
        <v>0</v>
      </c>
      <c r="BD16" s="28">
        <f t="shared" si="0"/>
        <v>0</v>
      </c>
      <c r="BE16" s="28">
        <f t="shared" ref="BE16" si="1">(IF(AND(AW16&gt;0,$AV16&gt;0),AW16/$AV16,0))*$E16</f>
        <v>0</v>
      </c>
      <c r="BF16" s="28">
        <f>(IF(AND(AX16&gt;0,$AV16&gt;0),AX16/$AV16,0))*$E16</f>
        <v>0</v>
      </c>
      <c r="BG16" s="28">
        <f>(IF(AND(AY16&gt;0,$AV16&gt;0),AY16/$AV16,0))*$E16</f>
        <v>0</v>
      </c>
      <c r="BH16" s="28">
        <f>(IF(AND(AZ16&gt;0,$AV16&gt;0),AZ16/$AV16,0))*$E16</f>
        <v>0</v>
      </c>
    </row>
    <row r="17" spans="2:60" ht="110.4" customHeight="1">
      <c r="B17" s="501"/>
      <c r="C17" s="501"/>
      <c r="D17" s="500" t="str">
        <f>+'01-FR-03 POA INSTITUCIONAL'!D84</f>
        <v>4.4.15 Elaborar el 95% de los contratos en cada una de las modalidades de selección en los tiempos óptimos</v>
      </c>
      <c r="E17" s="460">
        <v>0.1</v>
      </c>
      <c r="F17" s="21">
        <f>+'01-FR-03 POA INSTITUCIONAL'!F84</f>
        <v>0.95</v>
      </c>
      <c r="G17" s="21">
        <f>+'01-FR-03 POA INSTITUCIONAL'!L84</f>
        <v>0.8</v>
      </c>
      <c r="H17" s="21" t="str">
        <f>+'01-FR-03 POA INSTITUCIONAL'!G84</f>
        <v>S.I.</v>
      </c>
      <c r="I17" s="21" t="str">
        <f>+'01-FR-03 POA INSTITUCIONAL'!H84</f>
        <v xml:space="preserve">Porcentaje de contratos en la modalidad de contratación directa elaborados en los tiempos óptimos </v>
      </c>
      <c r="J17" s="325" t="s">
        <v>685</v>
      </c>
      <c r="K17" s="326" t="s">
        <v>688</v>
      </c>
      <c r="L17" s="327" t="s">
        <v>689</v>
      </c>
      <c r="M17" s="328" t="s">
        <v>444</v>
      </c>
      <c r="N17" s="328" t="s">
        <v>690</v>
      </c>
      <c r="O17" s="329" t="s">
        <v>691</v>
      </c>
      <c r="P17" s="288">
        <v>0.8</v>
      </c>
      <c r="Q17" s="287"/>
      <c r="R17" s="288">
        <v>0</v>
      </c>
      <c r="S17" s="287"/>
      <c r="T17" s="288">
        <v>0</v>
      </c>
      <c r="U17" s="287"/>
      <c r="V17" s="363">
        <f>IFERROR(ROUNDDOWN(AVERAGE($P17),3),0)</f>
        <v>0.8</v>
      </c>
      <c r="W17" s="363">
        <f>IFERROR(ROUNDDOWN(AVERAGE($Q17,$S17,$U17),3),0)</f>
        <v>0</v>
      </c>
      <c r="X17" s="288">
        <v>0</v>
      </c>
      <c r="Y17" s="287"/>
      <c r="Z17" s="288">
        <v>0</v>
      </c>
      <c r="AA17" s="287"/>
      <c r="AB17" s="288">
        <v>0</v>
      </c>
      <c r="AC17" s="287"/>
      <c r="AD17" s="363">
        <f>IFERROR(ROUNDDOWN(AVERAGE($X17,$Z17,$AB17),3),0)</f>
        <v>0</v>
      </c>
      <c r="AE17" s="363">
        <f>IFERROR(ROUNDDOWN(AVERAGE($Y17,$AA17,$AC17),3),0)</f>
        <v>0</v>
      </c>
      <c r="AF17" s="288">
        <v>0.8</v>
      </c>
      <c r="AG17" s="287"/>
      <c r="AH17" s="288">
        <v>0.8</v>
      </c>
      <c r="AI17" s="287"/>
      <c r="AJ17" s="288">
        <v>0.8</v>
      </c>
      <c r="AK17" s="287"/>
      <c r="AL17" s="363">
        <f>IFERROR(ROUNDDOWN(AVERAGE($AF17,$AH17,$AJ17),3),0)</f>
        <v>0.8</v>
      </c>
      <c r="AM17" s="363">
        <f t="shared" ref="AM17:AM19" si="2">IFERROR(ROUNDDOWN(AVERAGE($AG17,$AI17,$AK17),3),0)</f>
        <v>0</v>
      </c>
      <c r="AN17" s="288">
        <v>0.8</v>
      </c>
      <c r="AO17" s="287"/>
      <c r="AP17" s="288">
        <v>0.8</v>
      </c>
      <c r="AQ17" s="287"/>
      <c r="AR17" s="288">
        <v>0.8</v>
      </c>
      <c r="AS17" s="287"/>
      <c r="AT17" s="75">
        <f>IFERROR(AVERAGE(AN17,AP17,AR17),0)</f>
        <v>0.80000000000000016</v>
      </c>
      <c r="AU17" s="75">
        <f>IFERROR(ROUNDDOWN(AVERAGE(AO17,AQ17,AS17),3),0)</f>
        <v>0</v>
      </c>
      <c r="AV17" s="75">
        <f>IFERROR(AVERAGE(P17,AF17,AH17,AJ17,AN17,AP17,AR17),0)</f>
        <v>0.79999999999999993</v>
      </c>
      <c r="AW17" s="324">
        <f t="shared" ref="AW17:AW19" si="3">+W17</f>
        <v>0</v>
      </c>
      <c r="AX17" s="324">
        <f t="shared" ref="AX17:AX19" si="4">+W17+AE17</f>
        <v>0</v>
      </c>
      <c r="AY17" s="324">
        <f t="shared" ref="AY17:AY19" si="5">+W17+AE17+AM17</f>
        <v>0</v>
      </c>
      <c r="AZ17" s="324">
        <f t="shared" ref="AZ17:AZ19" si="6">+W17+AE17+AM17+AU17</f>
        <v>0</v>
      </c>
      <c r="BA17" s="28">
        <f t="shared" ref="BA17:BA19" si="7">IF(AND(AW17&gt;0,$AV17&gt;0),AW17/$AV17,0)</f>
        <v>0</v>
      </c>
      <c r="BB17" s="28">
        <f t="shared" ref="BB17:BB19" si="8">IF(AND(AX17&gt;0,$AV17&gt;0),AX17/$AV17,0)</f>
        <v>0</v>
      </c>
      <c r="BC17" s="28">
        <f t="shared" ref="BC17:BC19" si="9">IF(AND(AY17&gt;0,$AV17&gt;0),AY17/$AV17,0)</f>
        <v>0</v>
      </c>
      <c r="BD17" s="28">
        <f t="shared" ref="BD17:BD19" si="10">IF(AND(AZ17&gt;0,$AV17&gt;0),AZ17/$AV17,0)</f>
        <v>0</v>
      </c>
      <c r="BE17" s="28">
        <f t="shared" ref="BE17:BE19" si="11">(IF(AND(AW17&gt;0,$AV17&gt;0),AW17/$AV17,0))*$E17</f>
        <v>0</v>
      </c>
      <c r="BF17" s="28">
        <f t="shared" ref="BF17:BF19" si="12">(IF(AND(AX17&gt;0,$AV17&gt;0),AX17/$AV17,0))*$E17</f>
        <v>0</v>
      </c>
      <c r="BG17" s="28">
        <f t="shared" ref="BG17:BG19" si="13">(IF(AND(AY17&gt;0,$AV17&gt;0),AY17/$AV17,0))*$E17</f>
        <v>0</v>
      </c>
      <c r="BH17" s="28">
        <f t="shared" ref="BH17:BH19" si="14">(IF(AND(AZ17&gt;0,$AV17&gt;0),AZ17/$AV17,0))*$E17</f>
        <v>0</v>
      </c>
    </row>
    <row r="18" spans="2:60" ht="148.94999999999999" customHeight="1">
      <c r="B18" s="501"/>
      <c r="C18" s="501"/>
      <c r="D18" s="501"/>
      <c r="E18" s="494"/>
      <c r="F18" s="21">
        <f>+'01-FR-03 POA INSTITUCIONAL'!F85</f>
        <v>0.95</v>
      </c>
      <c r="G18" s="21">
        <f>+'01-FR-03 POA INSTITUCIONAL'!L85</f>
        <v>0.8</v>
      </c>
      <c r="H18" s="21" t="str">
        <f>+'01-FR-03 POA INSTITUCIONAL'!G85</f>
        <v>S.I.</v>
      </c>
      <c r="I18" s="21" t="str">
        <f>+'01-FR-03 POA INSTITUCIONAL'!H85</f>
        <v xml:space="preserve">Porcentaje de contratos en la modalidad de selección abreviada de menor cuantía elaborados en los tiempos óptimos </v>
      </c>
      <c r="J18" s="325" t="s">
        <v>686</v>
      </c>
      <c r="K18" s="326" t="s">
        <v>688</v>
      </c>
      <c r="L18" s="327" t="s">
        <v>689</v>
      </c>
      <c r="M18" s="328" t="s">
        <v>444</v>
      </c>
      <c r="N18" s="328" t="s">
        <v>690</v>
      </c>
      <c r="O18" s="329" t="s">
        <v>691</v>
      </c>
      <c r="P18" s="287">
        <v>0</v>
      </c>
      <c r="Q18" s="287"/>
      <c r="R18" s="287">
        <v>0</v>
      </c>
      <c r="S18" s="287"/>
      <c r="T18" s="287">
        <v>0</v>
      </c>
      <c r="U18" s="287"/>
      <c r="V18" s="363">
        <f t="shared" ref="V18" si="15">IFERROR(ROUNDDOWN(AVERAGE($P18,$R18,$T18),3),0)</f>
        <v>0</v>
      </c>
      <c r="W18" s="363">
        <f t="shared" ref="W18:W19" si="16">IFERROR(ROUNDDOWN(AVERAGE($Q18,$S18,$U18),3),0)</f>
        <v>0</v>
      </c>
      <c r="X18" s="287">
        <v>0</v>
      </c>
      <c r="Y18" s="287"/>
      <c r="Z18" s="287">
        <v>0.8</v>
      </c>
      <c r="AA18" s="287"/>
      <c r="AB18" s="287">
        <v>0.8</v>
      </c>
      <c r="AC18" s="287"/>
      <c r="AD18" s="363">
        <f>IFERROR(ROUNDDOWN(AVERAGE($Z18,$AB18),3),0)</f>
        <v>0.8</v>
      </c>
      <c r="AE18" s="363">
        <f t="shared" ref="AE18:AE19" si="17">IFERROR(ROUNDDOWN(AVERAGE($Y18,$AA18,$AC18),3),0)</f>
        <v>0</v>
      </c>
      <c r="AF18" s="287">
        <v>0.8</v>
      </c>
      <c r="AG18" s="287"/>
      <c r="AH18" s="287">
        <v>0.8</v>
      </c>
      <c r="AI18" s="287"/>
      <c r="AJ18" s="287">
        <v>0.8</v>
      </c>
      <c r="AK18" s="288"/>
      <c r="AL18" s="363">
        <f t="shared" ref="AL18:AL19" si="18">IFERROR(ROUNDDOWN(AVERAGE($AF18,$AH18,$AJ18),3),0)</f>
        <v>0.8</v>
      </c>
      <c r="AM18" s="363">
        <f t="shared" si="2"/>
        <v>0</v>
      </c>
      <c r="AN18" s="287">
        <v>0.8</v>
      </c>
      <c r="AO18" s="287"/>
      <c r="AP18" s="287">
        <v>0.8</v>
      </c>
      <c r="AQ18" s="287"/>
      <c r="AR18" s="287">
        <v>0</v>
      </c>
      <c r="AS18" s="287"/>
      <c r="AT18" s="75">
        <f>IFERROR(AVERAGE(AN18,AP18),0)</f>
        <v>0.8</v>
      </c>
      <c r="AU18" s="75">
        <f t="shared" ref="AU18:AU19" si="19">IFERROR(ROUNDDOWN(AVERAGE(AO18,AQ18,AS18),3),0)</f>
        <v>0</v>
      </c>
      <c r="AV18" s="75">
        <f>IFERROR(AVERAGE(Z18,AB18,AF18,AH18,AJ18,AN18,AP18),0)</f>
        <v>0.79999999999999993</v>
      </c>
      <c r="AW18" s="324">
        <f t="shared" si="3"/>
        <v>0</v>
      </c>
      <c r="AX18" s="324">
        <f t="shared" si="4"/>
        <v>0</v>
      </c>
      <c r="AY18" s="324">
        <f t="shared" si="5"/>
        <v>0</v>
      </c>
      <c r="AZ18" s="324">
        <f t="shared" si="6"/>
        <v>0</v>
      </c>
      <c r="BA18" s="28">
        <f t="shared" si="7"/>
        <v>0</v>
      </c>
      <c r="BB18" s="28">
        <f t="shared" si="8"/>
        <v>0</v>
      </c>
      <c r="BC18" s="28">
        <f t="shared" si="9"/>
        <v>0</v>
      </c>
      <c r="BD18" s="28">
        <f t="shared" si="10"/>
        <v>0</v>
      </c>
      <c r="BE18" s="28">
        <f t="shared" si="11"/>
        <v>0</v>
      </c>
      <c r="BF18" s="28">
        <f t="shared" si="12"/>
        <v>0</v>
      </c>
      <c r="BG18" s="28">
        <f t="shared" si="13"/>
        <v>0</v>
      </c>
      <c r="BH18" s="28">
        <f t="shared" si="14"/>
        <v>0</v>
      </c>
    </row>
    <row r="19" spans="2:60" ht="158.4" customHeight="1">
      <c r="B19" s="567"/>
      <c r="C19" s="567"/>
      <c r="D19" s="567"/>
      <c r="E19" s="461"/>
      <c r="F19" s="21">
        <f>+'01-FR-03 POA INSTITUCIONAL'!F86</f>
        <v>0.95</v>
      </c>
      <c r="G19" s="21">
        <f>+'01-FR-03 POA INSTITUCIONAL'!L86</f>
        <v>0.8</v>
      </c>
      <c r="H19" s="21" t="str">
        <f>+'01-FR-03 POA INSTITUCIONAL'!G86</f>
        <v>S.I.</v>
      </c>
      <c r="I19" s="21" t="str">
        <f>+'01-FR-03 POA INSTITUCIONAL'!H86</f>
        <v xml:space="preserve">Porcentaje de contratos en la modalidad de selección abreviada de subasta inversa, licitación pública y concurso de méritos elaborados en los tiempos óptimos </v>
      </c>
      <c r="J19" s="325" t="s">
        <v>687</v>
      </c>
      <c r="K19" s="326" t="s">
        <v>688</v>
      </c>
      <c r="L19" s="327" t="s">
        <v>689</v>
      </c>
      <c r="M19" s="328" t="s">
        <v>444</v>
      </c>
      <c r="N19" s="328" t="s">
        <v>690</v>
      </c>
      <c r="O19" s="329" t="s">
        <v>691</v>
      </c>
      <c r="P19" s="287">
        <v>0</v>
      </c>
      <c r="Q19" s="287"/>
      <c r="R19" s="287">
        <v>0.8</v>
      </c>
      <c r="S19" s="287"/>
      <c r="T19" s="287">
        <v>0</v>
      </c>
      <c r="U19" s="287"/>
      <c r="V19" s="363">
        <f>IFERROR(ROUNDDOWN(AVERAGE($R19),3),0)</f>
        <v>0.8</v>
      </c>
      <c r="W19" s="363">
        <f t="shared" si="16"/>
        <v>0</v>
      </c>
      <c r="X19" s="287">
        <v>0.8</v>
      </c>
      <c r="Y19" s="287"/>
      <c r="Z19" s="287">
        <v>0.8</v>
      </c>
      <c r="AA19" s="287"/>
      <c r="AB19" s="287">
        <v>0.8</v>
      </c>
      <c r="AC19" s="287"/>
      <c r="AD19" s="363">
        <f t="shared" ref="AD19" si="20">IFERROR(ROUNDDOWN(AVERAGE($X19,$Z19,$AB19),3),0)</f>
        <v>0.8</v>
      </c>
      <c r="AE19" s="363">
        <f t="shared" si="17"/>
        <v>0</v>
      </c>
      <c r="AF19" s="287">
        <v>0.8</v>
      </c>
      <c r="AG19" s="287"/>
      <c r="AH19" s="287">
        <v>0.8</v>
      </c>
      <c r="AI19" s="287"/>
      <c r="AJ19" s="287">
        <v>0.8</v>
      </c>
      <c r="AK19" s="288"/>
      <c r="AL19" s="363">
        <f t="shared" si="18"/>
        <v>0.8</v>
      </c>
      <c r="AM19" s="363">
        <f t="shared" si="2"/>
        <v>0</v>
      </c>
      <c r="AN19" s="287">
        <v>0.8</v>
      </c>
      <c r="AO19" s="287"/>
      <c r="AP19" s="287">
        <v>0.8</v>
      </c>
      <c r="AQ19" s="287"/>
      <c r="AR19" s="287">
        <v>0.8</v>
      </c>
      <c r="AS19" s="287"/>
      <c r="AT19" s="75">
        <f t="shared" ref="AT19" si="21">IFERROR(AVERAGE(AN19,AP19,AR19),0)</f>
        <v>0.80000000000000016</v>
      </c>
      <c r="AU19" s="75">
        <f t="shared" si="19"/>
        <v>0</v>
      </c>
      <c r="AV19" s="75">
        <f>IFERROR(AVERAGE(R19,X19,Z19,AB19,AF19,AH19,AJ19,AN19,AP19,AR19),0)</f>
        <v>0.79999999999999993</v>
      </c>
      <c r="AW19" s="324">
        <f t="shared" si="3"/>
        <v>0</v>
      </c>
      <c r="AX19" s="324">
        <f t="shared" si="4"/>
        <v>0</v>
      </c>
      <c r="AY19" s="324">
        <f t="shared" si="5"/>
        <v>0</v>
      </c>
      <c r="AZ19" s="324">
        <f t="shared" si="6"/>
        <v>0</v>
      </c>
      <c r="BA19" s="28">
        <f t="shared" si="7"/>
        <v>0</v>
      </c>
      <c r="BB19" s="28">
        <f t="shared" si="8"/>
        <v>0</v>
      </c>
      <c r="BC19" s="28">
        <f t="shared" si="9"/>
        <v>0</v>
      </c>
      <c r="BD19" s="28">
        <f t="shared" si="10"/>
        <v>0</v>
      </c>
      <c r="BE19" s="28">
        <f t="shared" si="11"/>
        <v>0</v>
      </c>
      <c r="BF19" s="28">
        <f t="shared" si="12"/>
        <v>0</v>
      </c>
      <c r="BG19" s="28">
        <f t="shared" si="13"/>
        <v>0</v>
      </c>
      <c r="BH19" s="28">
        <f t="shared" si="14"/>
        <v>0</v>
      </c>
    </row>
    <row r="20" spans="2:60" ht="22.8">
      <c r="B20" s="496"/>
      <c r="C20" s="497"/>
      <c r="D20" s="497"/>
      <c r="E20" s="497"/>
      <c r="F20" s="497"/>
      <c r="G20" s="497"/>
      <c r="H20" s="497"/>
      <c r="I20" s="497"/>
      <c r="J20" s="497"/>
      <c r="K20" s="497"/>
      <c r="L20" s="497"/>
      <c r="M20" s="497"/>
      <c r="N20" s="497"/>
      <c r="O20" s="497"/>
      <c r="P20" s="497"/>
      <c r="Q20" s="497"/>
      <c r="R20" s="497"/>
      <c r="S20" s="497"/>
      <c r="T20" s="497"/>
      <c r="U20" s="497"/>
      <c r="V20" s="497"/>
      <c r="W20" s="497"/>
      <c r="X20" s="497"/>
      <c r="Y20" s="497"/>
      <c r="Z20" s="497"/>
      <c r="AA20" s="497"/>
      <c r="AB20" s="497"/>
      <c r="AC20" s="497"/>
      <c r="AD20" s="497"/>
      <c r="AE20" s="497"/>
      <c r="AF20" s="497"/>
      <c r="AG20" s="497"/>
      <c r="AH20" s="497"/>
      <c r="AI20" s="497"/>
      <c r="AJ20" s="497"/>
      <c r="AK20" s="497"/>
      <c r="AL20" s="497"/>
      <c r="AM20" s="497"/>
      <c r="AN20" s="497"/>
      <c r="AO20" s="497"/>
      <c r="AP20" s="497"/>
      <c r="AQ20" s="497"/>
      <c r="AR20" s="497"/>
      <c r="AS20" s="497"/>
      <c r="AT20" s="497"/>
      <c r="AU20" s="497"/>
      <c r="AV20" s="497"/>
      <c r="AW20" s="548"/>
      <c r="AX20" s="518" t="s">
        <v>19</v>
      </c>
      <c r="AY20" s="570"/>
      <c r="AZ20" s="570"/>
      <c r="BA20" s="56">
        <f t="shared" ref="BA20:BH20" si="22">AVERAGE(BA16:BA16)</f>
        <v>0</v>
      </c>
      <c r="BB20" s="56">
        <f t="shared" si="22"/>
        <v>0</v>
      </c>
      <c r="BC20" s="56">
        <f t="shared" si="22"/>
        <v>0</v>
      </c>
      <c r="BD20" s="56">
        <f t="shared" si="22"/>
        <v>0</v>
      </c>
      <c r="BE20" s="56">
        <f t="shared" si="22"/>
        <v>0</v>
      </c>
      <c r="BF20" s="56">
        <f t="shared" si="22"/>
        <v>0</v>
      </c>
      <c r="BG20" s="56">
        <f t="shared" si="22"/>
        <v>0</v>
      </c>
      <c r="BH20" s="56">
        <f t="shared" si="22"/>
        <v>0</v>
      </c>
    </row>
    <row r="21" spans="2:60">
      <c r="B21" s="453"/>
      <c r="C21" s="453"/>
      <c r="D21" s="453"/>
      <c r="E21" s="453"/>
      <c r="F21" s="453"/>
      <c r="G21" s="453"/>
      <c r="H21" s="223"/>
      <c r="I21" s="224"/>
      <c r="J21" s="224"/>
      <c r="K21" s="224"/>
      <c r="L21" s="224"/>
      <c r="M21" s="224"/>
      <c r="N21" s="224"/>
      <c r="O21" s="224"/>
    </row>
    <row r="22" spans="2:60">
      <c r="B22" s="224"/>
      <c r="C22" s="224"/>
      <c r="D22" s="549"/>
      <c r="E22" s="549"/>
      <c r="F22" s="549"/>
      <c r="G22" s="549"/>
      <c r="H22" s="549"/>
      <c r="I22" s="549"/>
      <c r="J22" s="549"/>
      <c r="K22" s="549"/>
      <c r="L22" s="549"/>
      <c r="M22" s="549"/>
      <c r="N22" s="549"/>
      <c r="O22" s="549"/>
    </row>
    <row r="23" spans="2:60" ht="15.6" customHeight="1">
      <c r="B23" s="63" t="s">
        <v>26</v>
      </c>
      <c r="C23" s="225">
        <v>44224</v>
      </c>
      <c r="D23" s="226"/>
      <c r="E23" s="558" t="s">
        <v>50</v>
      </c>
      <c r="F23" s="550" t="s">
        <v>707</v>
      </c>
      <c r="G23" s="551"/>
      <c r="H23" s="551"/>
      <c r="I23" s="551"/>
      <c r="J23" s="552"/>
      <c r="K23" s="227"/>
      <c r="L23" s="559"/>
      <c r="M23" s="559"/>
      <c r="N23" s="559"/>
      <c r="O23" s="560"/>
    </row>
    <row r="24" spans="2:60" ht="15.6">
      <c r="B24" s="224"/>
      <c r="C24" s="224"/>
      <c r="D24" s="227"/>
      <c r="E24" s="558"/>
      <c r="F24" s="553"/>
      <c r="G24" s="554"/>
      <c r="H24" s="554"/>
      <c r="I24" s="554"/>
      <c r="J24" s="555"/>
      <c r="K24" s="224"/>
      <c r="L24" s="224"/>
      <c r="M24" s="224"/>
      <c r="N24" s="224"/>
      <c r="O24" s="224"/>
    </row>
    <row r="25" spans="2:60" ht="15.6">
      <c r="B25" s="63" t="s">
        <v>49</v>
      </c>
      <c r="C25" s="225">
        <v>44369</v>
      </c>
      <c r="D25" s="224"/>
      <c r="E25" s="224"/>
      <c r="F25" s="224"/>
      <c r="I25" s="292"/>
      <c r="J25" s="292"/>
      <c r="K25" s="293"/>
      <c r="L25" s="293"/>
      <c r="M25" s="224"/>
      <c r="N25" s="224"/>
      <c r="O25" s="224"/>
    </row>
    <row r="26" spans="2:60">
      <c r="B26" s="224"/>
      <c r="C26" s="224"/>
      <c r="D26" s="224"/>
      <c r="E26" s="224"/>
      <c r="F26" s="224"/>
      <c r="I26" s="292"/>
      <c r="J26" s="292"/>
      <c r="K26" s="293"/>
      <c r="L26" s="293"/>
      <c r="M26" s="224"/>
      <c r="N26" s="224"/>
      <c r="O26" s="224"/>
    </row>
    <row r="27" spans="2:60" ht="15.6">
      <c r="B27" s="63" t="s">
        <v>49</v>
      </c>
      <c r="C27" s="65">
        <v>44581</v>
      </c>
      <c r="D27" s="224"/>
      <c r="E27" s="224"/>
      <c r="F27" s="224"/>
      <c r="I27" s="292"/>
      <c r="J27" s="292"/>
      <c r="K27" s="293"/>
      <c r="L27" s="293"/>
      <c r="M27" s="224"/>
      <c r="N27" s="224"/>
      <c r="O27" s="224"/>
    </row>
    <row r="28" spans="2:60">
      <c r="B28" s="224"/>
      <c r="C28" s="224"/>
      <c r="D28" s="224"/>
      <c r="E28" s="224"/>
      <c r="F28" s="224"/>
      <c r="I28" s="292"/>
      <c r="J28" s="292"/>
      <c r="K28" s="293"/>
      <c r="L28" s="293"/>
      <c r="M28" s="224"/>
      <c r="N28" s="224"/>
      <c r="O28" s="224"/>
    </row>
    <row r="29" spans="2:60">
      <c r="B29" s="189" t="s">
        <v>673</v>
      </c>
      <c r="C29" s="224"/>
      <c r="D29" s="224"/>
      <c r="E29" s="224"/>
      <c r="F29" s="224"/>
      <c r="G29" s="223"/>
      <c r="H29" s="223"/>
      <c r="I29" s="648"/>
      <c r="J29" s="648"/>
      <c r="K29" s="648"/>
      <c r="L29" s="648"/>
      <c r="M29" s="228"/>
      <c r="N29" s="228"/>
      <c r="O29" s="228"/>
    </row>
    <row r="30" spans="2:60">
      <c r="B30" s="224"/>
      <c r="C30" s="224"/>
      <c r="D30" s="224"/>
      <c r="E30" s="224"/>
      <c r="F30" s="224"/>
      <c r="G30" s="223"/>
      <c r="H30" s="223"/>
      <c r="I30" s="293"/>
      <c r="J30" s="293"/>
      <c r="K30" s="294"/>
      <c r="L30" s="293"/>
      <c r="M30" s="224"/>
      <c r="N30" s="224"/>
      <c r="O30" s="224"/>
    </row>
    <row r="31" spans="2:60">
      <c r="B31" s="224"/>
      <c r="C31" s="224"/>
      <c r="D31" s="224"/>
      <c r="E31" s="224"/>
      <c r="F31" s="224"/>
      <c r="G31" s="223"/>
      <c r="H31" s="223"/>
      <c r="I31" s="648"/>
      <c r="J31" s="648"/>
      <c r="K31" s="648"/>
      <c r="L31" s="648"/>
      <c r="M31" s="228"/>
      <c r="N31" s="228"/>
      <c r="O31" s="228"/>
    </row>
    <row r="32" spans="2:60">
      <c r="B32" s="224"/>
      <c r="C32" s="224"/>
      <c r="D32" s="224"/>
      <c r="E32" s="224"/>
      <c r="F32" s="224"/>
      <c r="G32" s="223"/>
      <c r="H32" s="223"/>
      <c r="I32" s="293"/>
      <c r="J32" s="293"/>
      <c r="K32" s="294"/>
      <c r="L32" s="293"/>
      <c r="M32" s="224"/>
      <c r="N32" s="224"/>
      <c r="O32" s="224"/>
    </row>
    <row r="33" spans="2:15">
      <c r="B33" s="224"/>
      <c r="C33" s="224"/>
      <c r="D33" s="224"/>
      <c r="E33" s="224"/>
      <c r="F33" s="224"/>
      <c r="G33" s="223"/>
      <c r="H33" s="223"/>
      <c r="I33" s="648"/>
      <c r="J33" s="648"/>
      <c r="K33" s="648"/>
      <c r="L33" s="648"/>
      <c r="M33" s="228"/>
      <c r="N33" s="228"/>
      <c r="O33" s="228"/>
    </row>
    <row r="34" spans="2:15">
      <c r="I34" s="292"/>
      <c r="J34" s="292"/>
      <c r="K34" s="292"/>
      <c r="L34" s="292"/>
    </row>
    <row r="35" spans="2:15">
      <c r="I35" s="292"/>
      <c r="J35" s="292"/>
      <c r="K35" s="292"/>
      <c r="L35" s="292"/>
    </row>
    <row r="36" spans="2:15">
      <c r="I36" s="292"/>
      <c r="J36" s="292"/>
      <c r="K36" s="292"/>
      <c r="L36" s="292"/>
    </row>
    <row r="37" spans="2:15">
      <c r="I37" s="292"/>
      <c r="J37" s="292"/>
      <c r="K37" s="292"/>
      <c r="L37" s="292"/>
    </row>
  </sheetData>
  <sheetProtection algorithmName="SHA-512" hashValue="8e89tHqXDIXI886aMuC+7EfCm/PQBHnpnziAr5Yd4cqBSuIKSa5fVuT6n4kikMNpmKiIxBtqFWaN/oK74kUCoA==" saltValue="TslX/s4w2eR7dJUC+Sm9mg==" spinCount="100000" sheet="1" objects="1" scenarios="1"/>
  <mergeCells count="72">
    <mergeCell ref="F12:F15"/>
    <mergeCell ref="F23:J24"/>
    <mergeCell ref="D17:D19"/>
    <mergeCell ref="C9:D9"/>
    <mergeCell ref="B2:B6"/>
    <mergeCell ref="C2:BF6"/>
    <mergeCell ref="AX13:AX15"/>
    <mergeCell ref="AY13:AY15"/>
    <mergeCell ref="AZ13:AZ15"/>
    <mergeCell ref="BE13:BE15"/>
    <mergeCell ref="BF13:BF15"/>
    <mergeCell ref="AX20:AZ20"/>
    <mergeCell ref="D22:O22"/>
    <mergeCell ref="B21:G21"/>
    <mergeCell ref="AH14:AI14"/>
    <mergeCell ref="AJ14:AK14"/>
    <mergeCell ref="BG6:BH6"/>
    <mergeCell ref="AW7:BA7"/>
    <mergeCell ref="C8:D8"/>
    <mergeCell ref="C10:D10"/>
    <mergeCell ref="B12:B15"/>
    <mergeCell ref="C12:C15"/>
    <mergeCell ref="D12:D15"/>
    <mergeCell ref="E12:E15"/>
    <mergeCell ref="BE12:BH12"/>
    <mergeCell ref="P13:W13"/>
    <mergeCell ref="X13:AE13"/>
    <mergeCell ref="AF13:AM13"/>
    <mergeCell ref="BB13:BB15"/>
    <mergeCell ref="BC13:BC15"/>
    <mergeCell ref="AN13:AU13"/>
    <mergeCell ref="AW13:AW15"/>
    <mergeCell ref="BG13:BG15"/>
    <mergeCell ref="BH13:BH15"/>
    <mergeCell ref="P14:Q14"/>
    <mergeCell ref="R14:S14"/>
    <mergeCell ref="T14:U14"/>
    <mergeCell ref="V14:W14"/>
    <mergeCell ref="X14:Y14"/>
    <mergeCell ref="Z14:AA14"/>
    <mergeCell ref="BD13:BD15"/>
    <mergeCell ref="AB14:AC14"/>
    <mergeCell ref="BA13:BA15"/>
    <mergeCell ref="AV12:AV15"/>
    <mergeCell ref="AW12:AZ12"/>
    <mergeCell ref="BA12:BD12"/>
    <mergeCell ref="AD14:AE14"/>
    <mergeCell ref="AF14:AG14"/>
    <mergeCell ref="AN14:AO14"/>
    <mergeCell ref="N12:N15"/>
    <mergeCell ref="O12:O15"/>
    <mergeCell ref="H12:H15"/>
    <mergeCell ref="I12:I15"/>
    <mergeCell ref="J12:J15"/>
    <mergeCell ref="K12:K15"/>
    <mergeCell ref="L12:L15"/>
    <mergeCell ref="I33:L33"/>
    <mergeCell ref="AP14:AQ14"/>
    <mergeCell ref="AR14:AS14"/>
    <mergeCell ref="AT14:AU14"/>
    <mergeCell ref="B20:AW20"/>
    <mergeCell ref="M12:M15"/>
    <mergeCell ref="G12:G15"/>
    <mergeCell ref="E23:E24"/>
    <mergeCell ref="L23:O23"/>
    <mergeCell ref="I29:L29"/>
    <mergeCell ref="I31:L31"/>
    <mergeCell ref="B16:B19"/>
    <mergeCell ref="C16:C19"/>
    <mergeCell ref="E17:E19"/>
    <mergeCell ref="P12:AU12"/>
    <mergeCell ref="AL14:AM14"/>
  </mergeCells>
  <conditionalFormatting sqref="BA16:BD16">
    <cfRule type="cellIs" dxfId="47" priority="19" operator="between">
      <formula>0.7</formula>
      <formula>1</formula>
    </cfRule>
    <cfRule type="cellIs" dxfId="46" priority="20" operator="between">
      <formula>0.51</formula>
      <formula>0.69</formula>
    </cfRule>
    <cfRule type="cellIs" dxfId="45" priority="21" operator="between">
      <formula>0</formula>
      <formula>0.5</formula>
    </cfRule>
  </conditionalFormatting>
  <conditionalFormatting sqref="BE16:BH16">
    <cfRule type="cellIs" dxfId="44" priority="13" operator="between">
      <formula>0.7</formula>
      <formula>1</formula>
    </cfRule>
    <cfRule type="cellIs" dxfId="43" priority="14" operator="between">
      <formula>0.51</formula>
      <formula>0.69</formula>
    </cfRule>
    <cfRule type="cellIs" dxfId="42" priority="15" operator="between">
      <formula>0</formula>
      <formula>0.5</formula>
    </cfRule>
  </conditionalFormatting>
  <conditionalFormatting sqref="BA17:BD19">
    <cfRule type="cellIs" dxfId="41" priority="4" operator="between">
      <formula>0.7</formula>
      <formula>1</formula>
    </cfRule>
    <cfRule type="cellIs" dxfId="40" priority="5" operator="between">
      <formula>0.51</formula>
      <formula>0.69</formula>
    </cfRule>
    <cfRule type="cellIs" dxfId="39" priority="6" operator="between">
      <formula>0</formula>
      <formula>0.5</formula>
    </cfRule>
  </conditionalFormatting>
  <conditionalFormatting sqref="BE17:BH19">
    <cfRule type="cellIs" dxfId="38" priority="1" operator="between">
      <formula>0.7</formula>
      <formula>1</formula>
    </cfRule>
    <cfRule type="cellIs" dxfId="37" priority="2" operator="between">
      <formula>0.51</formula>
      <formula>0.69</formula>
    </cfRule>
    <cfRule type="cellIs" dxfId="36"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F4EFBFA9-FF84-465C-BF9E-FB3F0B387593}"/>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9D5BF-7203-47B8-9BFF-8372040D7B7C}">
  <sheetPr>
    <tabColor rgb="FF92D050"/>
  </sheetPr>
  <dimension ref="B1:BH31"/>
  <sheetViews>
    <sheetView showGridLines="0" zoomScale="70" zoomScaleNormal="70" workbookViewId="0">
      <selection activeCell="C25" sqref="C25"/>
    </sheetView>
  </sheetViews>
  <sheetFormatPr baseColWidth="10" defaultColWidth="17.33203125" defaultRowHeight="15" customHeight="1"/>
  <cols>
    <col min="1" max="1" width="4.33203125" style="124" customWidth="1"/>
    <col min="2" max="2" width="50.44140625" style="122" customWidth="1"/>
    <col min="3" max="3" width="33.33203125" style="122" customWidth="1"/>
    <col min="4" max="4" width="49.6640625" style="122" customWidth="1"/>
    <col min="5" max="6" width="28.33203125" style="122" customWidth="1"/>
    <col min="7" max="7" width="23.33203125" style="123" customWidth="1"/>
    <col min="8" max="8" width="29.33203125" style="123" customWidth="1"/>
    <col min="9" max="9" width="27.44140625" style="122" customWidth="1"/>
    <col min="10" max="10" width="31.88671875" style="122" customWidth="1"/>
    <col min="11" max="11" width="55.88671875" style="122" customWidth="1"/>
    <col min="12" max="12" width="48.44140625" style="122" customWidth="1"/>
    <col min="13" max="14" width="28.5546875" style="122" customWidth="1"/>
    <col min="15" max="15" width="50" style="122" customWidth="1"/>
    <col min="16" max="47" width="15.88671875" style="124" customWidth="1"/>
    <col min="48" max="48" width="24.5546875" style="124" customWidth="1"/>
    <col min="49" max="49" width="22.88671875" style="124" customWidth="1"/>
    <col min="50" max="50" width="19.33203125" style="124" customWidth="1"/>
    <col min="51" max="51" width="18.44140625" style="124" customWidth="1"/>
    <col min="52" max="52" width="19.44140625" style="124" customWidth="1"/>
    <col min="53" max="53" width="23.33203125" style="124" customWidth="1"/>
    <col min="54" max="55" width="25.109375" style="124" customWidth="1"/>
    <col min="56" max="56" width="26.6640625" style="124" customWidth="1"/>
    <col min="57" max="57" width="26.33203125" style="124" customWidth="1"/>
    <col min="58" max="58" width="26.5546875" style="124" customWidth="1"/>
    <col min="59" max="59" width="26.33203125" style="124" customWidth="1"/>
    <col min="60" max="60" width="27.33203125" style="124" customWidth="1"/>
    <col min="61" max="16384" width="17.33203125" style="124"/>
  </cols>
  <sheetData>
    <row r="1" spans="2:60" ht="15.6" thickBot="1"/>
    <row r="2" spans="2:60" ht="15.6" customHeight="1">
      <c r="B2" s="489" t="s">
        <v>671</v>
      </c>
      <c r="C2" s="534" t="s">
        <v>117</v>
      </c>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35"/>
      <c r="AL2" s="535"/>
      <c r="AM2" s="535"/>
      <c r="AN2" s="535"/>
      <c r="AO2" s="535"/>
      <c r="AP2" s="535"/>
      <c r="AQ2" s="535"/>
      <c r="AR2" s="535"/>
      <c r="AS2" s="535"/>
      <c r="AT2" s="535"/>
      <c r="AU2" s="535"/>
      <c r="AV2" s="535"/>
      <c r="AW2" s="535"/>
      <c r="AX2" s="535"/>
      <c r="AY2" s="535"/>
      <c r="AZ2" s="535"/>
      <c r="BA2" s="535"/>
      <c r="BB2" s="535"/>
      <c r="BC2" s="535"/>
      <c r="BD2" s="535"/>
      <c r="BE2" s="535"/>
      <c r="BF2" s="536"/>
      <c r="BG2" s="190" t="s">
        <v>31</v>
      </c>
      <c r="BH2" s="191"/>
    </row>
    <row r="3" spans="2:60" ht="15.6" customHeight="1">
      <c r="B3" s="490"/>
      <c r="C3" s="537"/>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8"/>
      <c r="AZ3" s="538"/>
      <c r="BA3" s="538"/>
      <c r="BB3" s="538"/>
      <c r="BC3" s="538"/>
      <c r="BD3" s="538"/>
      <c r="BE3" s="538"/>
      <c r="BF3" s="539"/>
      <c r="BG3" s="192" t="s">
        <v>28</v>
      </c>
      <c r="BH3" s="17" t="s">
        <v>29</v>
      </c>
    </row>
    <row r="4" spans="2:60" ht="15" customHeight="1">
      <c r="B4" s="490"/>
      <c r="C4" s="537"/>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538"/>
      <c r="BF4" s="539"/>
      <c r="BG4" s="193">
        <v>5</v>
      </c>
      <c r="BH4" s="18" t="s">
        <v>649</v>
      </c>
    </row>
    <row r="5" spans="2:60" ht="15.6" customHeight="1">
      <c r="B5" s="490"/>
      <c r="C5" s="537"/>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538"/>
      <c r="BF5" s="539"/>
      <c r="BG5" s="194" t="s">
        <v>30</v>
      </c>
      <c r="BH5" s="195"/>
    </row>
    <row r="6" spans="2:60" ht="15.6" customHeight="1" thickBot="1">
      <c r="B6" s="491"/>
      <c r="C6" s="540"/>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1"/>
      <c r="AN6" s="541"/>
      <c r="AO6" s="541"/>
      <c r="AP6" s="541"/>
      <c r="AQ6" s="541"/>
      <c r="AR6" s="541"/>
      <c r="AS6" s="541"/>
      <c r="AT6" s="541"/>
      <c r="AU6" s="541"/>
      <c r="AV6" s="541"/>
      <c r="AW6" s="541"/>
      <c r="AX6" s="541"/>
      <c r="AY6" s="541"/>
      <c r="AZ6" s="541"/>
      <c r="BA6" s="541"/>
      <c r="BB6" s="541"/>
      <c r="BC6" s="541"/>
      <c r="BD6" s="541"/>
      <c r="BE6" s="541"/>
      <c r="BF6" s="542"/>
      <c r="BG6" s="556">
        <v>43941</v>
      </c>
      <c r="BH6" s="557"/>
    </row>
    <row r="7" spans="2:60">
      <c r="B7" s="125"/>
      <c r="C7" s="125"/>
      <c r="D7" s="125"/>
      <c r="E7" s="125"/>
      <c r="F7" s="125"/>
      <c r="G7" s="126"/>
      <c r="H7" s="126"/>
      <c r="I7" s="125"/>
      <c r="J7" s="125"/>
      <c r="K7" s="125"/>
      <c r="L7" s="125"/>
      <c r="M7" s="125"/>
      <c r="N7" s="125"/>
      <c r="O7" s="125"/>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528"/>
      <c r="AX7" s="559"/>
      <c r="AY7" s="559"/>
      <c r="AZ7" s="559"/>
      <c r="BA7" s="530"/>
      <c r="BB7" s="214"/>
      <c r="BC7" s="214"/>
      <c r="BD7" s="214"/>
      <c r="BE7" s="127"/>
      <c r="BF7" s="127"/>
    </row>
    <row r="8" spans="2:60" ht="21">
      <c r="B8" s="196" t="s">
        <v>45</v>
      </c>
      <c r="C8" s="576" t="s">
        <v>94</v>
      </c>
      <c r="D8" s="576"/>
      <c r="E8" s="197"/>
      <c r="F8" s="197"/>
      <c r="G8" s="197"/>
      <c r="H8" s="197"/>
      <c r="I8" s="197"/>
      <c r="J8" s="197"/>
      <c r="K8" s="197"/>
      <c r="L8" s="197"/>
      <c r="M8" s="197"/>
      <c r="N8" s="197"/>
      <c r="O8" s="197"/>
      <c r="AW8" s="214"/>
      <c r="AX8" s="214"/>
      <c r="AY8" s="214"/>
      <c r="AZ8" s="214"/>
      <c r="BA8" s="214"/>
      <c r="BB8" s="214"/>
      <c r="BC8" s="214"/>
      <c r="BD8" s="214"/>
    </row>
    <row r="9" spans="2:60" ht="83.25" customHeight="1">
      <c r="B9" s="196" t="s">
        <v>34</v>
      </c>
      <c r="C9" s="514" t="s">
        <v>499</v>
      </c>
      <c r="D9" s="515"/>
      <c r="E9" s="197"/>
      <c r="F9" s="197"/>
      <c r="G9" s="197"/>
      <c r="H9" s="197"/>
      <c r="I9" s="197"/>
      <c r="J9" s="197"/>
      <c r="K9" s="197"/>
      <c r="L9" s="197"/>
      <c r="M9" s="197"/>
      <c r="N9" s="197"/>
      <c r="O9" s="197"/>
      <c r="AW9" s="214"/>
      <c r="AX9" s="214"/>
      <c r="AY9" s="214"/>
      <c r="AZ9" s="214"/>
      <c r="BA9" s="214"/>
      <c r="BB9" s="214"/>
      <c r="BC9" s="214"/>
      <c r="BD9" s="214"/>
    </row>
    <row r="10" spans="2:60" ht="24.6">
      <c r="B10" s="196" t="s">
        <v>100</v>
      </c>
      <c r="C10" s="516">
        <v>2022</v>
      </c>
      <c r="D10" s="517"/>
      <c r="E10" s="197"/>
      <c r="F10" s="197"/>
      <c r="G10" s="197"/>
      <c r="H10" s="197"/>
      <c r="I10" s="197"/>
      <c r="J10" s="197"/>
      <c r="K10" s="197"/>
      <c r="L10" s="197"/>
      <c r="M10" s="197"/>
      <c r="N10" s="197"/>
      <c r="O10" s="197"/>
      <c r="AW10" s="214"/>
      <c r="AX10" s="214"/>
      <c r="AY10" s="214"/>
      <c r="AZ10" s="214"/>
      <c r="BA10" s="214"/>
      <c r="BB10" s="214"/>
      <c r="BC10" s="214"/>
      <c r="BD10" s="214"/>
    </row>
    <row r="11" spans="2:60">
      <c r="B11" s="125"/>
      <c r="C11" s="125"/>
      <c r="D11" s="125"/>
      <c r="E11" s="125"/>
      <c r="F11" s="125"/>
      <c r="G11" s="126"/>
      <c r="H11" s="126"/>
      <c r="I11" s="125"/>
      <c r="J11" s="125"/>
      <c r="K11" s="125"/>
      <c r="L11" s="125"/>
      <c r="M11" s="125"/>
      <c r="N11" s="125"/>
      <c r="O11" s="125"/>
      <c r="AW11" s="214"/>
      <c r="AX11" s="214"/>
      <c r="AY11" s="214"/>
      <c r="AZ11" s="214"/>
      <c r="BA11" s="214"/>
      <c r="BB11" s="214"/>
      <c r="BC11" s="214"/>
      <c r="BD11" s="214"/>
    </row>
    <row r="12" spans="2:60" ht="25.95" customHeight="1">
      <c r="B12" s="488" t="s">
        <v>0</v>
      </c>
      <c r="C12" s="488" t="s">
        <v>52</v>
      </c>
      <c r="D12" s="526" t="s">
        <v>674</v>
      </c>
      <c r="E12" s="488" t="s">
        <v>60</v>
      </c>
      <c r="F12" s="527" t="s">
        <v>743</v>
      </c>
      <c r="G12" s="488" t="s">
        <v>57</v>
      </c>
      <c r="H12" s="488" t="s">
        <v>25</v>
      </c>
      <c r="I12" s="488" t="s">
        <v>59</v>
      </c>
      <c r="J12" s="488" t="s">
        <v>39</v>
      </c>
      <c r="K12" s="488" t="s">
        <v>36</v>
      </c>
      <c r="L12" s="488" t="s">
        <v>20</v>
      </c>
      <c r="M12" s="488" t="s">
        <v>51</v>
      </c>
      <c r="N12" s="488" t="s">
        <v>40</v>
      </c>
      <c r="O12" s="488" t="s">
        <v>42</v>
      </c>
      <c r="P12" s="533" t="s">
        <v>111</v>
      </c>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3"/>
      <c r="AN12" s="533"/>
      <c r="AO12" s="533"/>
      <c r="AP12" s="533"/>
      <c r="AQ12" s="533"/>
      <c r="AR12" s="533"/>
      <c r="AS12" s="533"/>
      <c r="AT12" s="533"/>
      <c r="AU12" s="533"/>
      <c r="AV12" s="531" t="s">
        <v>61</v>
      </c>
      <c r="AW12" s="520" t="s">
        <v>675</v>
      </c>
      <c r="AX12" s="521"/>
      <c r="AY12" s="521"/>
      <c r="AZ12" s="522"/>
      <c r="BA12" s="508" t="s">
        <v>676</v>
      </c>
      <c r="BB12" s="509"/>
      <c r="BC12" s="509"/>
      <c r="BD12" s="510"/>
      <c r="BE12" s="502" t="s">
        <v>677</v>
      </c>
      <c r="BF12" s="503"/>
      <c r="BG12" s="503"/>
      <c r="BH12" s="504"/>
    </row>
    <row r="13" spans="2:60" ht="15.6">
      <c r="B13" s="488"/>
      <c r="C13" s="488"/>
      <c r="D13" s="526"/>
      <c r="E13" s="488"/>
      <c r="F13" s="527"/>
      <c r="G13" s="488"/>
      <c r="H13" s="488"/>
      <c r="I13" s="488"/>
      <c r="J13" s="488"/>
      <c r="K13" s="488"/>
      <c r="L13" s="488"/>
      <c r="M13" s="488"/>
      <c r="N13" s="488"/>
      <c r="O13" s="488"/>
      <c r="P13" s="532" t="s">
        <v>21</v>
      </c>
      <c r="Q13" s="532"/>
      <c r="R13" s="532"/>
      <c r="S13" s="532"/>
      <c r="T13" s="532"/>
      <c r="U13" s="532"/>
      <c r="V13" s="532"/>
      <c r="W13" s="532"/>
      <c r="X13" s="532" t="s">
        <v>22</v>
      </c>
      <c r="Y13" s="532"/>
      <c r="Z13" s="532"/>
      <c r="AA13" s="532"/>
      <c r="AB13" s="532"/>
      <c r="AC13" s="532"/>
      <c r="AD13" s="532"/>
      <c r="AE13" s="532"/>
      <c r="AF13" s="532" t="s">
        <v>23</v>
      </c>
      <c r="AG13" s="532"/>
      <c r="AH13" s="532"/>
      <c r="AI13" s="532"/>
      <c r="AJ13" s="532"/>
      <c r="AK13" s="532"/>
      <c r="AL13" s="532"/>
      <c r="AM13" s="532"/>
      <c r="AN13" s="532" t="s">
        <v>24</v>
      </c>
      <c r="AO13" s="532"/>
      <c r="AP13" s="532"/>
      <c r="AQ13" s="532"/>
      <c r="AR13" s="532"/>
      <c r="AS13" s="532"/>
      <c r="AT13" s="532"/>
      <c r="AU13" s="532"/>
      <c r="AV13" s="531"/>
      <c r="AW13" s="523" t="s">
        <v>118</v>
      </c>
      <c r="AX13" s="523" t="s">
        <v>22</v>
      </c>
      <c r="AY13" s="523" t="s">
        <v>119</v>
      </c>
      <c r="AZ13" s="523" t="s">
        <v>120</v>
      </c>
      <c r="BA13" s="511" t="s">
        <v>118</v>
      </c>
      <c r="BB13" s="511" t="s">
        <v>121</v>
      </c>
      <c r="BC13" s="511" t="s">
        <v>122</v>
      </c>
      <c r="BD13" s="511" t="s">
        <v>123</v>
      </c>
      <c r="BE13" s="505" t="s">
        <v>21</v>
      </c>
      <c r="BF13" s="505" t="s">
        <v>22</v>
      </c>
      <c r="BG13" s="505" t="s">
        <v>23</v>
      </c>
      <c r="BH13" s="505" t="s">
        <v>24</v>
      </c>
    </row>
    <row r="14" spans="2:60" ht="15.6">
      <c r="B14" s="488"/>
      <c r="C14" s="488"/>
      <c r="D14" s="526"/>
      <c r="E14" s="488"/>
      <c r="F14" s="527"/>
      <c r="G14" s="488"/>
      <c r="H14" s="488"/>
      <c r="I14" s="488"/>
      <c r="J14" s="488"/>
      <c r="K14" s="488"/>
      <c r="L14" s="488"/>
      <c r="M14" s="488"/>
      <c r="N14" s="488"/>
      <c r="O14" s="488"/>
      <c r="P14" s="571" t="s">
        <v>5</v>
      </c>
      <c r="Q14" s="571"/>
      <c r="R14" s="571" t="s">
        <v>6</v>
      </c>
      <c r="S14" s="571"/>
      <c r="T14" s="571" t="s">
        <v>7</v>
      </c>
      <c r="U14" s="571"/>
      <c r="V14" s="533" t="s">
        <v>8</v>
      </c>
      <c r="W14" s="533"/>
      <c r="X14" s="571" t="s">
        <v>27</v>
      </c>
      <c r="Y14" s="571"/>
      <c r="Z14" s="571" t="s">
        <v>9</v>
      </c>
      <c r="AA14" s="571"/>
      <c r="AB14" s="571" t="s">
        <v>10</v>
      </c>
      <c r="AC14" s="571"/>
      <c r="AD14" s="533" t="s">
        <v>8</v>
      </c>
      <c r="AE14" s="533"/>
      <c r="AF14" s="571" t="s">
        <v>11</v>
      </c>
      <c r="AG14" s="571"/>
      <c r="AH14" s="571" t="s">
        <v>12</v>
      </c>
      <c r="AI14" s="571"/>
      <c r="AJ14" s="571" t="s">
        <v>13</v>
      </c>
      <c r="AK14" s="571"/>
      <c r="AL14" s="533" t="s">
        <v>8</v>
      </c>
      <c r="AM14" s="533"/>
      <c r="AN14" s="571" t="s">
        <v>14</v>
      </c>
      <c r="AO14" s="571"/>
      <c r="AP14" s="571" t="s">
        <v>15</v>
      </c>
      <c r="AQ14" s="571"/>
      <c r="AR14" s="571" t="s">
        <v>16</v>
      </c>
      <c r="AS14" s="571"/>
      <c r="AT14" s="533" t="s">
        <v>8</v>
      </c>
      <c r="AU14" s="533"/>
      <c r="AV14" s="531"/>
      <c r="AW14" s="524"/>
      <c r="AX14" s="524"/>
      <c r="AY14" s="524"/>
      <c r="AZ14" s="524"/>
      <c r="BA14" s="512"/>
      <c r="BB14" s="512"/>
      <c r="BC14" s="512"/>
      <c r="BD14" s="512"/>
      <c r="BE14" s="506"/>
      <c r="BF14" s="506"/>
      <c r="BG14" s="506"/>
      <c r="BH14" s="506"/>
    </row>
    <row r="15" spans="2:60" ht="13.2" customHeight="1">
      <c r="B15" s="488"/>
      <c r="C15" s="488"/>
      <c r="D15" s="526"/>
      <c r="E15" s="488"/>
      <c r="F15" s="527"/>
      <c r="G15" s="488"/>
      <c r="H15" s="488"/>
      <c r="I15" s="488"/>
      <c r="J15" s="488"/>
      <c r="K15" s="488"/>
      <c r="L15" s="488"/>
      <c r="M15" s="488"/>
      <c r="N15" s="488"/>
      <c r="O15" s="488"/>
      <c r="P15" s="215" t="s">
        <v>17</v>
      </c>
      <c r="Q15" s="216" t="s">
        <v>18</v>
      </c>
      <c r="R15" s="215" t="s">
        <v>17</v>
      </c>
      <c r="S15" s="216" t="s">
        <v>18</v>
      </c>
      <c r="T15" s="215" t="s">
        <v>17</v>
      </c>
      <c r="U15" s="216" t="s">
        <v>18</v>
      </c>
      <c r="V15" s="61" t="s">
        <v>17</v>
      </c>
      <c r="W15" s="62" t="s">
        <v>18</v>
      </c>
      <c r="X15" s="215" t="s">
        <v>17</v>
      </c>
      <c r="Y15" s="216" t="s">
        <v>18</v>
      </c>
      <c r="Z15" s="215" t="s">
        <v>17</v>
      </c>
      <c r="AA15" s="216" t="s">
        <v>18</v>
      </c>
      <c r="AB15" s="215" t="s">
        <v>17</v>
      </c>
      <c r="AC15" s="216" t="s">
        <v>18</v>
      </c>
      <c r="AD15" s="61" t="s">
        <v>17</v>
      </c>
      <c r="AE15" s="62" t="s">
        <v>18</v>
      </c>
      <c r="AF15" s="215" t="s">
        <v>17</v>
      </c>
      <c r="AG15" s="216" t="s">
        <v>18</v>
      </c>
      <c r="AH15" s="215" t="s">
        <v>17</v>
      </c>
      <c r="AI15" s="216" t="s">
        <v>18</v>
      </c>
      <c r="AJ15" s="215" t="s">
        <v>17</v>
      </c>
      <c r="AK15" s="216" t="s">
        <v>18</v>
      </c>
      <c r="AL15" s="61" t="s">
        <v>17</v>
      </c>
      <c r="AM15" s="62" t="s">
        <v>18</v>
      </c>
      <c r="AN15" s="215" t="s">
        <v>17</v>
      </c>
      <c r="AO15" s="216" t="s">
        <v>18</v>
      </c>
      <c r="AP15" s="215" t="s">
        <v>17</v>
      </c>
      <c r="AQ15" s="216" t="s">
        <v>18</v>
      </c>
      <c r="AR15" s="215" t="s">
        <v>17</v>
      </c>
      <c r="AS15" s="216" t="s">
        <v>18</v>
      </c>
      <c r="AT15" s="61" t="s">
        <v>17</v>
      </c>
      <c r="AU15" s="62" t="s">
        <v>18</v>
      </c>
      <c r="AV15" s="531"/>
      <c r="AW15" s="525"/>
      <c r="AX15" s="525"/>
      <c r="AY15" s="525"/>
      <c r="AZ15" s="525"/>
      <c r="BA15" s="513"/>
      <c r="BB15" s="513"/>
      <c r="BC15" s="513"/>
      <c r="BD15" s="513"/>
      <c r="BE15" s="507"/>
      <c r="BF15" s="507"/>
      <c r="BG15" s="507"/>
      <c r="BH15" s="507"/>
    </row>
    <row r="16" spans="2:60" ht="135">
      <c r="B16" s="462"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462" t="str">
        <f>+'01-FR-03 POA INSTITUCIONAL'!C69</f>
        <v>4.4. Implementar el 100% de las acciones necesarias para la modernización de la gestión institucional a través de los procesos de apoyo, que permita una mejor prestación del servicio.</v>
      </c>
      <c r="D16" s="19" t="str">
        <f>+'01-FR-03 POA INSTITUCIONAL'!D75</f>
        <v>4.4.7 Realizar el 95% del reparto, dentro de un término no superior a tres (3) días hábiles, de las comunicaciones oficiales institucionales recibidas por el Grupo de Correspondencia.</v>
      </c>
      <c r="E16" s="37">
        <f>+'01-FR-03 POA INSTITUCIONAL'!E75</f>
        <v>0.05</v>
      </c>
      <c r="F16" s="149">
        <f>+'01-FR-03 POA INSTITUCIONAL'!F75</f>
        <v>0.95</v>
      </c>
      <c r="G16" s="149">
        <f>+'01-FR-03 POA INSTITUCIONAL'!L75</f>
        <v>0.95</v>
      </c>
      <c r="H16" s="129" t="str">
        <f>+'01-FR-03 POA INSTITUCIONAL'!G75</f>
        <v>S.I.</v>
      </c>
      <c r="I16" s="129" t="str">
        <f>+'01-FR-03 POA INSTITUCIONAL'!H75</f>
        <v>Porcentaje de Comunicaciones oficiales con reparto realizado dentro de los 3 días hábiles desde su radicación</v>
      </c>
      <c r="J16" s="311" t="s">
        <v>679</v>
      </c>
      <c r="K16" s="230" t="s">
        <v>681</v>
      </c>
      <c r="L16" s="312" t="s">
        <v>680</v>
      </c>
      <c r="M16" s="201" t="s">
        <v>484</v>
      </c>
      <c r="N16" s="218" t="s">
        <v>485</v>
      </c>
      <c r="O16" s="67" t="str">
        <f>+'01-FR-03 POA INSTITUCIONAL'!J75</f>
        <v>Subdirección de Gestión Documental y Recursos Físicos - Grupo de Correspondencia</v>
      </c>
      <c r="P16" s="295">
        <v>0.95</v>
      </c>
      <c r="Q16" s="219"/>
      <c r="R16" s="295">
        <v>0.95</v>
      </c>
      <c r="S16" s="219"/>
      <c r="T16" s="295">
        <v>0.95</v>
      </c>
      <c r="U16" s="219"/>
      <c r="V16" s="75">
        <f>AVERAGE(P16,R16,T16)</f>
        <v>0.94999999999999984</v>
      </c>
      <c r="W16" s="75">
        <f>IFERROR(AVERAGE(Q16,S16,U16),0)</f>
        <v>0</v>
      </c>
      <c r="X16" s="295">
        <v>0.95</v>
      </c>
      <c r="Y16" s="219"/>
      <c r="Z16" s="295">
        <v>0.95</v>
      </c>
      <c r="AA16" s="219"/>
      <c r="AB16" s="295">
        <v>0.95</v>
      </c>
      <c r="AC16" s="219"/>
      <c r="AD16" s="75">
        <f>AVERAGE(X16,Z16,AB16)</f>
        <v>0.94999999999999984</v>
      </c>
      <c r="AE16" s="75">
        <f>IFERROR(AVERAGE(Y16,AA16,AC16),0)</f>
        <v>0</v>
      </c>
      <c r="AF16" s="295">
        <v>0.95</v>
      </c>
      <c r="AG16" s="219"/>
      <c r="AH16" s="295">
        <v>0.95</v>
      </c>
      <c r="AI16" s="219"/>
      <c r="AJ16" s="295">
        <v>0.95</v>
      </c>
      <c r="AK16" s="220"/>
      <c r="AL16" s="75">
        <f>AVERAGE(AF16,AH16,AJ16)</f>
        <v>0.94999999999999984</v>
      </c>
      <c r="AM16" s="75">
        <f>IFERROR(AVERAGE(AG16,AI16,AK16),0)</f>
        <v>0</v>
      </c>
      <c r="AN16" s="295">
        <v>0.95</v>
      </c>
      <c r="AO16" s="219"/>
      <c r="AP16" s="295">
        <v>0.95</v>
      </c>
      <c r="AQ16" s="219"/>
      <c r="AR16" s="295">
        <v>0.95</v>
      </c>
      <c r="AS16" s="219"/>
      <c r="AT16" s="75">
        <f>AVERAGE(AN16,AP16,AR16)</f>
        <v>0.94999999999999984</v>
      </c>
      <c r="AU16" s="75">
        <f>IFERROR(AVERAGE(AO16,AQ16,AS16),0)</f>
        <v>0</v>
      </c>
      <c r="AV16" s="75">
        <f>AVERAGE(P16,R16,T16,X16,Z16,AB16,AF16,AH16,AJ16,AN16,AP16,AR16)</f>
        <v>0.94999999999999984</v>
      </c>
      <c r="AW16" s="66">
        <f>+W16</f>
        <v>0</v>
      </c>
      <c r="AX16" s="66">
        <f>+W16+AE16</f>
        <v>0</v>
      </c>
      <c r="AY16" s="66">
        <f>+W16+AE16+AM16</f>
        <v>0</v>
      </c>
      <c r="AZ16" s="66">
        <f>+W16+AE16+AM16+AU16</f>
        <v>0</v>
      </c>
      <c r="BA16" s="28">
        <f>IF(AND(AW16&gt;0,$AV16&gt;0),AW16/$AV16,0)</f>
        <v>0</v>
      </c>
      <c r="BB16" s="28">
        <f t="shared" ref="BB16:BD19" si="0">IF(AND(AX16&gt;0,$AV16&gt;0),AX16/$AV16,0)</f>
        <v>0</v>
      </c>
      <c r="BC16" s="28">
        <f t="shared" si="0"/>
        <v>0</v>
      </c>
      <c r="BD16" s="28">
        <f t="shared" si="0"/>
        <v>0</v>
      </c>
      <c r="BE16" s="28">
        <f t="shared" ref="BE16:BH19" si="1">(IF(AND(AW16&gt;0,$AV16&gt;0),AW16/$AV16,0))*$E16</f>
        <v>0</v>
      </c>
      <c r="BF16" s="28">
        <f t="shared" si="1"/>
        <v>0</v>
      </c>
      <c r="BG16" s="28">
        <f t="shared" si="1"/>
        <v>0</v>
      </c>
      <c r="BH16" s="28">
        <f t="shared" si="1"/>
        <v>0</v>
      </c>
    </row>
    <row r="17" spans="2:60" ht="165">
      <c r="B17" s="620"/>
      <c r="C17" s="620"/>
      <c r="D17" s="19" t="str">
        <f>+'01-FR-03 POA INSTITUCIONAL'!D76</f>
        <v>4.4.8 Incorporar el 80% al archivo central de las transferencias documentales provenientes de las dependencias, en razón a que cumplen los requisitos exigidos para ello.</v>
      </c>
      <c r="E17" s="37">
        <f>+'01-FR-03 POA INSTITUCIONAL'!E76</f>
        <v>0.05</v>
      </c>
      <c r="F17" s="149">
        <f>+'01-FR-03 POA INSTITUCIONAL'!F76</f>
        <v>0.8</v>
      </c>
      <c r="G17" s="149">
        <f>+'01-FR-03 POA INSTITUCIONAL'!L76</f>
        <v>0.8</v>
      </c>
      <c r="H17" s="129">
        <f>+'01-FR-03 POA INSTITUCIONAL'!G76</f>
        <v>264</v>
      </c>
      <c r="I17" s="129" t="str">
        <f>+'01-FR-03 POA INSTITUCIONAL'!H76</f>
        <v>Porcentaje de documentación incorporada en el archivo central durante la vigencia.</v>
      </c>
      <c r="J17" s="198" t="s">
        <v>501</v>
      </c>
      <c r="K17" s="230" t="s">
        <v>486</v>
      </c>
      <c r="L17" s="201" t="s">
        <v>487</v>
      </c>
      <c r="M17" s="201" t="s">
        <v>484</v>
      </c>
      <c r="N17" s="218" t="s">
        <v>488</v>
      </c>
      <c r="O17" s="67" t="str">
        <f>+'01-FR-03 POA INSTITUCIONAL'!J76</f>
        <v>Subdirección de Gestión Documental y Recursos Físicos - Archivo central</v>
      </c>
      <c r="P17" s="295">
        <v>0.8</v>
      </c>
      <c r="Q17" s="219"/>
      <c r="R17" s="295">
        <v>0.8</v>
      </c>
      <c r="S17" s="219"/>
      <c r="T17" s="295">
        <v>0.8</v>
      </c>
      <c r="U17" s="219"/>
      <c r="V17" s="75">
        <f>AVERAGE(P17,R17,T17)</f>
        <v>0.80000000000000016</v>
      </c>
      <c r="W17" s="75">
        <f>IFERROR(AVERAGE(Q17,S17,U17),0)</f>
        <v>0</v>
      </c>
      <c r="X17" s="295">
        <v>0.8</v>
      </c>
      <c r="Y17" s="219"/>
      <c r="Z17" s="295">
        <v>0.8</v>
      </c>
      <c r="AA17" s="219"/>
      <c r="AB17" s="295">
        <v>0.8</v>
      </c>
      <c r="AC17" s="219"/>
      <c r="AD17" s="75">
        <f>AVERAGE(X17,Z17,AB17)</f>
        <v>0.80000000000000016</v>
      </c>
      <c r="AE17" s="75">
        <f>IFERROR(AVERAGE(Y17,AA17,AC17),0)</f>
        <v>0</v>
      </c>
      <c r="AF17" s="295">
        <v>0.8</v>
      </c>
      <c r="AG17" s="219"/>
      <c r="AH17" s="295">
        <v>0.8</v>
      </c>
      <c r="AI17" s="219"/>
      <c r="AJ17" s="295">
        <v>0.8</v>
      </c>
      <c r="AK17" s="220"/>
      <c r="AL17" s="75">
        <f>AVERAGE(AF17,AH17,AJ17)</f>
        <v>0.80000000000000016</v>
      </c>
      <c r="AM17" s="75">
        <f>IFERROR(AVERAGE(AG17,AI17,AK17),0)</f>
        <v>0</v>
      </c>
      <c r="AN17" s="295">
        <v>0.8</v>
      </c>
      <c r="AO17" s="219"/>
      <c r="AP17" s="295">
        <v>0.8</v>
      </c>
      <c r="AQ17" s="219"/>
      <c r="AR17" s="295">
        <v>0.8</v>
      </c>
      <c r="AS17" s="220"/>
      <c r="AT17" s="75">
        <f>AVERAGE(AN17,AP17,AR17)</f>
        <v>0.80000000000000016</v>
      </c>
      <c r="AU17" s="75">
        <f>IFERROR(AVERAGE(AO17,AQ17,AS17),0)</f>
        <v>0</v>
      </c>
      <c r="AV17" s="75">
        <f>AVERAGE(P17,R17,T17,X17,Z17,AB17,AF17,AH17,AJ17,AN17,AP17,AR17)</f>
        <v>0.79999999999999993</v>
      </c>
      <c r="AW17" s="66">
        <f t="shared" ref="AW17:AW19" si="2">+W17</f>
        <v>0</v>
      </c>
      <c r="AX17" s="66">
        <f t="shared" ref="AX17:AX19" si="3">+W17+AE17</f>
        <v>0</v>
      </c>
      <c r="AY17" s="66">
        <f t="shared" ref="AY17:AY19" si="4">+W17+AE17+AM17</f>
        <v>0</v>
      </c>
      <c r="AZ17" s="66">
        <f t="shared" ref="AZ17:AZ19" si="5">+W17+AE17+AM17+AU17</f>
        <v>0</v>
      </c>
      <c r="BA17" s="28">
        <f>IF(AND(AW17&gt;0,AV17&gt;0),AW17/AV17,0)</f>
        <v>0</v>
      </c>
      <c r="BB17" s="28">
        <f t="shared" si="0"/>
        <v>0</v>
      </c>
      <c r="BC17" s="28">
        <f t="shared" si="0"/>
        <v>0</v>
      </c>
      <c r="BD17" s="28">
        <f t="shared" si="0"/>
        <v>0</v>
      </c>
      <c r="BE17" s="28">
        <f t="shared" si="1"/>
        <v>0</v>
      </c>
      <c r="BF17" s="28">
        <f t="shared" si="1"/>
        <v>0</v>
      </c>
      <c r="BG17" s="28">
        <f t="shared" si="1"/>
        <v>0</v>
      </c>
      <c r="BH17" s="28">
        <f t="shared" si="1"/>
        <v>0</v>
      </c>
    </row>
    <row r="18" spans="2:60" ht="150">
      <c r="B18" s="463"/>
      <c r="C18" s="463"/>
      <c r="D18" s="19" t="str">
        <f>+'01-FR-03 POA INSTITUCIONAL'!D77</f>
        <v>4.4.9 Realizar 100 actividades de diseño, actualización o ajuste de los instrumentos archivísticos establecidos por norma.</v>
      </c>
      <c r="E18" s="37">
        <f>+'01-FR-03 POA INSTITUCIONAL'!E77</f>
        <v>0.05</v>
      </c>
      <c r="F18" s="362">
        <f>+'01-FR-03 POA INSTITUCIONAL'!F77</f>
        <v>100</v>
      </c>
      <c r="G18" s="362">
        <f>+'01-FR-03 POA INSTITUCIONAL'!L77</f>
        <v>25</v>
      </c>
      <c r="H18" s="129">
        <f>+'01-FR-03 POA INSTITUCIONAL'!G77</f>
        <v>32</v>
      </c>
      <c r="I18" s="129" t="str">
        <f>+'01-FR-03 POA INSTITUCIONAL'!H77</f>
        <v>Cantidad de actividades realizadas por año para el diseño, actualización o ajuste de los instrumentos archivísticos establecidos por norma</v>
      </c>
      <c r="J18" s="129" t="s">
        <v>489</v>
      </c>
      <c r="K18" s="230" t="s">
        <v>490</v>
      </c>
      <c r="L18" s="201" t="s">
        <v>491</v>
      </c>
      <c r="M18" s="201" t="s">
        <v>484</v>
      </c>
      <c r="N18" s="218" t="s">
        <v>492</v>
      </c>
      <c r="O18" s="67" t="str">
        <f>+'01-FR-03 POA INSTITUCIONAL'!J77</f>
        <v xml:space="preserve">Subdirección de Gestión Documental y Recursos Físicos </v>
      </c>
      <c r="P18" s="219">
        <v>1</v>
      </c>
      <c r="Q18" s="219"/>
      <c r="R18" s="219">
        <v>2</v>
      </c>
      <c r="S18" s="219"/>
      <c r="T18" s="219">
        <v>2</v>
      </c>
      <c r="U18" s="219"/>
      <c r="V18" s="82">
        <f t="shared" ref="V18:W19" si="6">P18+R18+T18</f>
        <v>5</v>
      </c>
      <c r="W18" s="82">
        <f t="shared" si="6"/>
        <v>0</v>
      </c>
      <c r="X18" s="219">
        <v>2</v>
      </c>
      <c r="Y18" s="219"/>
      <c r="Z18" s="219">
        <v>3</v>
      </c>
      <c r="AA18" s="219"/>
      <c r="AB18" s="219">
        <v>2</v>
      </c>
      <c r="AC18" s="219"/>
      <c r="AD18" s="82">
        <f t="shared" ref="AD18:AE19" si="7">X18+Z18+AB18</f>
        <v>7</v>
      </c>
      <c r="AE18" s="82">
        <f t="shared" si="7"/>
        <v>0</v>
      </c>
      <c r="AF18" s="219">
        <v>2</v>
      </c>
      <c r="AG18" s="219"/>
      <c r="AH18" s="219">
        <v>3</v>
      </c>
      <c r="AI18" s="219"/>
      <c r="AJ18" s="220">
        <v>2</v>
      </c>
      <c r="AK18" s="220"/>
      <c r="AL18" s="82">
        <f t="shared" ref="AL18:AM19" si="8">AF18+AH18+AJ18</f>
        <v>7</v>
      </c>
      <c r="AM18" s="82">
        <f t="shared" si="8"/>
        <v>0</v>
      </c>
      <c r="AN18" s="219">
        <v>3</v>
      </c>
      <c r="AO18" s="219"/>
      <c r="AP18" s="219">
        <v>2</v>
      </c>
      <c r="AQ18" s="219"/>
      <c r="AR18" s="219">
        <v>1</v>
      </c>
      <c r="AS18" s="219"/>
      <c r="AT18" s="82">
        <f t="shared" ref="AT18:AU19" si="9">AN18+AP18+AR18</f>
        <v>6</v>
      </c>
      <c r="AU18" s="82">
        <f t="shared" si="9"/>
        <v>0</v>
      </c>
      <c r="AV18" s="221">
        <f t="shared" ref="AV18:AV19" si="10">V18+AD18+AL18+AT18</f>
        <v>25</v>
      </c>
      <c r="AW18" s="66">
        <f t="shared" si="2"/>
        <v>0</v>
      </c>
      <c r="AX18" s="66">
        <f t="shared" si="3"/>
        <v>0</v>
      </c>
      <c r="AY18" s="66">
        <f t="shared" si="4"/>
        <v>0</v>
      </c>
      <c r="AZ18" s="66">
        <f t="shared" si="5"/>
        <v>0</v>
      </c>
      <c r="BA18" s="28">
        <f t="shared" ref="BA18:BA19" si="11">IF(AND(AW18&gt;0,AV18&gt;0),AW18/AV18,0)</f>
        <v>0</v>
      </c>
      <c r="BB18" s="28">
        <f t="shared" si="0"/>
        <v>0</v>
      </c>
      <c r="BC18" s="28">
        <f t="shared" si="0"/>
        <v>0</v>
      </c>
      <c r="BD18" s="28">
        <f t="shared" si="0"/>
        <v>0</v>
      </c>
      <c r="BE18" s="28">
        <f t="shared" si="1"/>
        <v>0</v>
      </c>
      <c r="BF18" s="28">
        <f t="shared" si="1"/>
        <v>0</v>
      </c>
      <c r="BG18" s="28">
        <f t="shared" si="1"/>
        <v>0</v>
      </c>
      <c r="BH18" s="28">
        <f t="shared" si="1"/>
        <v>0</v>
      </c>
    </row>
    <row r="19" spans="2:60" ht="240">
      <c r="B19" s="12">
        <f>+'[8]POA Anualizado (Pág 1 de 3)'!B16</f>
        <v>0</v>
      </c>
      <c r="C19" s="12">
        <f>+'[8]POA Anualizado (Pág 1 de 3)'!C16</f>
        <v>0</v>
      </c>
      <c r="D19" s="19" t="str">
        <f>+'01-FR-03 POA INSTITUCIONAL'!D78</f>
        <v>4.4.10 Realizar 100 actividades de implementación de los instrumentos archivísticos establecidos por norma, y de las herramientas de apoyo a la gestión documental.</v>
      </c>
      <c r="E19" s="37">
        <f>+'01-FR-03 POA INSTITUCIONAL'!E78</f>
        <v>0.05</v>
      </c>
      <c r="F19" s="362">
        <f>+'01-FR-03 POA INSTITUCIONAL'!F78</f>
        <v>100</v>
      </c>
      <c r="G19" s="362">
        <f>+'01-FR-03 POA INSTITUCIONAL'!L78</f>
        <v>25</v>
      </c>
      <c r="H19" s="129">
        <f>+'01-FR-03 POA INSTITUCIONAL'!G78</f>
        <v>26</v>
      </c>
      <c r="I19" s="129" t="str">
        <f>+'01-FR-03 POA INSTITUCIONAL'!H78</f>
        <v>Cantidad de actividades realizadas por año para implementación de los instrumentos archivísticos establecidos por norma, y de herramientas de apoyo a la gestión documental.</v>
      </c>
      <c r="J19" s="129" t="s">
        <v>493</v>
      </c>
      <c r="K19" s="230" t="s">
        <v>494</v>
      </c>
      <c r="L19" s="201" t="s">
        <v>495</v>
      </c>
      <c r="M19" s="201" t="s">
        <v>496</v>
      </c>
      <c r="N19" s="218" t="s">
        <v>497</v>
      </c>
      <c r="O19" s="67" t="str">
        <f>+'01-FR-03 POA INSTITUCIONAL'!J78</f>
        <v>Subdirección de Gestión Documental y Recursos Físicos
Dirección de Tecnologías de la Información y Comunicaciones</v>
      </c>
      <c r="P19" s="219">
        <v>1</v>
      </c>
      <c r="Q19" s="219"/>
      <c r="R19" s="219">
        <v>2</v>
      </c>
      <c r="S19" s="219"/>
      <c r="T19" s="219">
        <v>2</v>
      </c>
      <c r="U19" s="219"/>
      <c r="V19" s="82">
        <f t="shared" si="6"/>
        <v>5</v>
      </c>
      <c r="W19" s="82">
        <f t="shared" si="6"/>
        <v>0</v>
      </c>
      <c r="X19" s="219">
        <v>2</v>
      </c>
      <c r="Y19" s="219"/>
      <c r="Z19" s="219">
        <v>3</v>
      </c>
      <c r="AA19" s="219"/>
      <c r="AB19" s="219">
        <v>2</v>
      </c>
      <c r="AC19" s="219"/>
      <c r="AD19" s="82">
        <f t="shared" si="7"/>
        <v>7</v>
      </c>
      <c r="AE19" s="82">
        <f t="shared" si="7"/>
        <v>0</v>
      </c>
      <c r="AF19" s="219">
        <v>2</v>
      </c>
      <c r="AG19" s="219"/>
      <c r="AH19" s="219">
        <v>3</v>
      </c>
      <c r="AI19" s="219"/>
      <c r="AJ19" s="220">
        <v>2</v>
      </c>
      <c r="AK19" s="220"/>
      <c r="AL19" s="82">
        <f t="shared" si="8"/>
        <v>7</v>
      </c>
      <c r="AM19" s="82">
        <f t="shared" si="8"/>
        <v>0</v>
      </c>
      <c r="AN19" s="219">
        <v>3</v>
      </c>
      <c r="AO19" s="219"/>
      <c r="AP19" s="219">
        <v>2</v>
      </c>
      <c r="AQ19" s="219"/>
      <c r="AR19" s="219">
        <v>1</v>
      </c>
      <c r="AS19" s="219"/>
      <c r="AT19" s="82">
        <f t="shared" si="9"/>
        <v>6</v>
      </c>
      <c r="AU19" s="82">
        <f t="shared" si="9"/>
        <v>0</v>
      </c>
      <c r="AV19" s="221">
        <f t="shared" si="10"/>
        <v>25</v>
      </c>
      <c r="AW19" s="66">
        <f t="shared" si="2"/>
        <v>0</v>
      </c>
      <c r="AX19" s="66">
        <f t="shared" si="3"/>
        <v>0</v>
      </c>
      <c r="AY19" s="66">
        <f t="shared" si="4"/>
        <v>0</v>
      </c>
      <c r="AZ19" s="66">
        <f t="shared" si="5"/>
        <v>0</v>
      </c>
      <c r="BA19" s="28">
        <f t="shared" si="11"/>
        <v>0</v>
      </c>
      <c r="BB19" s="28">
        <f t="shared" si="0"/>
        <v>0</v>
      </c>
      <c r="BC19" s="28">
        <f t="shared" si="0"/>
        <v>0</v>
      </c>
      <c r="BD19" s="28">
        <f t="shared" si="0"/>
        <v>0</v>
      </c>
      <c r="BE19" s="28">
        <f t="shared" si="1"/>
        <v>0</v>
      </c>
      <c r="BF19" s="28">
        <f t="shared" si="1"/>
        <v>0</v>
      </c>
      <c r="BG19" s="28">
        <f t="shared" si="1"/>
        <v>0</v>
      </c>
      <c r="BH19" s="28">
        <f t="shared" si="1"/>
        <v>0</v>
      </c>
    </row>
    <row r="20" spans="2:60" ht="22.8">
      <c r="B20" s="496"/>
      <c r="C20" s="497"/>
      <c r="D20" s="497"/>
      <c r="E20" s="497"/>
      <c r="F20" s="497"/>
      <c r="G20" s="497"/>
      <c r="H20" s="497"/>
      <c r="I20" s="497"/>
      <c r="J20" s="497"/>
      <c r="K20" s="497"/>
      <c r="L20" s="497"/>
      <c r="M20" s="497"/>
      <c r="N20" s="497"/>
      <c r="O20" s="497"/>
      <c r="P20" s="497"/>
      <c r="Q20" s="497"/>
      <c r="R20" s="497"/>
      <c r="S20" s="497"/>
      <c r="T20" s="497"/>
      <c r="U20" s="497"/>
      <c r="V20" s="497"/>
      <c r="W20" s="497"/>
      <c r="X20" s="497"/>
      <c r="Y20" s="497"/>
      <c r="Z20" s="497"/>
      <c r="AA20" s="497"/>
      <c r="AB20" s="497"/>
      <c r="AC20" s="497"/>
      <c r="AD20" s="497"/>
      <c r="AE20" s="497"/>
      <c r="AF20" s="497"/>
      <c r="AG20" s="497"/>
      <c r="AH20" s="497"/>
      <c r="AI20" s="497"/>
      <c r="AJ20" s="497"/>
      <c r="AK20" s="497"/>
      <c r="AL20" s="497"/>
      <c r="AM20" s="497"/>
      <c r="AN20" s="497"/>
      <c r="AO20" s="497"/>
      <c r="AP20" s="497"/>
      <c r="AQ20" s="497"/>
      <c r="AR20" s="497"/>
      <c r="AS20" s="497"/>
      <c r="AT20" s="497"/>
      <c r="AU20" s="497"/>
      <c r="AV20" s="497"/>
      <c r="AW20" s="548"/>
      <c r="AX20" s="518" t="s">
        <v>19</v>
      </c>
      <c r="AY20" s="570"/>
      <c r="AZ20" s="570"/>
      <c r="BA20" s="56">
        <f t="shared" ref="BA20:BH20" si="12">AVERAGE(BA16:BA19)</f>
        <v>0</v>
      </c>
      <c r="BB20" s="56">
        <f t="shared" si="12"/>
        <v>0</v>
      </c>
      <c r="BC20" s="56">
        <f t="shared" si="12"/>
        <v>0</v>
      </c>
      <c r="BD20" s="56">
        <f t="shared" si="12"/>
        <v>0</v>
      </c>
      <c r="BE20" s="56">
        <f t="shared" si="12"/>
        <v>0</v>
      </c>
      <c r="BF20" s="56">
        <f t="shared" si="12"/>
        <v>0</v>
      </c>
      <c r="BG20" s="56">
        <f t="shared" si="12"/>
        <v>0</v>
      </c>
      <c r="BH20" s="56">
        <f t="shared" si="12"/>
        <v>0</v>
      </c>
    </row>
    <row r="21" spans="2:60">
      <c r="B21" s="453"/>
      <c r="C21" s="453"/>
      <c r="D21" s="453"/>
      <c r="E21" s="453"/>
      <c r="F21" s="453"/>
      <c r="G21" s="453"/>
      <c r="H21" s="223"/>
      <c r="I21" s="224"/>
      <c r="J21" s="224"/>
      <c r="K21" s="224"/>
      <c r="L21" s="224"/>
      <c r="M21" s="224"/>
      <c r="N21" s="224"/>
      <c r="O21" s="224"/>
    </row>
    <row r="22" spans="2:60">
      <c r="B22" s="224"/>
      <c r="C22" s="224"/>
      <c r="D22" s="549"/>
      <c r="E22" s="549"/>
      <c r="F22" s="549"/>
      <c r="G22" s="549"/>
      <c r="H22" s="549"/>
      <c r="I22" s="549"/>
      <c r="J22" s="549"/>
      <c r="K22" s="549"/>
      <c r="L22" s="549"/>
      <c r="M22" s="549"/>
      <c r="N22" s="549"/>
      <c r="O22" s="549"/>
    </row>
    <row r="23" spans="2:60" ht="15.6" customHeight="1">
      <c r="B23" s="63" t="s">
        <v>26</v>
      </c>
      <c r="C23" s="225">
        <v>44224</v>
      </c>
      <c r="D23" s="226"/>
      <c r="E23" s="558" t="s">
        <v>50</v>
      </c>
      <c r="F23" s="550" t="s">
        <v>498</v>
      </c>
      <c r="G23" s="551"/>
      <c r="H23" s="551"/>
      <c r="I23" s="551"/>
      <c r="J23" s="552"/>
      <c r="K23" s="227"/>
      <c r="L23" s="559"/>
      <c r="M23" s="559"/>
      <c r="N23" s="559"/>
      <c r="O23" s="560"/>
    </row>
    <row r="24" spans="2:60" ht="15.6">
      <c r="B24" s="224"/>
      <c r="C24" s="224"/>
      <c r="D24" s="227"/>
      <c r="E24" s="558"/>
      <c r="F24" s="553"/>
      <c r="G24" s="554"/>
      <c r="H24" s="554"/>
      <c r="I24" s="554"/>
      <c r="J24" s="555"/>
      <c r="K24" s="224"/>
      <c r="L24" s="224"/>
      <c r="M24" s="224"/>
      <c r="N24" s="224"/>
      <c r="O24" s="224"/>
    </row>
    <row r="25" spans="2:60" ht="15.6">
      <c r="B25" s="63" t="s">
        <v>49</v>
      </c>
      <c r="C25" s="65">
        <v>44581</v>
      </c>
      <c r="D25" s="224"/>
      <c r="E25" s="224"/>
      <c r="F25" s="224"/>
      <c r="K25" s="224"/>
      <c r="L25" s="224"/>
      <c r="M25" s="224"/>
      <c r="N25" s="224"/>
      <c r="O25" s="224"/>
    </row>
    <row r="26" spans="2:60">
      <c r="B26" s="224"/>
      <c r="C26" s="224"/>
      <c r="D26" s="224"/>
      <c r="E26" s="224"/>
      <c r="F26" s="224"/>
      <c r="K26" s="224"/>
      <c r="L26" s="224"/>
      <c r="M26" s="224"/>
      <c r="N26" s="224"/>
      <c r="O26" s="224"/>
    </row>
    <row r="27" spans="2:60">
      <c r="B27" s="189" t="s">
        <v>673</v>
      </c>
      <c r="C27" s="224"/>
      <c r="D27" s="224"/>
      <c r="E27" s="224"/>
      <c r="F27" s="224"/>
      <c r="G27" s="223"/>
      <c r="H27" s="223"/>
      <c r="I27" s="575"/>
      <c r="J27" s="575"/>
      <c r="K27" s="575"/>
      <c r="L27" s="575"/>
      <c r="M27" s="228"/>
      <c r="N27" s="228"/>
      <c r="O27" s="228"/>
    </row>
    <row r="28" spans="2:60">
      <c r="B28" s="224"/>
      <c r="C28" s="224"/>
      <c r="D28" s="224"/>
      <c r="E28" s="224"/>
      <c r="F28" s="224"/>
      <c r="G28" s="223"/>
      <c r="H28" s="223"/>
      <c r="I28" s="224"/>
      <c r="J28" s="224"/>
      <c r="K28" s="229"/>
      <c r="L28" s="224"/>
      <c r="M28" s="224"/>
      <c r="N28" s="224"/>
      <c r="O28" s="224"/>
    </row>
    <row r="29" spans="2:60">
      <c r="B29" s="224"/>
      <c r="C29" s="224"/>
      <c r="D29" s="224"/>
      <c r="E29" s="224"/>
      <c r="F29" s="224"/>
      <c r="G29" s="223"/>
      <c r="H29" s="223"/>
      <c r="I29" s="575"/>
      <c r="J29" s="575"/>
      <c r="K29" s="575"/>
      <c r="L29" s="575"/>
      <c r="M29" s="228"/>
      <c r="N29" s="228"/>
      <c r="O29" s="228"/>
    </row>
    <row r="30" spans="2:60">
      <c r="B30" s="224"/>
      <c r="C30" s="224"/>
      <c r="D30" s="224"/>
      <c r="E30" s="224"/>
      <c r="F30" s="224"/>
      <c r="G30" s="223"/>
      <c r="H30" s="223"/>
      <c r="I30" s="224"/>
      <c r="J30" s="224"/>
      <c r="K30" s="229"/>
      <c r="L30" s="224"/>
      <c r="M30" s="224"/>
      <c r="N30" s="224"/>
      <c r="O30" s="224"/>
    </row>
    <row r="31" spans="2:60">
      <c r="B31" s="224"/>
      <c r="C31" s="224"/>
      <c r="D31" s="224"/>
      <c r="E31" s="224"/>
      <c r="F31" s="224"/>
      <c r="G31" s="223"/>
      <c r="H31" s="223"/>
      <c r="I31" s="575"/>
      <c r="J31" s="575"/>
      <c r="K31" s="575"/>
      <c r="L31" s="575"/>
      <c r="M31" s="228"/>
      <c r="N31" s="228"/>
      <c r="O31" s="228"/>
    </row>
  </sheetData>
  <sheetProtection algorithmName="SHA-512" hashValue="Cl4v/zSM1GY7GR7JWC8jxskoGb0HcOcn5S4uaor675hqKkRlcqN/0NmV3/SbCek1YDGMeGtTBeOTGO2yQiBZUQ==" saltValue="hIFs9dLGIv2wrrPJOUA4mw==" spinCount="100000" sheet="1" objects="1" scenarios="1"/>
  <mergeCells count="70">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16:B18"/>
    <mergeCell ref="C16:C18"/>
    <mergeCell ref="AD14:AE14"/>
    <mergeCell ref="AF14:AG14"/>
    <mergeCell ref="AH14:AI14"/>
    <mergeCell ref="K12:K15"/>
    <mergeCell ref="L12:L15"/>
    <mergeCell ref="M12:M15"/>
    <mergeCell ref="G12:G15"/>
    <mergeCell ref="F12:F15"/>
    <mergeCell ref="AL14:AM14"/>
    <mergeCell ref="AN14:AO14"/>
    <mergeCell ref="N12:N15"/>
    <mergeCell ref="O12:O15"/>
    <mergeCell ref="H12:H15"/>
    <mergeCell ref="I12:I15"/>
    <mergeCell ref="J12:J15"/>
    <mergeCell ref="I29:L29"/>
    <mergeCell ref="I31:L31"/>
    <mergeCell ref="B21:G21"/>
    <mergeCell ref="AX20:AZ20"/>
    <mergeCell ref="D22:O22"/>
    <mergeCell ref="E23:E24"/>
    <mergeCell ref="L23:O23"/>
    <mergeCell ref="I27:L27"/>
    <mergeCell ref="B20:AW20"/>
    <mergeCell ref="F23:J24"/>
  </mergeCells>
  <conditionalFormatting sqref="BA16:BD16 BB17:BD19">
    <cfRule type="cellIs" dxfId="35" priority="7" operator="between">
      <formula>0.7</formula>
      <formula>1</formula>
    </cfRule>
    <cfRule type="cellIs" dxfId="34" priority="8" operator="between">
      <formula>0.51</formula>
      <formula>0.69</formula>
    </cfRule>
    <cfRule type="cellIs" dxfId="33" priority="9" operator="between">
      <formula>0</formula>
      <formula>0.5</formula>
    </cfRule>
  </conditionalFormatting>
  <conditionalFormatting sqref="BA17:BA19">
    <cfRule type="cellIs" dxfId="32" priority="4" operator="between">
      <formula>0.7</formula>
      <formula>1</formula>
    </cfRule>
    <cfRule type="cellIs" dxfId="31" priority="5" operator="between">
      <formula>0.51</formula>
      <formula>0.69</formula>
    </cfRule>
    <cfRule type="cellIs" dxfId="30" priority="6" operator="between">
      <formula>0</formula>
      <formula>0.5</formula>
    </cfRule>
  </conditionalFormatting>
  <conditionalFormatting sqref="BE16:BH19">
    <cfRule type="cellIs" dxfId="29" priority="1" operator="between">
      <formula>0.7</formula>
      <formula>1</formula>
    </cfRule>
    <cfRule type="cellIs" dxfId="28" priority="2" operator="between">
      <formula>0.51</formula>
      <formula>0.69</formula>
    </cfRule>
    <cfRule type="cellIs" dxfId="27"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AB955E36-E472-4787-9142-D48752E74E1C}"/>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A89B7-1543-4B75-B529-6746382EAAB1}">
  <sheetPr>
    <tabColor rgb="FF92D050"/>
  </sheetPr>
  <dimension ref="A1:BH32"/>
  <sheetViews>
    <sheetView showGridLines="0" zoomScale="70" zoomScaleNormal="70" workbookViewId="0">
      <selection activeCell="E16" sqref="E16"/>
    </sheetView>
  </sheetViews>
  <sheetFormatPr baseColWidth="10" defaultColWidth="17.33203125" defaultRowHeight="15" customHeight="1"/>
  <cols>
    <col min="1" max="1" width="4.33203125" style="124" customWidth="1"/>
    <col min="2" max="2" width="50.44140625" style="122" customWidth="1"/>
    <col min="3" max="3" width="31.44140625" style="122" customWidth="1"/>
    <col min="4" max="4" width="49.6640625" style="122" customWidth="1"/>
    <col min="5" max="6" width="27.5546875" style="122" customWidth="1"/>
    <col min="7" max="8" width="29.33203125" style="123" customWidth="1"/>
    <col min="9" max="9" width="31" style="122" customWidth="1"/>
    <col min="10" max="10" width="46.44140625" style="122" customWidth="1"/>
    <col min="11" max="11" width="55.88671875" style="122" customWidth="1"/>
    <col min="12" max="12" width="48.44140625" style="122" customWidth="1"/>
    <col min="13" max="14" width="28.5546875" style="122" customWidth="1"/>
    <col min="15" max="15" width="50" style="122" customWidth="1"/>
    <col min="16" max="47" width="15.88671875" style="124" customWidth="1"/>
    <col min="48" max="48" width="24.5546875" style="124" customWidth="1"/>
    <col min="49" max="49" width="22.88671875" style="124" customWidth="1"/>
    <col min="50" max="50" width="19.33203125" style="124" customWidth="1"/>
    <col min="51" max="51" width="18.44140625" style="124" customWidth="1"/>
    <col min="52" max="52" width="19.44140625" style="124" customWidth="1"/>
    <col min="53" max="53" width="23.33203125" style="124" customWidth="1"/>
    <col min="54" max="55" width="25.109375" style="124" customWidth="1"/>
    <col min="56" max="56" width="26.6640625" style="124" customWidth="1"/>
    <col min="57" max="57" width="26.33203125" style="124" customWidth="1"/>
    <col min="58" max="58" width="26.5546875" style="124" customWidth="1"/>
    <col min="59" max="59" width="26.33203125" style="124" customWidth="1"/>
    <col min="60" max="60" width="27.33203125" style="124" customWidth="1"/>
    <col min="61" max="16384" width="17.33203125" style="124"/>
  </cols>
  <sheetData>
    <row r="1" spans="1:60" ht="15.6" thickBot="1"/>
    <row r="2" spans="1:60" ht="15.6" customHeight="1">
      <c r="B2" s="489" t="s">
        <v>671</v>
      </c>
      <c r="C2" s="534" t="s">
        <v>117</v>
      </c>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35"/>
      <c r="AL2" s="535"/>
      <c r="AM2" s="535"/>
      <c r="AN2" s="535"/>
      <c r="AO2" s="535"/>
      <c r="AP2" s="535"/>
      <c r="AQ2" s="535"/>
      <c r="AR2" s="535"/>
      <c r="AS2" s="535"/>
      <c r="AT2" s="535"/>
      <c r="AU2" s="535"/>
      <c r="AV2" s="535"/>
      <c r="AW2" s="535"/>
      <c r="AX2" s="535"/>
      <c r="AY2" s="535"/>
      <c r="AZ2" s="535"/>
      <c r="BA2" s="535"/>
      <c r="BB2" s="535"/>
      <c r="BC2" s="535"/>
      <c r="BD2" s="535"/>
      <c r="BE2" s="535"/>
      <c r="BF2" s="536"/>
      <c r="BG2" s="190" t="s">
        <v>31</v>
      </c>
      <c r="BH2" s="191"/>
    </row>
    <row r="3" spans="1:60" ht="15.6" customHeight="1">
      <c r="B3" s="490"/>
      <c r="C3" s="537"/>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8"/>
      <c r="AZ3" s="538"/>
      <c r="BA3" s="538"/>
      <c r="BB3" s="538"/>
      <c r="BC3" s="538"/>
      <c r="BD3" s="538"/>
      <c r="BE3" s="538"/>
      <c r="BF3" s="539"/>
      <c r="BG3" s="192" t="s">
        <v>28</v>
      </c>
      <c r="BH3" s="17" t="s">
        <v>29</v>
      </c>
    </row>
    <row r="4" spans="1:60" ht="15" customHeight="1">
      <c r="B4" s="490"/>
      <c r="C4" s="537"/>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538"/>
      <c r="BF4" s="539"/>
      <c r="BG4" s="193">
        <v>5</v>
      </c>
      <c r="BH4" s="18" t="s">
        <v>650</v>
      </c>
    </row>
    <row r="5" spans="1:60" ht="15.6" customHeight="1">
      <c r="B5" s="490"/>
      <c r="C5" s="537"/>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538"/>
      <c r="BF5" s="539"/>
      <c r="BG5" s="194" t="s">
        <v>30</v>
      </c>
      <c r="BH5" s="195"/>
    </row>
    <row r="6" spans="1:60" ht="15.6" customHeight="1" thickBot="1">
      <c r="B6" s="491"/>
      <c r="C6" s="540"/>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1"/>
      <c r="AN6" s="541"/>
      <c r="AO6" s="541"/>
      <c r="AP6" s="541"/>
      <c r="AQ6" s="541"/>
      <c r="AR6" s="541"/>
      <c r="AS6" s="541"/>
      <c r="AT6" s="541"/>
      <c r="AU6" s="541"/>
      <c r="AV6" s="541"/>
      <c r="AW6" s="541"/>
      <c r="AX6" s="541"/>
      <c r="AY6" s="541"/>
      <c r="AZ6" s="541"/>
      <c r="BA6" s="541"/>
      <c r="BB6" s="541"/>
      <c r="BC6" s="541"/>
      <c r="BD6" s="541"/>
      <c r="BE6" s="541"/>
      <c r="BF6" s="542"/>
      <c r="BG6" s="556">
        <v>43941</v>
      </c>
      <c r="BH6" s="557"/>
    </row>
    <row r="7" spans="1:60">
      <c r="B7" s="125"/>
      <c r="C7" s="125"/>
      <c r="D7" s="125"/>
      <c r="E7" s="125"/>
      <c r="F7" s="125"/>
      <c r="G7" s="126"/>
      <c r="H7" s="126"/>
      <c r="I7" s="125"/>
      <c r="J7" s="125"/>
      <c r="K7" s="125"/>
      <c r="L7" s="125"/>
      <c r="M7" s="125"/>
      <c r="N7" s="125"/>
      <c r="O7" s="125"/>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528"/>
      <c r="AX7" s="559"/>
      <c r="AY7" s="559"/>
      <c r="AZ7" s="559"/>
      <c r="BA7" s="530"/>
      <c r="BB7" s="214"/>
      <c r="BC7" s="214"/>
      <c r="BD7" s="214"/>
      <c r="BE7" s="127"/>
      <c r="BF7" s="127"/>
    </row>
    <row r="8" spans="1:60" ht="21">
      <c r="B8" s="196" t="s">
        <v>45</v>
      </c>
      <c r="C8" s="576" t="s">
        <v>95</v>
      </c>
      <c r="D8" s="576"/>
      <c r="E8" s="197"/>
      <c r="F8" s="197"/>
      <c r="G8" s="197"/>
      <c r="H8" s="197"/>
      <c r="I8" s="197"/>
      <c r="J8" s="197"/>
      <c r="K8" s="197"/>
      <c r="L8" s="197"/>
      <c r="M8" s="197"/>
      <c r="N8" s="197"/>
      <c r="O8" s="197"/>
      <c r="AW8" s="214"/>
      <c r="AX8" s="214"/>
      <c r="AY8" s="214"/>
      <c r="AZ8" s="214"/>
      <c r="BA8" s="214"/>
      <c r="BB8" s="214"/>
      <c r="BC8" s="214"/>
      <c r="BD8" s="214"/>
    </row>
    <row r="9" spans="1:60" ht="75.75" customHeight="1">
      <c r="B9" s="196" t="s">
        <v>34</v>
      </c>
      <c r="C9" s="644" t="s">
        <v>523</v>
      </c>
      <c r="D9" s="515"/>
      <c r="E9" s="197"/>
      <c r="F9" s="197"/>
      <c r="G9" s="197"/>
      <c r="H9" s="197"/>
      <c r="I9" s="197"/>
      <c r="J9" s="197"/>
      <c r="K9" s="197"/>
      <c r="L9" s="197"/>
      <c r="M9" s="197"/>
      <c r="N9" s="197"/>
      <c r="O9" s="197"/>
      <c r="AW9" s="214"/>
      <c r="AX9" s="214"/>
      <c r="AY9" s="214"/>
      <c r="AZ9" s="214"/>
      <c r="BA9" s="214"/>
      <c r="BB9" s="214"/>
      <c r="BC9" s="214"/>
      <c r="BD9" s="214"/>
    </row>
    <row r="10" spans="1:60" ht="24.6">
      <c r="B10" s="196" t="s">
        <v>100</v>
      </c>
      <c r="C10" s="516">
        <v>2022</v>
      </c>
      <c r="D10" s="517"/>
      <c r="E10" s="197"/>
      <c r="F10" s="197"/>
      <c r="G10" s="197"/>
      <c r="H10" s="197"/>
      <c r="I10" s="197"/>
      <c r="J10" s="197"/>
      <c r="K10" s="197"/>
      <c r="L10" s="197"/>
      <c r="M10" s="197"/>
      <c r="N10" s="197"/>
      <c r="O10" s="197"/>
      <c r="AW10" s="214"/>
      <c r="AX10" s="214"/>
      <c r="AY10" s="214"/>
      <c r="AZ10" s="214"/>
      <c r="BA10" s="214"/>
      <c r="BB10" s="214"/>
      <c r="BC10" s="214"/>
      <c r="BD10" s="214"/>
    </row>
    <row r="11" spans="1:60">
      <c r="B11" s="125"/>
      <c r="C11" s="125"/>
      <c r="D11" s="125"/>
      <c r="E11" s="125"/>
      <c r="F11" s="125"/>
      <c r="G11" s="126"/>
      <c r="H11" s="126"/>
      <c r="I11" s="125"/>
      <c r="J11" s="125"/>
      <c r="K11" s="125"/>
      <c r="L11" s="125"/>
      <c r="M11" s="125"/>
      <c r="N11" s="125"/>
      <c r="O11" s="125"/>
      <c r="AW11" s="214"/>
      <c r="AX11" s="214"/>
      <c r="AY11" s="214"/>
      <c r="AZ11" s="214"/>
      <c r="BA11" s="214"/>
      <c r="BB11" s="214"/>
      <c r="BC11" s="214"/>
      <c r="BD11" s="214"/>
    </row>
    <row r="12" spans="1:60" ht="27.6" customHeight="1">
      <c r="B12" s="488" t="s">
        <v>0</v>
      </c>
      <c r="C12" s="488" t="s">
        <v>52</v>
      </c>
      <c r="D12" s="526" t="s">
        <v>674</v>
      </c>
      <c r="E12" s="488" t="s">
        <v>60</v>
      </c>
      <c r="F12" s="527" t="s">
        <v>743</v>
      </c>
      <c r="G12" s="488" t="s">
        <v>57</v>
      </c>
      <c r="H12" s="488" t="s">
        <v>25</v>
      </c>
      <c r="I12" s="488" t="s">
        <v>59</v>
      </c>
      <c r="J12" s="488" t="s">
        <v>39</v>
      </c>
      <c r="K12" s="488" t="s">
        <v>36</v>
      </c>
      <c r="L12" s="488" t="s">
        <v>20</v>
      </c>
      <c r="M12" s="488" t="s">
        <v>51</v>
      </c>
      <c r="N12" s="488" t="s">
        <v>40</v>
      </c>
      <c r="O12" s="488" t="s">
        <v>42</v>
      </c>
      <c r="P12" s="533" t="s">
        <v>111</v>
      </c>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3"/>
      <c r="AN12" s="533"/>
      <c r="AO12" s="533"/>
      <c r="AP12" s="533"/>
      <c r="AQ12" s="533"/>
      <c r="AR12" s="533"/>
      <c r="AS12" s="533"/>
      <c r="AT12" s="533"/>
      <c r="AU12" s="533"/>
      <c r="AV12" s="531" t="s">
        <v>61</v>
      </c>
      <c r="AW12" s="520" t="s">
        <v>675</v>
      </c>
      <c r="AX12" s="521"/>
      <c r="AY12" s="521"/>
      <c r="AZ12" s="522"/>
      <c r="BA12" s="508" t="s">
        <v>676</v>
      </c>
      <c r="BB12" s="509"/>
      <c r="BC12" s="509"/>
      <c r="BD12" s="510"/>
      <c r="BE12" s="502" t="s">
        <v>677</v>
      </c>
      <c r="BF12" s="503"/>
      <c r="BG12" s="503"/>
      <c r="BH12" s="504"/>
    </row>
    <row r="13" spans="1:60" ht="15.6">
      <c r="B13" s="488"/>
      <c r="C13" s="488"/>
      <c r="D13" s="526"/>
      <c r="E13" s="488"/>
      <c r="F13" s="527"/>
      <c r="G13" s="488"/>
      <c r="H13" s="488"/>
      <c r="I13" s="488"/>
      <c r="J13" s="488"/>
      <c r="K13" s="488"/>
      <c r="L13" s="488"/>
      <c r="M13" s="488"/>
      <c r="N13" s="488"/>
      <c r="O13" s="488"/>
      <c r="P13" s="532" t="s">
        <v>21</v>
      </c>
      <c r="Q13" s="532"/>
      <c r="R13" s="532"/>
      <c r="S13" s="532"/>
      <c r="T13" s="532"/>
      <c r="U13" s="532"/>
      <c r="V13" s="532"/>
      <c r="W13" s="532"/>
      <c r="X13" s="532" t="s">
        <v>22</v>
      </c>
      <c r="Y13" s="532"/>
      <c r="Z13" s="532"/>
      <c r="AA13" s="532"/>
      <c r="AB13" s="532"/>
      <c r="AC13" s="532"/>
      <c r="AD13" s="532"/>
      <c r="AE13" s="532"/>
      <c r="AF13" s="532" t="s">
        <v>23</v>
      </c>
      <c r="AG13" s="532"/>
      <c r="AH13" s="532"/>
      <c r="AI13" s="532"/>
      <c r="AJ13" s="532"/>
      <c r="AK13" s="532"/>
      <c r="AL13" s="532"/>
      <c r="AM13" s="532"/>
      <c r="AN13" s="532" t="s">
        <v>24</v>
      </c>
      <c r="AO13" s="532"/>
      <c r="AP13" s="532"/>
      <c r="AQ13" s="532"/>
      <c r="AR13" s="532"/>
      <c r="AS13" s="532"/>
      <c r="AT13" s="532"/>
      <c r="AU13" s="532"/>
      <c r="AV13" s="531"/>
      <c r="AW13" s="523" t="s">
        <v>118</v>
      </c>
      <c r="AX13" s="523" t="s">
        <v>22</v>
      </c>
      <c r="AY13" s="523" t="s">
        <v>119</v>
      </c>
      <c r="AZ13" s="523" t="s">
        <v>120</v>
      </c>
      <c r="BA13" s="511" t="s">
        <v>118</v>
      </c>
      <c r="BB13" s="511" t="s">
        <v>121</v>
      </c>
      <c r="BC13" s="511" t="s">
        <v>122</v>
      </c>
      <c r="BD13" s="511" t="s">
        <v>123</v>
      </c>
      <c r="BE13" s="505" t="s">
        <v>21</v>
      </c>
      <c r="BF13" s="505" t="s">
        <v>22</v>
      </c>
      <c r="BG13" s="505" t="s">
        <v>23</v>
      </c>
      <c r="BH13" s="505" t="s">
        <v>24</v>
      </c>
    </row>
    <row r="14" spans="1:60" ht="15.6">
      <c r="B14" s="488"/>
      <c r="C14" s="488"/>
      <c r="D14" s="526"/>
      <c r="E14" s="488"/>
      <c r="F14" s="527"/>
      <c r="G14" s="488"/>
      <c r="H14" s="488"/>
      <c r="I14" s="488"/>
      <c r="J14" s="488"/>
      <c r="K14" s="488"/>
      <c r="L14" s="488"/>
      <c r="M14" s="488"/>
      <c r="N14" s="488"/>
      <c r="O14" s="488"/>
      <c r="P14" s="571" t="s">
        <v>5</v>
      </c>
      <c r="Q14" s="571"/>
      <c r="R14" s="571" t="s">
        <v>6</v>
      </c>
      <c r="S14" s="571"/>
      <c r="T14" s="571" t="s">
        <v>7</v>
      </c>
      <c r="U14" s="571"/>
      <c r="V14" s="533" t="s">
        <v>8</v>
      </c>
      <c r="W14" s="533"/>
      <c r="X14" s="571" t="s">
        <v>27</v>
      </c>
      <c r="Y14" s="571"/>
      <c r="Z14" s="571" t="s">
        <v>9</v>
      </c>
      <c r="AA14" s="571"/>
      <c r="AB14" s="571" t="s">
        <v>10</v>
      </c>
      <c r="AC14" s="571"/>
      <c r="AD14" s="533" t="s">
        <v>8</v>
      </c>
      <c r="AE14" s="533"/>
      <c r="AF14" s="571" t="s">
        <v>11</v>
      </c>
      <c r="AG14" s="571"/>
      <c r="AH14" s="571" t="s">
        <v>12</v>
      </c>
      <c r="AI14" s="571"/>
      <c r="AJ14" s="571" t="s">
        <v>13</v>
      </c>
      <c r="AK14" s="571"/>
      <c r="AL14" s="533" t="s">
        <v>8</v>
      </c>
      <c r="AM14" s="533"/>
      <c r="AN14" s="571" t="s">
        <v>14</v>
      </c>
      <c r="AO14" s="571"/>
      <c r="AP14" s="571" t="s">
        <v>15</v>
      </c>
      <c r="AQ14" s="571"/>
      <c r="AR14" s="571" t="s">
        <v>16</v>
      </c>
      <c r="AS14" s="571"/>
      <c r="AT14" s="533" t="s">
        <v>8</v>
      </c>
      <c r="AU14" s="533"/>
      <c r="AV14" s="531"/>
      <c r="AW14" s="524"/>
      <c r="AX14" s="524"/>
      <c r="AY14" s="524"/>
      <c r="AZ14" s="524"/>
      <c r="BA14" s="512"/>
      <c r="BB14" s="512"/>
      <c r="BC14" s="512"/>
      <c r="BD14" s="512"/>
      <c r="BE14" s="506"/>
      <c r="BF14" s="506"/>
      <c r="BG14" s="506"/>
      <c r="BH14" s="506"/>
    </row>
    <row r="15" spans="1:60" ht="13.2" customHeight="1">
      <c r="B15" s="488"/>
      <c r="C15" s="488"/>
      <c r="D15" s="526"/>
      <c r="E15" s="488"/>
      <c r="F15" s="527"/>
      <c r="G15" s="488"/>
      <c r="H15" s="488"/>
      <c r="I15" s="488"/>
      <c r="J15" s="488"/>
      <c r="K15" s="488"/>
      <c r="L15" s="488"/>
      <c r="M15" s="488"/>
      <c r="N15" s="488"/>
      <c r="O15" s="488"/>
      <c r="P15" s="215" t="s">
        <v>17</v>
      </c>
      <c r="Q15" s="216" t="s">
        <v>18</v>
      </c>
      <c r="R15" s="215" t="s">
        <v>17</v>
      </c>
      <c r="S15" s="216" t="s">
        <v>18</v>
      </c>
      <c r="T15" s="215" t="s">
        <v>17</v>
      </c>
      <c r="U15" s="216" t="s">
        <v>18</v>
      </c>
      <c r="V15" s="61" t="s">
        <v>17</v>
      </c>
      <c r="W15" s="62" t="s">
        <v>18</v>
      </c>
      <c r="X15" s="215" t="s">
        <v>17</v>
      </c>
      <c r="Y15" s="216" t="s">
        <v>18</v>
      </c>
      <c r="Z15" s="215" t="s">
        <v>17</v>
      </c>
      <c r="AA15" s="216" t="s">
        <v>18</v>
      </c>
      <c r="AB15" s="215" t="s">
        <v>17</v>
      </c>
      <c r="AC15" s="216" t="s">
        <v>18</v>
      </c>
      <c r="AD15" s="61" t="s">
        <v>17</v>
      </c>
      <c r="AE15" s="62" t="s">
        <v>18</v>
      </c>
      <c r="AF15" s="215" t="s">
        <v>17</v>
      </c>
      <c r="AG15" s="216" t="s">
        <v>18</v>
      </c>
      <c r="AH15" s="215" t="s">
        <v>17</v>
      </c>
      <c r="AI15" s="216" t="s">
        <v>18</v>
      </c>
      <c r="AJ15" s="215" t="s">
        <v>17</v>
      </c>
      <c r="AK15" s="216" t="s">
        <v>18</v>
      </c>
      <c r="AL15" s="61" t="s">
        <v>17</v>
      </c>
      <c r="AM15" s="62" t="s">
        <v>18</v>
      </c>
      <c r="AN15" s="215" t="s">
        <v>17</v>
      </c>
      <c r="AO15" s="216" t="s">
        <v>18</v>
      </c>
      <c r="AP15" s="215" t="s">
        <v>17</v>
      </c>
      <c r="AQ15" s="216" t="s">
        <v>18</v>
      </c>
      <c r="AR15" s="215" t="s">
        <v>17</v>
      </c>
      <c r="AS15" s="216" t="s">
        <v>18</v>
      </c>
      <c r="AT15" s="61" t="s">
        <v>17</v>
      </c>
      <c r="AU15" s="62" t="s">
        <v>18</v>
      </c>
      <c r="AV15" s="531"/>
      <c r="AW15" s="525"/>
      <c r="AX15" s="525"/>
      <c r="AY15" s="525"/>
      <c r="AZ15" s="525"/>
      <c r="BA15" s="513"/>
      <c r="BB15" s="513"/>
      <c r="BC15" s="513"/>
      <c r="BD15" s="513"/>
      <c r="BE15" s="507"/>
      <c r="BF15" s="507"/>
      <c r="BG15" s="507"/>
      <c r="BH15" s="507"/>
    </row>
    <row r="16" spans="1:60" ht="90" customHeight="1">
      <c r="A16" s="251"/>
      <c r="B16" s="500"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500" t="str">
        <f>+'01-FR-03 POA INSTITUCIONAL'!C69</f>
        <v>4.4. Implementar el 100% de las acciones necesarias para la modernización de la gestión institucional a través de los procesos de apoyo, que permita una mejor prestación del servicio.</v>
      </c>
      <c r="D16" s="19" t="str">
        <f>+'01-FR-03 POA INSTITUCIONAL'!D79</f>
        <v>4.4.11  Representar a la Entidad en el 100% de los procesos judiciales en los cuales la sea vinculada o demandada.</v>
      </c>
      <c r="E16" s="37">
        <f>+'01-FR-03 POA INSTITUCIONAL'!E79</f>
        <v>0.05</v>
      </c>
      <c r="F16" s="149">
        <f>+'01-FR-03 POA INSTITUCIONAL'!F79</f>
        <v>1</v>
      </c>
      <c r="G16" s="149">
        <f>+'01-FR-03 POA INSTITUCIONAL'!L79</f>
        <v>1</v>
      </c>
      <c r="H16" s="21">
        <f>+'01-FR-03 POA INSTITUCIONAL'!G79</f>
        <v>1</v>
      </c>
      <c r="I16" s="129" t="str">
        <f>+'01-FR-03 POA INSTITUCIONAL'!H79</f>
        <v>Porcentaje de procesos judiciales en los que se vincule o demande a la Entidad, objeto de representación oportuna</v>
      </c>
      <c r="J16" s="296" t="s">
        <v>512</v>
      </c>
      <c r="K16" s="201" t="s">
        <v>513</v>
      </c>
      <c r="L16" s="201" t="s">
        <v>514</v>
      </c>
      <c r="M16" s="201" t="s">
        <v>515</v>
      </c>
      <c r="N16" s="201" t="s">
        <v>516</v>
      </c>
      <c r="O16" s="297" t="str">
        <f>+'01-FR-03 POA INSTITUCIONAL'!J79</f>
        <v>Oficina Asesora Jurídica</v>
      </c>
      <c r="P16" s="295">
        <v>1</v>
      </c>
      <c r="Q16" s="219"/>
      <c r="R16" s="295">
        <v>1</v>
      </c>
      <c r="S16" s="219"/>
      <c r="T16" s="295">
        <v>1</v>
      </c>
      <c r="U16" s="219"/>
      <c r="V16" s="75">
        <f>AVERAGE(P16,R16,T16)</f>
        <v>1</v>
      </c>
      <c r="W16" s="75">
        <f>IFERROR(AVERAGE(Q16,S16,U16),0)</f>
        <v>0</v>
      </c>
      <c r="X16" s="295">
        <v>1</v>
      </c>
      <c r="Y16" s="219"/>
      <c r="Z16" s="295">
        <v>1</v>
      </c>
      <c r="AA16" s="219"/>
      <c r="AB16" s="295">
        <v>1</v>
      </c>
      <c r="AC16" s="219"/>
      <c r="AD16" s="75">
        <f>AVERAGE(X16,Z16,AB16)</f>
        <v>1</v>
      </c>
      <c r="AE16" s="75">
        <f>IFERROR(AVERAGE(Y16,AA16,AC16),0)</f>
        <v>0</v>
      </c>
      <c r="AF16" s="295">
        <v>1</v>
      </c>
      <c r="AG16" s="219"/>
      <c r="AH16" s="295">
        <v>1</v>
      </c>
      <c r="AI16" s="219"/>
      <c r="AJ16" s="295">
        <v>1</v>
      </c>
      <c r="AK16" s="220"/>
      <c r="AL16" s="75">
        <f>AVERAGE(AF16,AH16,AJ16)</f>
        <v>1</v>
      </c>
      <c r="AM16" s="75">
        <f>IFERROR(AVERAGE(AG16,AI16,AK16),0)</f>
        <v>0</v>
      </c>
      <c r="AN16" s="295">
        <v>1</v>
      </c>
      <c r="AO16" s="219"/>
      <c r="AP16" s="295">
        <v>1</v>
      </c>
      <c r="AQ16" s="219"/>
      <c r="AR16" s="295">
        <v>1</v>
      </c>
      <c r="AS16" s="219"/>
      <c r="AT16" s="75">
        <f>AVERAGE(AN16,AP16,AR16)</f>
        <v>1</v>
      </c>
      <c r="AU16" s="75">
        <f>IFERROR(AVERAGE(AO16,AQ16,AS16),0)</f>
        <v>0</v>
      </c>
      <c r="AV16" s="75">
        <f>AVERAGE(P16,R16,T16,X16,Z16,AB16,AF16,AH16,AJ16,AN16,AP16,AR16)</f>
        <v>1</v>
      </c>
      <c r="AW16" s="66">
        <f>+W16</f>
        <v>0</v>
      </c>
      <c r="AX16" s="66">
        <f>+W16+AE16</f>
        <v>0</v>
      </c>
      <c r="AY16" s="66">
        <f>+W16+AE16+AM16</f>
        <v>0</v>
      </c>
      <c r="AZ16" s="66">
        <f>+W16+AE16+AM16+AU16</f>
        <v>0</v>
      </c>
      <c r="BA16" s="28">
        <f>IF(AND(AW16&gt;0,$AV16&gt;0),AW16/$AV16,0)</f>
        <v>0</v>
      </c>
      <c r="BB16" s="28">
        <f t="shared" ref="BB16:BD20" si="0">IF(AND(AX16&gt;0,$AV16&gt;0),AX16/$AV16,0)</f>
        <v>0</v>
      </c>
      <c r="BC16" s="28">
        <f t="shared" si="0"/>
        <v>0</v>
      </c>
      <c r="BD16" s="28">
        <f t="shared" si="0"/>
        <v>0</v>
      </c>
      <c r="BE16" s="28">
        <f t="shared" ref="BE16:BH20" si="1">(IF(AND(AW16&gt;0,$AV16&gt;0),AW16/$AV16,0))*$E16</f>
        <v>0</v>
      </c>
      <c r="BF16" s="28">
        <f t="shared" si="1"/>
        <v>0</v>
      </c>
      <c r="BG16" s="28">
        <f t="shared" si="1"/>
        <v>0</v>
      </c>
      <c r="BH16" s="28">
        <f t="shared" si="1"/>
        <v>0</v>
      </c>
    </row>
    <row r="17" spans="1:60" ht="150">
      <c r="A17" s="251"/>
      <c r="B17" s="501"/>
      <c r="C17" s="501"/>
      <c r="D17" s="19" t="str">
        <f>+'01-FR-03 POA INSTITUCIONAL'!D80</f>
        <v xml:space="preserve">4.4.12 Defender judicialmente a la Entidad en el 100% de las acciones de tutela en las cuales sea vinculada o accionada </v>
      </c>
      <c r="E17" s="37">
        <f>+'01-FR-03 POA INSTITUCIONAL'!E80</f>
        <v>0.05</v>
      </c>
      <c r="F17" s="149">
        <f>+'01-FR-03 POA INSTITUCIONAL'!F80</f>
        <v>1</v>
      </c>
      <c r="G17" s="149">
        <f>+'01-FR-03 POA INSTITUCIONAL'!L80</f>
        <v>1</v>
      </c>
      <c r="H17" s="21">
        <f>+'01-FR-03 POA INSTITUCIONAL'!G80</f>
        <v>1</v>
      </c>
      <c r="I17" s="129" t="str">
        <f>+'01-FR-03 POA INSTITUCIONAL'!H80</f>
        <v xml:space="preserve">Porcentaje de acciones de tutela en las cuales se defienda judicialmente a la Entidad oportunamente </v>
      </c>
      <c r="J17" s="296" t="s">
        <v>517</v>
      </c>
      <c r="K17" s="217" t="s">
        <v>518</v>
      </c>
      <c r="L17" s="201" t="s">
        <v>514</v>
      </c>
      <c r="M17" s="201" t="s">
        <v>515</v>
      </c>
      <c r="N17" s="201" t="s">
        <v>516</v>
      </c>
      <c r="O17" s="297" t="str">
        <f>+'01-FR-03 POA INSTITUCIONAL'!J80</f>
        <v>Oficina Asesora Jurídica</v>
      </c>
      <c r="P17" s="295">
        <v>1</v>
      </c>
      <c r="Q17" s="219"/>
      <c r="R17" s="295">
        <v>1</v>
      </c>
      <c r="S17" s="219"/>
      <c r="T17" s="295">
        <v>1</v>
      </c>
      <c r="U17" s="219"/>
      <c r="V17" s="75">
        <f t="shared" ref="V17:V19" si="2">AVERAGE(P17,R17,T17)</f>
        <v>1</v>
      </c>
      <c r="W17" s="75">
        <f t="shared" ref="W17:W19" si="3">IFERROR(AVERAGE(Q17,S17,U17),0)</f>
        <v>0</v>
      </c>
      <c r="X17" s="295">
        <v>1</v>
      </c>
      <c r="Y17" s="219"/>
      <c r="Z17" s="295">
        <v>1</v>
      </c>
      <c r="AA17" s="219"/>
      <c r="AB17" s="295">
        <v>1</v>
      </c>
      <c r="AC17" s="219"/>
      <c r="AD17" s="75">
        <f t="shared" ref="AD17:AD19" si="4">AVERAGE(X17,Z17,AB17)</f>
        <v>1</v>
      </c>
      <c r="AE17" s="75">
        <f t="shared" ref="AE17:AE19" si="5">IFERROR(AVERAGE(Y17,AA17,AC17),0)</f>
        <v>0</v>
      </c>
      <c r="AF17" s="295">
        <v>1</v>
      </c>
      <c r="AG17" s="219"/>
      <c r="AH17" s="295">
        <v>1</v>
      </c>
      <c r="AI17" s="219"/>
      <c r="AJ17" s="295">
        <v>1</v>
      </c>
      <c r="AK17" s="220"/>
      <c r="AL17" s="75">
        <f t="shared" ref="AL17:AL19" si="6">AVERAGE(AF17,AH17,AJ17)</f>
        <v>1</v>
      </c>
      <c r="AM17" s="75">
        <f t="shared" ref="AM17:AM19" si="7">IFERROR(AVERAGE(AG17,AI17,AK17),0)</f>
        <v>0</v>
      </c>
      <c r="AN17" s="295">
        <v>1</v>
      </c>
      <c r="AO17" s="219"/>
      <c r="AP17" s="295">
        <v>1</v>
      </c>
      <c r="AQ17" s="219"/>
      <c r="AR17" s="295">
        <v>1</v>
      </c>
      <c r="AS17" s="219"/>
      <c r="AT17" s="75">
        <f t="shared" ref="AT17:AT19" si="8">AVERAGE(AN17,AP17,AR17)</f>
        <v>1</v>
      </c>
      <c r="AU17" s="75">
        <f t="shared" ref="AU17:AU19" si="9">IFERROR(AVERAGE(AO17,AQ17,AS17),0)</f>
        <v>0</v>
      </c>
      <c r="AV17" s="75">
        <f t="shared" ref="AV17:AV19" si="10">AVERAGE(P17,R17,T17,X17,Z17,AB17,AF17,AH17,AJ17,AN17,AP17,AR17)</f>
        <v>1</v>
      </c>
      <c r="AW17" s="66">
        <f t="shared" ref="AW17:AW20" si="11">+W17</f>
        <v>0</v>
      </c>
      <c r="AX17" s="66">
        <f t="shared" ref="AX17:AX20" si="12">+W17+AE17</f>
        <v>0</v>
      </c>
      <c r="AY17" s="66">
        <f t="shared" ref="AY17:AY20" si="13">+W17+AE17+AM17</f>
        <v>0</v>
      </c>
      <c r="AZ17" s="66">
        <f t="shared" ref="AZ17:AZ20" si="14">+W17+AE17+AM17+AU17</f>
        <v>0</v>
      </c>
      <c r="BA17" s="28">
        <f>IF(AND(AW17&gt;0,AV17&gt;0),AW17/AV17,0)</f>
        <v>0</v>
      </c>
      <c r="BB17" s="28">
        <f t="shared" si="0"/>
        <v>0</v>
      </c>
      <c r="BC17" s="28">
        <f t="shared" si="0"/>
        <v>0</v>
      </c>
      <c r="BD17" s="28">
        <f t="shared" si="0"/>
        <v>0</v>
      </c>
      <c r="BE17" s="28">
        <f t="shared" si="1"/>
        <v>0</v>
      </c>
      <c r="BF17" s="28">
        <f t="shared" si="1"/>
        <v>0</v>
      </c>
      <c r="BG17" s="28">
        <f t="shared" si="1"/>
        <v>0</v>
      </c>
      <c r="BH17" s="28">
        <f t="shared" si="1"/>
        <v>0</v>
      </c>
    </row>
    <row r="18" spans="1:60" ht="75">
      <c r="A18" s="251"/>
      <c r="B18" s="501"/>
      <c r="C18" s="501"/>
      <c r="D18" s="19" t="str">
        <f>+'01-FR-03 POA INSTITUCIONAL'!D81</f>
        <v>4.4.13 Emitir oportunamente el 100% de los conceptos jurídicos solicitados por el Despacho del Personero de Bogotá o sus delegados.</v>
      </c>
      <c r="E18" s="37">
        <f>+'01-FR-03 POA INSTITUCIONAL'!E81</f>
        <v>0.05</v>
      </c>
      <c r="F18" s="149">
        <f>+'01-FR-03 POA INSTITUCIONAL'!F81</f>
        <v>1</v>
      </c>
      <c r="G18" s="149">
        <f>+'01-FR-03 POA INSTITUCIONAL'!L81</f>
        <v>1</v>
      </c>
      <c r="H18" s="21">
        <f>+'01-FR-03 POA INSTITUCIONAL'!G81</f>
        <v>1</v>
      </c>
      <c r="I18" s="129" t="str">
        <f>+'01-FR-03 POA INSTITUCIONAL'!H81</f>
        <v>Porcentaje de conceptos de competencia de la dependencia emitidos oportunamente</v>
      </c>
      <c r="J18" s="296" t="s">
        <v>519</v>
      </c>
      <c r="K18" s="217" t="s">
        <v>520</v>
      </c>
      <c r="L18" s="201" t="s">
        <v>521</v>
      </c>
      <c r="M18" s="201" t="s">
        <v>515</v>
      </c>
      <c r="N18" s="201" t="s">
        <v>516</v>
      </c>
      <c r="O18" s="297" t="str">
        <f>+'01-FR-03 POA INSTITUCIONAL'!J81</f>
        <v>Oficina Asesora Jurídica</v>
      </c>
      <c r="P18" s="295">
        <v>1</v>
      </c>
      <c r="Q18" s="219"/>
      <c r="R18" s="295">
        <v>1</v>
      </c>
      <c r="S18" s="219"/>
      <c r="T18" s="295">
        <v>1</v>
      </c>
      <c r="U18" s="219"/>
      <c r="V18" s="75">
        <f t="shared" si="2"/>
        <v>1</v>
      </c>
      <c r="W18" s="75">
        <f t="shared" si="3"/>
        <v>0</v>
      </c>
      <c r="X18" s="295">
        <v>1</v>
      </c>
      <c r="Y18" s="219"/>
      <c r="Z18" s="295">
        <v>1</v>
      </c>
      <c r="AA18" s="219"/>
      <c r="AB18" s="295">
        <v>1</v>
      </c>
      <c r="AC18" s="219"/>
      <c r="AD18" s="75">
        <f t="shared" si="4"/>
        <v>1</v>
      </c>
      <c r="AE18" s="75">
        <f t="shared" si="5"/>
        <v>0</v>
      </c>
      <c r="AF18" s="295">
        <v>1</v>
      </c>
      <c r="AG18" s="219"/>
      <c r="AH18" s="295">
        <v>1</v>
      </c>
      <c r="AI18" s="219"/>
      <c r="AJ18" s="295">
        <v>1</v>
      </c>
      <c r="AK18" s="220"/>
      <c r="AL18" s="75">
        <f t="shared" si="6"/>
        <v>1</v>
      </c>
      <c r="AM18" s="75">
        <f t="shared" si="7"/>
        <v>0</v>
      </c>
      <c r="AN18" s="295">
        <v>1</v>
      </c>
      <c r="AO18" s="219"/>
      <c r="AP18" s="295">
        <v>1</v>
      </c>
      <c r="AQ18" s="219"/>
      <c r="AR18" s="295">
        <v>1</v>
      </c>
      <c r="AS18" s="219"/>
      <c r="AT18" s="75">
        <f t="shared" si="8"/>
        <v>1</v>
      </c>
      <c r="AU18" s="75">
        <f t="shared" si="9"/>
        <v>0</v>
      </c>
      <c r="AV18" s="75">
        <f t="shared" si="10"/>
        <v>1</v>
      </c>
      <c r="AW18" s="66">
        <f t="shared" si="11"/>
        <v>0</v>
      </c>
      <c r="AX18" s="66">
        <f t="shared" si="12"/>
        <v>0</v>
      </c>
      <c r="AY18" s="66">
        <f t="shared" si="13"/>
        <v>0</v>
      </c>
      <c r="AZ18" s="66">
        <f t="shared" si="14"/>
        <v>0</v>
      </c>
      <c r="BA18" s="28">
        <f t="shared" ref="BA18:BA20" si="15">IF(AND(AW18&gt;0,AV18&gt;0),AW18/AV18,0)</f>
        <v>0</v>
      </c>
      <c r="BB18" s="28">
        <f t="shared" si="0"/>
        <v>0</v>
      </c>
      <c r="BC18" s="28">
        <f t="shared" si="0"/>
        <v>0</v>
      </c>
      <c r="BD18" s="28">
        <f t="shared" si="0"/>
        <v>0</v>
      </c>
      <c r="BE18" s="28">
        <f t="shared" si="1"/>
        <v>0</v>
      </c>
      <c r="BF18" s="28">
        <f t="shared" si="1"/>
        <v>0</v>
      </c>
      <c r="BG18" s="28">
        <f t="shared" si="1"/>
        <v>0</v>
      </c>
      <c r="BH18" s="28">
        <f t="shared" si="1"/>
        <v>0</v>
      </c>
    </row>
    <row r="19" spans="1:60" ht="104.4" customHeight="1">
      <c r="A19" s="251"/>
      <c r="B19" s="501"/>
      <c r="C19" s="501"/>
      <c r="D19" s="500" t="str">
        <f>+'01-FR-03 POA INSTITUCIONAL'!D82</f>
        <v>4.4.14 Registrar el 100% de los reportes de las sanciones disciplinarias de los servidores públicos distritales.</v>
      </c>
      <c r="E19" s="460">
        <f>+'01-FR-03 POA INSTITUCIONAL'!E82</f>
        <v>0.05</v>
      </c>
      <c r="F19" s="149">
        <f>+'01-FR-03 POA INSTITUCIONAL'!F82</f>
        <v>1</v>
      </c>
      <c r="G19" s="149">
        <f>+'01-FR-03 POA INSTITUCIONAL'!L82</f>
        <v>1</v>
      </c>
      <c r="H19" s="21">
        <f>+'01-FR-03 POA INSTITUCIONAL'!G82</f>
        <v>1</v>
      </c>
      <c r="I19" s="129" t="str">
        <f>+'01-FR-03 POA INSTITUCIONAL'!H82</f>
        <v>Porcentaje de reportes de la base de datos de sanciones disciplinarias registrados</v>
      </c>
      <c r="J19" s="296" t="s">
        <v>525</v>
      </c>
      <c r="K19" s="201" t="s">
        <v>526</v>
      </c>
      <c r="L19" s="201" t="s">
        <v>522</v>
      </c>
      <c r="M19" s="201" t="s">
        <v>515</v>
      </c>
      <c r="N19" s="201" t="s">
        <v>516</v>
      </c>
      <c r="O19" s="297" t="str">
        <f>+'01-FR-03 POA INSTITUCIONAL'!J82</f>
        <v>Oficina Asesora Jurídica</v>
      </c>
      <c r="P19" s="295">
        <v>1</v>
      </c>
      <c r="Q19" s="219"/>
      <c r="R19" s="295">
        <v>1</v>
      </c>
      <c r="S19" s="219"/>
      <c r="T19" s="295">
        <v>1</v>
      </c>
      <c r="U19" s="219"/>
      <c r="V19" s="75">
        <f t="shared" si="2"/>
        <v>1</v>
      </c>
      <c r="W19" s="75">
        <f t="shared" si="3"/>
        <v>0</v>
      </c>
      <c r="X19" s="295">
        <v>1</v>
      </c>
      <c r="Y19" s="219"/>
      <c r="Z19" s="295">
        <v>1</v>
      </c>
      <c r="AA19" s="219"/>
      <c r="AB19" s="295">
        <v>1</v>
      </c>
      <c r="AC19" s="219"/>
      <c r="AD19" s="75">
        <f t="shared" si="4"/>
        <v>1</v>
      </c>
      <c r="AE19" s="75">
        <f t="shared" si="5"/>
        <v>0</v>
      </c>
      <c r="AF19" s="295">
        <v>1</v>
      </c>
      <c r="AG19" s="219"/>
      <c r="AH19" s="295">
        <v>1</v>
      </c>
      <c r="AI19" s="219"/>
      <c r="AJ19" s="295">
        <v>1</v>
      </c>
      <c r="AK19" s="220"/>
      <c r="AL19" s="75">
        <f t="shared" si="6"/>
        <v>1</v>
      </c>
      <c r="AM19" s="75">
        <f t="shared" si="7"/>
        <v>0</v>
      </c>
      <c r="AN19" s="295">
        <v>1</v>
      </c>
      <c r="AO19" s="219"/>
      <c r="AP19" s="295">
        <v>1</v>
      </c>
      <c r="AQ19" s="219"/>
      <c r="AR19" s="295">
        <v>1</v>
      </c>
      <c r="AS19" s="219"/>
      <c r="AT19" s="75">
        <f t="shared" si="8"/>
        <v>1</v>
      </c>
      <c r="AU19" s="75">
        <f t="shared" si="9"/>
        <v>0</v>
      </c>
      <c r="AV19" s="75">
        <f t="shared" si="10"/>
        <v>1</v>
      </c>
      <c r="AW19" s="66">
        <f t="shared" si="11"/>
        <v>0</v>
      </c>
      <c r="AX19" s="66">
        <f t="shared" si="12"/>
        <v>0</v>
      </c>
      <c r="AY19" s="66">
        <f t="shared" si="13"/>
        <v>0</v>
      </c>
      <c r="AZ19" s="66">
        <f t="shared" si="14"/>
        <v>0</v>
      </c>
      <c r="BA19" s="28">
        <f t="shared" si="15"/>
        <v>0</v>
      </c>
      <c r="BB19" s="28">
        <f t="shared" si="0"/>
        <v>0</v>
      </c>
      <c r="BC19" s="28">
        <f t="shared" si="0"/>
        <v>0</v>
      </c>
      <c r="BD19" s="28">
        <f t="shared" si="0"/>
        <v>0</v>
      </c>
      <c r="BE19" s="28">
        <f t="shared" si="1"/>
        <v>0</v>
      </c>
      <c r="BF19" s="28">
        <f t="shared" si="1"/>
        <v>0</v>
      </c>
      <c r="BG19" s="28">
        <f t="shared" si="1"/>
        <v>0</v>
      </c>
      <c r="BH19" s="28">
        <f t="shared" si="1"/>
        <v>0</v>
      </c>
    </row>
    <row r="20" spans="1:60" ht="62.25" customHeight="1">
      <c r="B20" s="567"/>
      <c r="C20" s="567"/>
      <c r="D20" s="567"/>
      <c r="E20" s="461"/>
      <c r="F20" s="149">
        <f>+'01-FR-03 POA INSTITUCIONAL'!F83</f>
        <v>1</v>
      </c>
      <c r="G20" s="149">
        <f>+'01-FR-03 POA INSTITUCIONAL'!L83</f>
        <v>1</v>
      </c>
      <c r="H20" s="21">
        <f>+'01-FR-03 POA INSTITUCIONAL'!G83</f>
        <v>1</v>
      </c>
      <c r="I20" s="129" t="str">
        <f>+'01-FR-03 POA INSTITUCIONAL'!H83</f>
        <v>Porcentaje de antecedentes disciplinarios expedidos</v>
      </c>
      <c r="J20" s="296" t="s">
        <v>658</v>
      </c>
      <c r="K20" s="201" t="s">
        <v>527</v>
      </c>
      <c r="L20" s="201" t="s">
        <v>528</v>
      </c>
      <c r="M20" s="201" t="s">
        <v>529</v>
      </c>
      <c r="N20" s="201" t="s">
        <v>516</v>
      </c>
      <c r="O20" s="297" t="str">
        <f>+'01-FR-03 POA INSTITUCIONAL'!J83</f>
        <v>Oficina Asesora Jurídica</v>
      </c>
      <c r="P20" s="295">
        <v>1</v>
      </c>
      <c r="Q20" s="219"/>
      <c r="R20" s="295">
        <v>1</v>
      </c>
      <c r="S20" s="219"/>
      <c r="T20" s="295">
        <v>1</v>
      </c>
      <c r="U20" s="219"/>
      <c r="V20" s="75">
        <f t="shared" ref="V20" si="16">AVERAGE(P20,R20,T20)</f>
        <v>1</v>
      </c>
      <c r="W20" s="75">
        <f t="shared" ref="W20" si="17">IFERROR(AVERAGE(Q20,S20,U20),0)</f>
        <v>0</v>
      </c>
      <c r="X20" s="295">
        <v>1</v>
      </c>
      <c r="Y20" s="219"/>
      <c r="Z20" s="295">
        <v>1</v>
      </c>
      <c r="AA20" s="219"/>
      <c r="AB20" s="295">
        <v>1</v>
      </c>
      <c r="AC20" s="219"/>
      <c r="AD20" s="75">
        <f t="shared" ref="AD20" si="18">AVERAGE(X20,Z20,AB20)</f>
        <v>1</v>
      </c>
      <c r="AE20" s="75">
        <f t="shared" ref="AE20" si="19">IFERROR(AVERAGE(Y20,AA20,AC20),0)</f>
        <v>0</v>
      </c>
      <c r="AF20" s="295">
        <v>1</v>
      </c>
      <c r="AG20" s="219"/>
      <c r="AH20" s="295">
        <v>1</v>
      </c>
      <c r="AI20" s="219"/>
      <c r="AJ20" s="295">
        <v>1</v>
      </c>
      <c r="AK20" s="220"/>
      <c r="AL20" s="75">
        <f t="shared" ref="AL20" si="20">AVERAGE(AF20,AH20,AJ20)</f>
        <v>1</v>
      </c>
      <c r="AM20" s="75">
        <f t="shared" ref="AM20" si="21">IFERROR(AVERAGE(AG20,AI20,AK20),0)</f>
        <v>0</v>
      </c>
      <c r="AN20" s="295">
        <v>1</v>
      </c>
      <c r="AO20" s="219"/>
      <c r="AP20" s="295">
        <v>1</v>
      </c>
      <c r="AQ20" s="219"/>
      <c r="AR20" s="295">
        <v>1</v>
      </c>
      <c r="AS20" s="219"/>
      <c r="AT20" s="75">
        <f t="shared" ref="AT20" si="22">AVERAGE(AN20,AP20,AR20)</f>
        <v>1</v>
      </c>
      <c r="AU20" s="75">
        <f t="shared" ref="AU20" si="23">IFERROR(AVERAGE(AO20,AQ20,AS20),0)</f>
        <v>0</v>
      </c>
      <c r="AV20" s="75">
        <f t="shared" ref="AV20" si="24">AVERAGE(P20,R20,T20,X20,Z20,AB20,AF20,AH20,AJ20,AN20,AP20,AR20)</f>
        <v>1</v>
      </c>
      <c r="AW20" s="66">
        <f t="shared" si="11"/>
        <v>0</v>
      </c>
      <c r="AX20" s="66">
        <f t="shared" si="12"/>
        <v>0</v>
      </c>
      <c r="AY20" s="66">
        <f t="shared" si="13"/>
        <v>0</v>
      </c>
      <c r="AZ20" s="66">
        <f t="shared" si="14"/>
        <v>0</v>
      </c>
      <c r="BA20" s="28">
        <f t="shared" si="15"/>
        <v>0</v>
      </c>
      <c r="BB20" s="28">
        <f t="shared" si="0"/>
        <v>0</v>
      </c>
      <c r="BC20" s="28">
        <f t="shared" si="0"/>
        <v>0</v>
      </c>
      <c r="BD20" s="28">
        <f t="shared" si="0"/>
        <v>0</v>
      </c>
      <c r="BE20" s="28">
        <f t="shared" si="1"/>
        <v>0</v>
      </c>
      <c r="BF20" s="28">
        <f t="shared" si="1"/>
        <v>0</v>
      </c>
      <c r="BG20" s="28">
        <f t="shared" si="1"/>
        <v>0</v>
      </c>
      <c r="BH20" s="28">
        <f t="shared" si="1"/>
        <v>0</v>
      </c>
    </row>
    <row r="21" spans="1:60" ht="22.8">
      <c r="B21" s="496"/>
      <c r="C21" s="497"/>
      <c r="D21" s="497"/>
      <c r="E21" s="497"/>
      <c r="F21" s="497"/>
      <c r="G21" s="497"/>
      <c r="H21" s="497"/>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7"/>
      <c r="AL21" s="497"/>
      <c r="AM21" s="497"/>
      <c r="AN21" s="497"/>
      <c r="AO21" s="497"/>
      <c r="AP21" s="497"/>
      <c r="AQ21" s="497"/>
      <c r="AR21" s="497"/>
      <c r="AS21" s="497"/>
      <c r="AT21" s="497"/>
      <c r="AU21" s="497"/>
      <c r="AV21" s="497"/>
      <c r="AW21" s="548"/>
      <c r="AX21" s="518" t="s">
        <v>19</v>
      </c>
      <c r="AY21" s="570"/>
      <c r="AZ21" s="570"/>
      <c r="BA21" s="56">
        <f t="shared" ref="BA21:BH21" si="25">AVERAGE(BA16:BA20)</f>
        <v>0</v>
      </c>
      <c r="BB21" s="56">
        <f t="shared" si="25"/>
        <v>0</v>
      </c>
      <c r="BC21" s="56">
        <f t="shared" si="25"/>
        <v>0</v>
      </c>
      <c r="BD21" s="56">
        <f t="shared" si="25"/>
        <v>0</v>
      </c>
      <c r="BE21" s="56">
        <f t="shared" si="25"/>
        <v>0</v>
      </c>
      <c r="BF21" s="56">
        <f t="shared" si="25"/>
        <v>0</v>
      </c>
      <c r="BG21" s="56">
        <f t="shared" si="25"/>
        <v>0</v>
      </c>
      <c r="BH21" s="56">
        <f t="shared" si="25"/>
        <v>0</v>
      </c>
    </row>
    <row r="22" spans="1:60">
      <c r="B22" s="453"/>
      <c r="C22" s="453"/>
      <c r="D22" s="453"/>
      <c r="E22" s="453"/>
      <c r="F22" s="453"/>
      <c r="G22" s="453"/>
      <c r="H22" s="223"/>
      <c r="I22" s="224"/>
      <c r="J22" s="224"/>
      <c r="K22" s="224"/>
      <c r="L22" s="224"/>
      <c r="M22" s="224"/>
      <c r="N22" s="224"/>
      <c r="O22" s="224"/>
    </row>
    <row r="23" spans="1:60">
      <c r="B23" s="224"/>
      <c r="C23" s="224"/>
      <c r="D23" s="549"/>
      <c r="E23" s="549"/>
      <c r="F23" s="549"/>
      <c r="G23" s="549"/>
      <c r="H23" s="549"/>
      <c r="I23" s="549"/>
      <c r="J23" s="549"/>
      <c r="K23" s="549"/>
      <c r="L23" s="549"/>
      <c r="M23" s="549"/>
      <c r="N23" s="549"/>
      <c r="O23" s="549"/>
    </row>
    <row r="24" spans="1:60" ht="15.6" customHeight="1">
      <c r="B24" s="63" t="s">
        <v>26</v>
      </c>
      <c r="C24" s="225">
        <v>44224</v>
      </c>
      <c r="D24" s="226"/>
      <c r="E24" s="558" t="s">
        <v>50</v>
      </c>
      <c r="F24" s="550" t="s">
        <v>524</v>
      </c>
      <c r="G24" s="551"/>
      <c r="H24" s="551"/>
      <c r="I24" s="551"/>
      <c r="J24" s="552"/>
      <c r="K24" s="227"/>
      <c r="L24" s="559"/>
      <c r="M24" s="559"/>
      <c r="N24" s="559"/>
      <c r="O24" s="560"/>
    </row>
    <row r="25" spans="1:60" ht="15.6">
      <c r="B25" s="224"/>
      <c r="C25" s="224"/>
      <c r="D25" s="227"/>
      <c r="E25" s="558"/>
      <c r="F25" s="553"/>
      <c r="G25" s="554"/>
      <c r="H25" s="554"/>
      <c r="I25" s="554"/>
      <c r="J25" s="555"/>
      <c r="K25" s="224"/>
      <c r="L25" s="224"/>
      <c r="M25" s="224"/>
      <c r="N25" s="224"/>
      <c r="O25" s="224"/>
    </row>
    <row r="26" spans="1:60" ht="15.6">
      <c r="B26" s="63" t="s">
        <v>49</v>
      </c>
      <c r="C26" s="65">
        <v>44581</v>
      </c>
      <c r="D26" s="224"/>
      <c r="E26" s="224"/>
      <c r="F26" s="224"/>
      <c r="K26" s="224"/>
      <c r="L26" s="224"/>
      <c r="M26" s="224"/>
      <c r="N26" s="224"/>
      <c r="O26" s="224"/>
    </row>
    <row r="27" spans="1:60">
      <c r="B27" s="224"/>
      <c r="C27" s="224"/>
      <c r="D27" s="224"/>
      <c r="E27" s="224"/>
      <c r="F27" s="224"/>
      <c r="K27" s="224"/>
      <c r="L27" s="224"/>
      <c r="M27" s="224"/>
      <c r="N27" s="224"/>
      <c r="O27" s="224"/>
    </row>
    <row r="28" spans="1:60">
      <c r="B28" s="189" t="s">
        <v>673</v>
      </c>
      <c r="C28" s="224"/>
      <c r="D28" s="224"/>
      <c r="E28" s="224"/>
      <c r="F28" s="224"/>
      <c r="G28" s="223"/>
      <c r="H28" s="223"/>
      <c r="I28" s="575"/>
      <c r="J28" s="575"/>
      <c r="K28" s="575"/>
      <c r="L28" s="575"/>
      <c r="M28" s="228"/>
      <c r="N28" s="228"/>
      <c r="O28" s="228"/>
    </row>
    <row r="29" spans="1:60">
      <c r="B29" s="224"/>
      <c r="C29" s="224"/>
      <c r="D29" s="224"/>
      <c r="E29" s="224"/>
      <c r="F29" s="224"/>
      <c r="G29" s="223"/>
      <c r="H29" s="223"/>
      <c r="I29" s="224"/>
      <c r="J29" s="224"/>
      <c r="K29" s="229"/>
      <c r="L29" s="224"/>
      <c r="M29" s="224"/>
      <c r="N29" s="224"/>
      <c r="O29" s="224"/>
    </row>
    <row r="30" spans="1:60">
      <c r="B30" s="224"/>
      <c r="C30" s="224"/>
      <c r="D30" s="224"/>
      <c r="E30" s="224"/>
      <c r="F30" s="224"/>
      <c r="G30" s="223"/>
      <c r="H30" s="223"/>
      <c r="I30" s="575"/>
      <c r="J30" s="575"/>
      <c r="K30" s="575"/>
      <c r="L30" s="575"/>
      <c r="M30" s="228"/>
      <c r="N30" s="228"/>
      <c r="O30" s="228"/>
    </row>
    <row r="31" spans="1:60">
      <c r="B31" s="224"/>
      <c r="C31" s="224"/>
      <c r="D31" s="224"/>
      <c r="E31" s="224"/>
      <c r="F31" s="224"/>
      <c r="G31" s="223"/>
      <c r="H31" s="223"/>
      <c r="I31" s="224"/>
      <c r="J31" s="224"/>
      <c r="K31" s="229"/>
      <c r="L31" s="224"/>
      <c r="M31" s="224"/>
      <c r="N31" s="224"/>
      <c r="O31" s="224"/>
    </row>
    <row r="32" spans="1:60">
      <c r="B32" s="224"/>
      <c r="C32" s="224"/>
      <c r="D32" s="224"/>
      <c r="E32" s="224"/>
      <c r="F32" s="224"/>
      <c r="G32" s="223"/>
      <c r="H32" s="223"/>
      <c r="I32" s="575"/>
      <c r="J32" s="575"/>
      <c r="K32" s="575"/>
      <c r="L32" s="575"/>
      <c r="M32" s="228"/>
      <c r="N32" s="228"/>
      <c r="O32" s="228"/>
    </row>
  </sheetData>
  <sheetProtection algorithmName="SHA-512" hashValue="rOsfxMgtzppOeartqMPoFZ+N73yDcytPxv1eMBzAGLrM57boc1ujG1hvgcLamYzhG+0U1hhVyJUwmQTTOlsp9g==" saltValue="3TKjBDXj+y3Q5XHzehkyjg==" spinCount="100000" sheet="1" objects="1" scenarios="1"/>
  <mergeCells count="72">
    <mergeCell ref="F12:F15"/>
    <mergeCell ref="BG6:BH6"/>
    <mergeCell ref="AW7:BA7"/>
    <mergeCell ref="C8:D8"/>
    <mergeCell ref="C10:D10"/>
    <mergeCell ref="C9:D9"/>
    <mergeCell ref="Z14:AA14"/>
    <mergeCell ref="BD13:BD15"/>
    <mergeCell ref="AB14:AC14"/>
    <mergeCell ref="AP14:AQ14"/>
    <mergeCell ref="AR14:AS14"/>
    <mergeCell ref="AT14:AU14"/>
    <mergeCell ref="AN14:AO14"/>
    <mergeCell ref="AY13:AY15"/>
    <mergeCell ref="AL14:AM14"/>
    <mergeCell ref="AN13:AU13"/>
    <mergeCell ref="B12:B15"/>
    <mergeCell ref="C12:C15"/>
    <mergeCell ref="D12:D15"/>
    <mergeCell ref="E12:E15"/>
    <mergeCell ref="BE12:BH12"/>
    <mergeCell ref="P13:W13"/>
    <mergeCell ref="X13:AE13"/>
    <mergeCell ref="AF13:AM13"/>
    <mergeCell ref="AZ13:AZ15"/>
    <mergeCell ref="G12:G15"/>
    <mergeCell ref="AJ14:AK14"/>
    <mergeCell ref="P14:Q14"/>
    <mergeCell ref="R14:S14"/>
    <mergeCell ref="T14:U14"/>
    <mergeCell ref="V14:W14"/>
    <mergeCell ref="X14:Y14"/>
    <mergeCell ref="B2:B6"/>
    <mergeCell ref="BE13:BE15"/>
    <mergeCell ref="BF13:BF15"/>
    <mergeCell ref="BG13:BG15"/>
    <mergeCell ref="BH13:BH15"/>
    <mergeCell ref="C2:BF6"/>
    <mergeCell ref="BA13:BA15"/>
    <mergeCell ref="P12:AU12"/>
    <mergeCell ref="AV12:AV15"/>
    <mergeCell ref="AW12:AZ12"/>
    <mergeCell ref="BA12:BD12"/>
    <mergeCell ref="BB13:BB15"/>
    <mergeCell ref="BC13:BC15"/>
    <mergeCell ref="AD14:AE14"/>
    <mergeCell ref="AF14:AG14"/>
    <mergeCell ref="AH14:AI14"/>
    <mergeCell ref="AW13:AW15"/>
    <mergeCell ref="AX13:AX15"/>
    <mergeCell ref="N12:N15"/>
    <mergeCell ref="O12:O15"/>
    <mergeCell ref="H12:H15"/>
    <mergeCell ref="I12:I15"/>
    <mergeCell ref="J12:J15"/>
    <mergeCell ref="K12:K15"/>
    <mergeCell ref="L12:L15"/>
    <mergeCell ref="M12:M15"/>
    <mergeCell ref="AX21:AZ21"/>
    <mergeCell ref="D23:O23"/>
    <mergeCell ref="E24:E25"/>
    <mergeCell ref="L24:O24"/>
    <mergeCell ref="B21:AW21"/>
    <mergeCell ref="F24:J25"/>
    <mergeCell ref="I30:L30"/>
    <mergeCell ref="I32:L32"/>
    <mergeCell ref="E19:E20"/>
    <mergeCell ref="D19:D20"/>
    <mergeCell ref="B22:G22"/>
    <mergeCell ref="B16:B20"/>
    <mergeCell ref="C16:C20"/>
    <mergeCell ref="I28:L28"/>
  </mergeCells>
  <conditionalFormatting sqref="BA16:BH20">
    <cfRule type="cellIs" dxfId="26" priority="7" operator="between">
      <formula>0.7</formula>
      <formula>1</formula>
    </cfRule>
    <cfRule type="cellIs" dxfId="25" priority="8" operator="between">
      <formula>0.51</formula>
      <formula>0.69</formula>
    </cfRule>
    <cfRule type="cellIs" dxfId="24" priority="9" operator="between">
      <formula>0</formula>
      <formula>0.5</formula>
    </cfRule>
  </conditionalFormatting>
  <dataValidations count="1">
    <dataValidation allowBlank="1" showInputMessage="1" showErrorMessage="1" prompt="Transcriba de manera exacta el objetivo definido en la caracterización del proceso." sqref="C9:D9" xr:uid="{8043215A-E905-4C73-8364-3F2C1DB7857C}"/>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4F785-D9C2-480B-B6ED-4FFBE2D42911}">
  <sheetPr>
    <tabColor rgb="FF92D050"/>
  </sheetPr>
  <dimension ref="B1:BH30"/>
  <sheetViews>
    <sheetView showGridLines="0" zoomScale="70" zoomScaleNormal="70" workbookViewId="0">
      <selection activeCell="G16" sqref="G16"/>
    </sheetView>
  </sheetViews>
  <sheetFormatPr baseColWidth="10" defaultColWidth="17.33203125" defaultRowHeight="15" customHeight="1"/>
  <cols>
    <col min="1" max="1" width="4.33203125" style="124" customWidth="1"/>
    <col min="2" max="2" width="50.44140625" style="122" customWidth="1"/>
    <col min="3" max="3" width="31.44140625" style="122" customWidth="1"/>
    <col min="4" max="4" width="49.6640625" style="122" customWidth="1"/>
    <col min="5" max="6" width="27.5546875" style="122" customWidth="1"/>
    <col min="7" max="8" width="29.33203125" style="123" customWidth="1"/>
    <col min="9" max="9" width="26.88671875" style="122" customWidth="1"/>
    <col min="10" max="10" width="31.88671875" style="122" customWidth="1"/>
    <col min="11" max="11" width="55.88671875" style="122" customWidth="1"/>
    <col min="12" max="12" width="48.44140625" style="122" customWidth="1"/>
    <col min="13" max="14" width="28.5546875" style="122" customWidth="1"/>
    <col min="15" max="15" width="50" style="122" customWidth="1"/>
    <col min="16" max="47" width="15.88671875" style="124" customWidth="1"/>
    <col min="48" max="48" width="24.5546875" style="124" customWidth="1"/>
    <col min="49" max="49" width="22.88671875" style="124" customWidth="1"/>
    <col min="50" max="50" width="19.33203125" style="124" customWidth="1"/>
    <col min="51" max="51" width="18.44140625" style="124" customWidth="1"/>
    <col min="52" max="52" width="19.44140625" style="124" customWidth="1"/>
    <col min="53" max="53" width="23.33203125" style="124" customWidth="1"/>
    <col min="54" max="55" width="25.109375" style="124" customWidth="1"/>
    <col min="56" max="56" width="26.6640625" style="124" customWidth="1"/>
    <col min="57" max="57" width="26.33203125" style="124" customWidth="1"/>
    <col min="58" max="58" width="26.5546875" style="124" customWidth="1"/>
    <col min="59" max="59" width="26.33203125" style="124" customWidth="1"/>
    <col min="60" max="60" width="27.33203125" style="124" customWidth="1"/>
    <col min="61" max="16384" width="17.33203125" style="124"/>
  </cols>
  <sheetData>
    <row r="1" spans="2:60" ht="15.6" thickBot="1"/>
    <row r="2" spans="2:60" ht="15.6" customHeight="1">
      <c r="B2" s="489" t="s">
        <v>671</v>
      </c>
      <c r="C2" s="534" t="s">
        <v>117</v>
      </c>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35"/>
      <c r="AL2" s="535"/>
      <c r="AM2" s="535"/>
      <c r="AN2" s="535"/>
      <c r="AO2" s="535"/>
      <c r="AP2" s="535"/>
      <c r="AQ2" s="535"/>
      <c r="AR2" s="535"/>
      <c r="AS2" s="535"/>
      <c r="AT2" s="535"/>
      <c r="AU2" s="535"/>
      <c r="AV2" s="535"/>
      <c r="AW2" s="535"/>
      <c r="AX2" s="535"/>
      <c r="AY2" s="535"/>
      <c r="AZ2" s="535"/>
      <c r="BA2" s="535"/>
      <c r="BB2" s="535"/>
      <c r="BC2" s="535"/>
      <c r="BD2" s="535"/>
      <c r="BE2" s="535"/>
      <c r="BF2" s="536"/>
      <c r="BG2" s="190" t="s">
        <v>31</v>
      </c>
      <c r="BH2" s="191"/>
    </row>
    <row r="3" spans="2:60" ht="15.6" customHeight="1">
      <c r="B3" s="490"/>
      <c r="C3" s="537"/>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8"/>
      <c r="AZ3" s="538"/>
      <c r="BA3" s="538"/>
      <c r="BB3" s="538"/>
      <c r="BC3" s="538"/>
      <c r="BD3" s="538"/>
      <c r="BE3" s="538"/>
      <c r="BF3" s="539"/>
      <c r="BG3" s="192" t="s">
        <v>28</v>
      </c>
      <c r="BH3" s="17" t="s">
        <v>29</v>
      </c>
    </row>
    <row r="4" spans="2:60" ht="15" customHeight="1">
      <c r="B4" s="490"/>
      <c r="C4" s="537"/>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538"/>
      <c r="BF4" s="539"/>
      <c r="BG4" s="193">
        <v>5</v>
      </c>
      <c r="BH4" s="18" t="s">
        <v>651</v>
      </c>
    </row>
    <row r="5" spans="2:60" ht="15.6" customHeight="1">
      <c r="B5" s="490"/>
      <c r="C5" s="537"/>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538"/>
      <c r="BF5" s="539"/>
      <c r="BG5" s="194" t="s">
        <v>30</v>
      </c>
      <c r="BH5" s="195"/>
    </row>
    <row r="6" spans="2:60" ht="15.6" customHeight="1" thickBot="1">
      <c r="B6" s="491"/>
      <c r="C6" s="540"/>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1"/>
      <c r="AN6" s="541"/>
      <c r="AO6" s="541"/>
      <c r="AP6" s="541"/>
      <c r="AQ6" s="541"/>
      <c r="AR6" s="541"/>
      <c r="AS6" s="541"/>
      <c r="AT6" s="541"/>
      <c r="AU6" s="541"/>
      <c r="AV6" s="541"/>
      <c r="AW6" s="541"/>
      <c r="AX6" s="541"/>
      <c r="AY6" s="541"/>
      <c r="AZ6" s="541"/>
      <c r="BA6" s="541"/>
      <c r="BB6" s="541"/>
      <c r="BC6" s="541"/>
      <c r="BD6" s="541"/>
      <c r="BE6" s="541"/>
      <c r="BF6" s="542"/>
      <c r="BG6" s="556">
        <v>43941</v>
      </c>
      <c r="BH6" s="557"/>
    </row>
    <row r="7" spans="2:60">
      <c r="B7" s="125"/>
      <c r="C7" s="125"/>
      <c r="D7" s="125"/>
      <c r="E7" s="125"/>
      <c r="F7" s="125"/>
      <c r="G7" s="126"/>
      <c r="H7" s="126"/>
      <c r="I7" s="125"/>
      <c r="J7" s="125"/>
      <c r="K7" s="125"/>
      <c r="L7" s="125"/>
      <c r="M7" s="125"/>
      <c r="N7" s="125"/>
      <c r="O7" s="125"/>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528"/>
      <c r="AX7" s="559"/>
      <c r="AY7" s="559"/>
      <c r="AZ7" s="559"/>
      <c r="BA7" s="530"/>
      <c r="BB7" s="214"/>
      <c r="BC7" s="214"/>
      <c r="BD7" s="214"/>
      <c r="BE7" s="127"/>
      <c r="BF7" s="127"/>
    </row>
    <row r="8" spans="2:60" ht="24.6">
      <c r="B8" s="196" t="s">
        <v>45</v>
      </c>
      <c r="C8" s="544" t="s">
        <v>86</v>
      </c>
      <c r="D8" s="544"/>
      <c r="E8" s="197"/>
      <c r="F8" s="197"/>
      <c r="G8" s="197"/>
      <c r="H8" s="197"/>
      <c r="I8" s="197"/>
      <c r="J8" s="197"/>
      <c r="K8" s="197"/>
      <c r="L8" s="197"/>
      <c r="M8" s="197"/>
      <c r="N8" s="197"/>
      <c r="O8" s="197"/>
      <c r="AW8" s="214"/>
      <c r="AX8" s="214"/>
      <c r="AY8" s="214"/>
      <c r="AZ8" s="214"/>
      <c r="BA8" s="214"/>
      <c r="BB8" s="214"/>
      <c r="BC8" s="214"/>
      <c r="BD8" s="214"/>
    </row>
    <row r="9" spans="2:60" ht="75" customHeight="1">
      <c r="B9" s="196" t="s">
        <v>34</v>
      </c>
      <c r="C9" s="514" t="s">
        <v>368</v>
      </c>
      <c r="D9" s="515"/>
      <c r="E9" s="197"/>
      <c r="F9" s="197"/>
      <c r="G9" s="197"/>
      <c r="H9" s="197"/>
      <c r="I9" s="197"/>
      <c r="J9" s="197"/>
      <c r="K9" s="197"/>
      <c r="L9" s="197"/>
      <c r="M9" s="197"/>
      <c r="N9" s="197"/>
      <c r="O9" s="197"/>
      <c r="AW9" s="214"/>
      <c r="AX9" s="214"/>
      <c r="AY9" s="214"/>
      <c r="AZ9" s="214"/>
      <c r="BA9" s="214"/>
      <c r="BB9" s="214"/>
      <c r="BC9" s="214"/>
      <c r="BD9" s="214"/>
    </row>
    <row r="10" spans="2:60" ht="24.6">
      <c r="B10" s="196" t="s">
        <v>100</v>
      </c>
      <c r="C10" s="516">
        <v>2021</v>
      </c>
      <c r="D10" s="517"/>
      <c r="E10" s="197"/>
      <c r="F10" s="197"/>
      <c r="G10" s="197"/>
      <c r="H10" s="197"/>
      <c r="I10" s="197"/>
      <c r="J10" s="197"/>
      <c r="K10" s="197"/>
      <c r="L10" s="197"/>
      <c r="M10" s="197"/>
      <c r="N10" s="197"/>
      <c r="O10" s="197"/>
      <c r="AW10" s="214"/>
      <c r="AX10" s="214"/>
      <c r="AY10" s="214"/>
      <c r="AZ10" s="214"/>
      <c r="BA10" s="214"/>
      <c r="BB10" s="214"/>
      <c r="BC10" s="214"/>
      <c r="BD10" s="214"/>
    </row>
    <row r="11" spans="2:60">
      <c r="B11" s="125"/>
      <c r="C11" s="125"/>
      <c r="D11" s="125"/>
      <c r="E11" s="125"/>
      <c r="F11" s="125"/>
      <c r="G11" s="126"/>
      <c r="H11" s="126"/>
      <c r="I11" s="125"/>
      <c r="J11" s="125"/>
      <c r="K11" s="125"/>
      <c r="L11" s="125"/>
      <c r="M11" s="125"/>
      <c r="N11" s="125"/>
      <c r="O11" s="125"/>
      <c r="AW11" s="214"/>
      <c r="AX11" s="214"/>
      <c r="AY11" s="214"/>
      <c r="AZ11" s="214"/>
      <c r="BA11" s="214"/>
      <c r="BB11" s="214"/>
      <c r="BC11" s="214"/>
      <c r="BD11" s="214"/>
    </row>
    <row r="12" spans="2:60" ht="27.6" customHeight="1">
      <c r="B12" s="488" t="s">
        <v>0</v>
      </c>
      <c r="C12" s="488" t="s">
        <v>52</v>
      </c>
      <c r="D12" s="526" t="s">
        <v>674</v>
      </c>
      <c r="E12" s="488" t="s">
        <v>60</v>
      </c>
      <c r="F12" s="527" t="s">
        <v>743</v>
      </c>
      <c r="G12" s="488" t="s">
        <v>57</v>
      </c>
      <c r="H12" s="488" t="s">
        <v>25</v>
      </c>
      <c r="I12" s="488" t="s">
        <v>59</v>
      </c>
      <c r="J12" s="488" t="s">
        <v>39</v>
      </c>
      <c r="K12" s="488" t="s">
        <v>36</v>
      </c>
      <c r="L12" s="488" t="s">
        <v>20</v>
      </c>
      <c r="M12" s="488" t="s">
        <v>51</v>
      </c>
      <c r="N12" s="488" t="s">
        <v>40</v>
      </c>
      <c r="O12" s="488" t="s">
        <v>42</v>
      </c>
      <c r="P12" s="533" t="s">
        <v>111</v>
      </c>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3"/>
      <c r="AN12" s="533"/>
      <c r="AO12" s="533"/>
      <c r="AP12" s="533"/>
      <c r="AQ12" s="533"/>
      <c r="AR12" s="533"/>
      <c r="AS12" s="533"/>
      <c r="AT12" s="533"/>
      <c r="AU12" s="533"/>
      <c r="AV12" s="531" t="s">
        <v>61</v>
      </c>
      <c r="AW12" s="520" t="s">
        <v>675</v>
      </c>
      <c r="AX12" s="521"/>
      <c r="AY12" s="521"/>
      <c r="AZ12" s="522"/>
      <c r="BA12" s="508" t="s">
        <v>676</v>
      </c>
      <c r="BB12" s="509"/>
      <c r="BC12" s="509"/>
      <c r="BD12" s="510"/>
      <c r="BE12" s="502" t="s">
        <v>677</v>
      </c>
      <c r="BF12" s="503"/>
      <c r="BG12" s="503"/>
      <c r="BH12" s="504"/>
    </row>
    <row r="13" spans="2:60" ht="15.6">
      <c r="B13" s="488"/>
      <c r="C13" s="488"/>
      <c r="D13" s="526"/>
      <c r="E13" s="488"/>
      <c r="F13" s="527"/>
      <c r="G13" s="488"/>
      <c r="H13" s="488"/>
      <c r="I13" s="488"/>
      <c r="J13" s="488"/>
      <c r="K13" s="488"/>
      <c r="L13" s="488"/>
      <c r="M13" s="488"/>
      <c r="N13" s="488"/>
      <c r="O13" s="488"/>
      <c r="P13" s="532" t="s">
        <v>21</v>
      </c>
      <c r="Q13" s="532"/>
      <c r="R13" s="532"/>
      <c r="S13" s="532"/>
      <c r="T13" s="532"/>
      <c r="U13" s="532"/>
      <c r="V13" s="532"/>
      <c r="W13" s="532"/>
      <c r="X13" s="532" t="s">
        <v>22</v>
      </c>
      <c r="Y13" s="532"/>
      <c r="Z13" s="532"/>
      <c r="AA13" s="532"/>
      <c r="AB13" s="532"/>
      <c r="AC13" s="532"/>
      <c r="AD13" s="532"/>
      <c r="AE13" s="532"/>
      <c r="AF13" s="532" t="s">
        <v>23</v>
      </c>
      <c r="AG13" s="532"/>
      <c r="AH13" s="532"/>
      <c r="AI13" s="532"/>
      <c r="AJ13" s="532"/>
      <c r="AK13" s="532"/>
      <c r="AL13" s="532"/>
      <c r="AM13" s="532"/>
      <c r="AN13" s="532" t="s">
        <v>24</v>
      </c>
      <c r="AO13" s="532"/>
      <c r="AP13" s="532"/>
      <c r="AQ13" s="532"/>
      <c r="AR13" s="532"/>
      <c r="AS13" s="532"/>
      <c r="AT13" s="532"/>
      <c r="AU13" s="532"/>
      <c r="AV13" s="531"/>
      <c r="AW13" s="523" t="s">
        <v>118</v>
      </c>
      <c r="AX13" s="523" t="s">
        <v>22</v>
      </c>
      <c r="AY13" s="523" t="s">
        <v>119</v>
      </c>
      <c r="AZ13" s="523" t="s">
        <v>120</v>
      </c>
      <c r="BA13" s="511" t="s">
        <v>118</v>
      </c>
      <c r="BB13" s="511" t="s">
        <v>121</v>
      </c>
      <c r="BC13" s="511" t="s">
        <v>122</v>
      </c>
      <c r="BD13" s="511" t="s">
        <v>123</v>
      </c>
      <c r="BE13" s="505" t="s">
        <v>21</v>
      </c>
      <c r="BF13" s="505" t="s">
        <v>22</v>
      </c>
      <c r="BG13" s="505" t="s">
        <v>23</v>
      </c>
      <c r="BH13" s="505" t="s">
        <v>24</v>
      </c>
    </row>
    <row r="14" spans="2:60" ht="15.6">
      <c r="B14" s="488"/>
      <c r="C14" s="488"/>
      <c r="D14" s="526"/>
      <c r="E14" s="488"/>
      <c r="F14" s="527"/>
      <c r="G14" s="488"/>
      <c r="H14" s="488"/>
      <c r="I14" s="488"/>
      <c r="J14" s="488"/>
      <c r="K14" s="488"/>
      <c r="L14" s="488"/>
      <c r="M14" s="488"/>
      <c r="N14" s="488"/>
      <c r="O14" s="488"/>
      <c r="P14" s="571" t="s">
        <v>5</v>
      </c>
      <c r="Q14" s="571"/>
      <c r="R14" s="571" t="s">
        <v>6</v>
      </c>
      <c r="S14" s="571"/>
      <c r="T14" s="571" t="s">
        <v>7</v>
      </c>
      <c r="U14" s="571"/>
      <c r="V14" s="533" t="s">
        <v>8</v>
      </c>
      <c r="W14" s="533"/>
      <c r="X14" s="571" t="s">
        <v>27</v>
      </c>
      <c r="Y14" s="571"/>
      <c r="Z14" s="571" t="s">
        <v>9</v>
      </c>
      <c r="AA14" s="571"/>
      <c r="AB14" s="571" t="s">
        <v>10</v>
      </c>
      <c r="AC14" s="571"/>
      <c r="AD14" s="533" t="s">
        <v>8</v>
      </c>
      <c r="AE14" s="533"/>
      <c r="AF14" s="571" t="s">
        <v>11</v>
      </c>
      <c r="AG14" s="571"/>
      <c r="AH14" s="571" t="s">
        <v>12</v>
      </c>
      <c r="AI14" s="571"/>
      <c r="AJ14" s="571" t="s">
        <v>13</v>
      </c>
      <c r="AK14" s="571"/>
      <c r="AL14" s="533" t="s">
        <v>8</v>
      </c>
      <c r="AM14" s="533"/>
      <c r="AN14" s="571" t="s">
        <v>14</v>
      </c>
      <c r="AO14" s="571"/>
      <c r="AP14" s="571" t="s">
        <v>15</v>
      </c>
      <c r="AQ14" s="571"/>
      <c r="AR14" s="571" t="s">
        <v>16</v>
      </c>
      <c r="AS14" s="571"/>
      <c r="AT14" s="533" t="s">
        <v>8</v>
      </c>
      <c r="AU14" s="533"/>
      <c r="AV14" s="531"/>
      <c r="AW14" s="524"/>
      <c r="AX14" s="524"/>
      <c r="AY14" s="524"/>
      <c r="AZ14" s="524"/>
      <c r="BA14" s="512"/>
      <c r="BB14" s="512"/>
      <c r="BC14" s="512"/>
      <c r="BD14" s="512"/>
      <c r="BE14" s="506"/>
      <c r="BF14" s="506"/>
      <c r="BG14" s="506"/>
      <c r="BH14" s="506"/>
    </row>
    <row r="15" spans="2:60" ht="13.2" customHeight="1">
      <c r="B15" s="488"/>
      <c r="C15" s="488"/>
      <c r="D15" s="526"/>
      <c r="E15" s="488"/>
      <c r="F15" s="527"/>
      <c r="G15" s="488"/>
      <c r="H15" s="488"/>
      <c r="I15" s="488"/>
      <c r="J15" s="488"/>
      <c r="K15" s="488"/>
      <c r="L15" s="488"/>
      <c r="M15" s="488"/>
      <c r="N15" s="488"/>
      <c r="O15" s="488"/>
      <c r="P15" s="215" t="s">
        <v>17</v>
      </c>
      <c r="Q15" s="216" t="s">
        <v>18</v>
      </c>
      <c r="R15" s="215" t="s">
        <v>17</v>
      </c>
      <c r="S15" s="216" t="s">
        <v>18</v>
      </c>
      <c r="T15" s="215" t="s">
        <v>17</v>
      </c>
      <c r="U15" s="216" t="s">
        <v>18</v>
      </c>
      <c r="V15" s="61" t="s">
        <v>17</v>
      </c>
      <c r="W15" s="62" t="s">
        <v>18</v>
      </c>
      <c r="X15" s="215" t="s">
        <v>17</v>
      </c>
      <c r="Y15" s="216" t="s">
        <v>18</v>
      </c>
      <c r="Z15" s="215" t="s">
        <v>17</v>
      </c>
      <c r="AA15" s="216" t="s">
        <v>18</v>
      </c>
      <c r="AB15" s="215" t="s">
        <v>17</v>
      </c>
      <c r="AC15" s="216" t="s">
        <v>18</v>
      </c>
      <c r="AD15" s="61" t="s">
        <v>17</v>
      </c>
      <c r="AE15" s="62" t="s">
        <v>18</v>
      </c>
      <c r="AF15" s="215" t="s">
        <v>17</v>
      </c>
      <c r="AG15" s="216" t="s">
        <v>18</v>
      </c>
      <c r="AH15" s="215" t="s">
        <v>17</v>
      </c>
      <c r="AI15" s="216" t="s">
        <v>18</v>
      </c>
      <c r="AJ15" s="215" t="s">
        <v>17</v>
      </c>
      <c r="AK15" s="216" t="s">
        <v>18</v>
      </c>
      <c r="AL15" s="61" t="s">
        <v>17</v>
      </c>
      <c r="AM15" s="62" t="s">
        <v>18</v>
      </c>
      <c r="AN15" s="215" t="s">
        <v>17</v>
      </c>
      <c r="AO15" s="216" t="s">
        <v>18</v>
      </c>
      <c r="AP15" s="215" t="s">
        <v>17</v>
      </c>
      <c r="AQ15" s="216" t="s">
        <v>18</v>
      </c>
      <c r="AR15" s="215" t="s">
        <v>17</v>
      </c>
      <c r="AS15" s="216" t="s">
        <v>18</v>
      </c>
      <c r="AT15" s="61" t="s">
        <v>17</v>
      </c>
      <c r="AU15" s="62" t="s">
        <v>18</v>
      </c>
      <c r="AV15" s="531"/>
      <c r="AW15" s="525"/>
      <c r="AX15" s="525"/>
      <c r="AY15" s="525"/>
      <c r="AZ15" s="525"/>
      <c r="BA15" s="513"/>
      <c r="BB15" s="513"/>
      <c r="BC15" s="513"/>
      <c r="BD15" s="513"/>
      <c r="BE15" s="507"/>
      <c r="BF15" s="507"/>
      <c r="BG15" s="507"/>
      <c r="BH15" s="507"/>
    </row>
    <row r="16" spans="2:60" ht="128.25" customHeight="1">
      <c r="B16" s="462"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462" t="str">
        <f>+'01-FR-03 POA INSTITUCIONAL'!C55</f>
        <v>4.2. Consolidar el 90% del Modelo Integrado de Planeación y Gestión –MIPG- y sus sistemas de gestión articulados, como compromiso con la Calidad, la Excelencia, la Responsabilidad Ambiental y la Mejora en la prestación del Servicio.</v>
      </c>
      <c r="D16" s="19" t="str">
        <f>+'01-FR-03 POA INSTITUCIONAL'!D59</f>
        <v>4.2.5 Incrementar al 90% la percepción de los usuarios que califican como excelente y bueno el servicio en la Personería de Bogotá</v>
      </c>
      <c r="E16" s="37">
        <f>+'01-FR-03 POA INSTITUCIONAL'!E59</f>
        <v>0.2</v>
      </c>
      <c r="F16" s="162">
        <f>+'01-FR-03 POA INSTITUCIONAL'!F59</f>
        <v>0.9</v>
      </c>
      <c r="G16" s="162">
        <f>+'01-FR-03 POA INSTITUCIONAL'!L59</f>
        <v>0.9</v>
      </c>
      <c r="H16" s="21">
        <f>+'01-FR-03 POA INSTITUCIONAL'!G59</f>
        <v>0.86</v>
      </c>
      <c r="I16" s="21" t="str">
        <f>+'01-FR-03 POA INSTITUCIONAL'!H59</f>
        <v>Porcentaje de Percepción de los usuarios en calificación excelente y bueno incrementado</v>
      </c>
      <c r="J16" s="198" t="s">
        <v>358</v>
      </c>
      <c r="K16" s="201" t="s">
        <v>359</v>
      </c>
      <c r="L16" s="201" t="s">
        <v>360</v>
      </c>
      <c r="M16" s="201" t="s">
        <v>361</v>
      </c>
      <c r="N16" s="201" t="s">
        <v>362</v>
      </c>
      <c r="O16" s="22" t="str">
        <f>+'01-FR-03 POA INSTITUCIONAL'!J59</f>
        <v>Secretaría General</v>
      </c>
      <c r="P16" s="301">
        <v>0.9</v>
      </c>
      <c r="Q16" s="302"/>
      <c r="R16" s="301">
        <v>0</v>
      </c>
      <c r="S16" s="302"/>
      <c r="T16" s="301">
        <v>0</v>
      </c>
      <c r="U16" s="302"/>
      <c r="V16" s="303">
        <f>P16+R16+T16</f>
        <v>0.9</v>
      </c>
      <c r="W16" s="304">
        <f>Q16+S16+U16</f>
        <v>0</v>
      </c>
      <c r="X16" s="301">
        <v>0</v>
      </c>
      <c r="Y16" s="302"/>
      <c r="Z16" s="301">
        <v>0</v>
      </c>
      <c r="AA16" s="302"/>
      <c r="AB16" s="301">
        <v>0</v>
      </c>
      <c r="AC16" s="302"/>
      <c r="AD16" s="304">
        <f>X16+Z16+AB16</f>
        <v>0</v>
      </c>
      <c r="AE16" s="304">
        <f>Y16+AA16+AC16</f>
        <v>0</v>
      </c>
      <c r="AF16" s="301">
        <v>0.9</v>
      </c>
      <c r="AG16" s="302"/>
      <c r="AH16" s="301">
        <v>0</v>
      </c>
      <c r="AI16" s="302"/>
      <c r="AJ16" s="301">
        <v>0</v>
      </c>
      <c r="AK16" s="305"/>
      <c r="AL16" s="303">
        <f>AF16+AH16+AJ16</f>
        <v>0.9</v>
      </c>
      <c r="AM16" s="304">
        <f>AG16+AI16+AK16</f>
        <v>0</v>
      </c>
      <c r="AN16" s="301">
        <v>0</v>
      </c>
      <c r="AO16" s="302"/>
      <c r="AP16" s="301">
        <v>0</v>
      </c>
      <c r="AQ16" s="302"/>
      <c r="AR16" s="301">
        <v>0</v>
      </c>
      <c r="AS16" s="302"/>
      <c r="AT16" s="304">
        <f>AN16+AP16+AR16</f>
        <v>0</v>
      </c>
      <c r="AU16" s="304">
        <f>AO16+AQ16+AS16</f>
        <v>0</v>
      </c>
      <c r="AV16" s="303">
        <f>AVERAGE(V16,AL16)</f>
        <v>0.9</v>
      </c>
      <c r="AW16" s="306">
        <f t="shared" ref="AW16:AW17" si="0">+W16</f>
        <v>0</v>
      </c>
      <c r="AX16" s="306">
        <f t="shared" ref="AX16:AX17" si="1">+W16+AE16</f>
        <v>0</v>
      </c>
      <c r="AY16" s="306">
        <f t="shared" ref="AY16:AY17" si="2">+W16+AE16+AM16</f>
        <v>0</v>
      </c>
      <c r="AZ16" s="306">
        <f t="shared" ref="AZ16:AZ17" si="3">+W16+AE16+AM16+AU16</f>
        <v>0</v>
      </c>
      <c r="BA16" s="28">
        <f t="shared" ref="BA16:BA17" si="4">IF(AND(AW16&gt;0,AV16&gt;0),AW16/AV16,0)</f>
        <v>0</v>
      </c>
      <c r="BB16" s="28">
        <f t="shared" ref="BB16:BD18" si="5">IF(AND(AX16&gt;0,$AV16&gt;0),AX16/$AV16,0)</f>
        <v>0</v>
      </c>
      <c r="BC16" s="28">
        <f t="shared" si="5"/>
        <v>0</v>
      </c>
      <c r="BD16" s="28">
        <f t="shared" si="5"/>
        <v>0</v>
      </c>
      <c r="BE16" s="28">
        <f t="shared" ref="BE16:BH18" si="6">(IF(AND(AW16&gt;0,$AV16&gt;0),AW16/$AV16,0))*$E16</f>
        <v>0</v>
      </c>
      <c r="BF16" s="28">
        <f t="shared" si="6"/>
        <v>0</v>
      </c>
      <c r="BG16" s="28">
        <f t="shared" si="6"/>
        <v>0</v>
      </c>
      <c r="BH16" s="28">
        <f t="shared" si="6"/>
        <v>0</v>
      </c>
    </row>
    <row r="17" spans="2:60" ht="128.25" customHeight="1">
      <c r="B17" s="463"/>
      <c r="C17" s="463"/>
      <c r="D17" s="19" t="str">
        <f>+'01-FR-03 POA INSTITUCIONAL'!D60</f>
        <v xml:space="preserve">4.2.6 Implementar 7 lineamientos en compromiso con la calidad para satisfacer las necesidades y expectativas de los (as) usuarios(as) y partes interesadas </v>
      </c>
      <c r="E17" s="37">
        <f>+'01-FR-03 POA INSTITUCIONAL'!E60</f>
        <v>0.15</v>
      </c>
      <c r="F17" s="298">
        <f>+'01-FR-03 POA INSTITUCIONAL'!F60</f>
        <v>7</v>
      </c>
      <c r="G17" s="298">
        <f>+'01-FR-03 POA INSTITUCIONAL'!L60</f>
        <v>3</v>
      </c>
      <c r="H17" s="298">
        <f>+'01-FR-03 POA INSTITUCIONAL'!G60</f>
        <v>3</v>
      </c>
      <c r="I17" s="21" t="str">
        <f>+'01-FR-03 POA INSTITUCIONAL'!H60</f>
        <v>Lineamientos implementados</v>
      </c>
      <c r="J17" s="198" t="s">
        <v>363</v>
      </c>
      <c r="K17" s="201" t="s">
        <v>364</v>
      </c>
      <c r="L17" s="209" t="s">
        <v>366</v>
      </c>
      <c r="M17" s="201" t="s">
        <v>365</v>
      </c>
      <c r="N17" s="201" t="s">
        <v>362</v>
      </c>
      <c r="O17" s="22" t="str">
        <f>+'01-FR-03 POA INSTITUCIONAL'!J60</f>
        <v>Secretaría General</v>
      </c>
      <c r="P17" s="302">
        <v>1</v>
      </c>
      <c r="Q17" s="302"/>
      <c r="R17" s="302">
        <v>0</v>
      </c>
      <c r="S17" s="302"/>
      <c r="T17" s="302">
        <v>0</v>
      </c>
      <c r="U17" s="302"/>
      <c r="V17" s="304">
        <f t="shared" ref="V17:W17" si="7">P17+R17+T17</f>
        <v>1</v>
      </c>
      <c r="W17" s="304">
        <f t="shared" si="7"/>
        <v>0</v>
      </c>
      <c r="X17" s="302">
        <v>0</v>
      </c>
      <c r="Y17" s="302"/>
      <c r="Z17" s="302">
        <v>0</v>
      </c>
      <c r="AA17" s="302"/>
      <c r="AB17" s="302">
        <v>1</v>
      </c>
      <c r="AC17" s="302"/>
      <c r="AD17" s="304">
        <f t="shared" ref="AD17:AE17" si="8">X17+Z17+AB17</f>
        <v>1</v>
      </c>
      <c r="AE17" s="304">
        <f t="shared" si="8"/>
        <v>0</v>
      </c>
      <c r="AF17" s="302">
        <v>0</v>
      </c>
      <c r="AG17" s="302"/>
      <c r="AH17" s="302">
        <v>0</v>
      </c>
      <c r="AI17" s="302"/>
      <c r="AJ17" s="302">
        <v>0</v>
      </c>
      <c r="AK17" s="305"/>
      <c r="AL17" s="304">
        <f t="shared" ref="AL17:AM17" si="9">AF17+AH17+AJ17</f>
        <v>0</v>
      </c>
      <c r="AM17" s="304">
        <f t="shared" si="9"/>
        <v>0</v>
      </c>
      <c r="AN17" s="302">
        <v>0</v>
      </c>
      <c r="AO17" s="302"/>
      <c r="AP17" s="302">
        <v>1</v>
      </c>
      <c r="AQ17" s="302"/>
      <c r="AR17" s="302">
        <v>0</v>
      </c>
      <c r="AS17" s="302"/>
      <c r="AT17" s="304">
        <f t="shared" ref="AT17:AU17" si="10">AN17+AP17+AR17</f>
        <v>1</v>
      </c>
      <c r="AU17" s="304">
        <f t="shared" si="10"/>
        <v>0</v>
      </c>
      <c r="AV17" s="307">
        <f t="shared" ref="AV17" si="11">V17+AD17+AL17+AT17</f>
        <v>3</v>
      </c>
      <c r="AW17" s="306">
        <f t="shared" si="0"/>
        <v>0</v>
      </c>
      <c r="AX17" s="306">
        <f t="shared" si="1"/>
        <v>0</v>
      </c>
      <c r="AY17" s="306">
        <f t="shared" si="2"/>
        <v>0</v>
      </c>
      <c r="AZ17" s="306">
        <f t="shared" si="3"/>
        <v>0</v>
      </c>
      <c r="BA17" s="28">
        <f t="shared" si="4"/>
        <v>0</v>
      </c>
      <c r="BB17" s="28">
        <f t="shared" si="5"/>
        <v>0</v>
      </c>
      <c r="BC17" s="28">
        <f t="shared" si="5"/>
        <v>0</v>
      </c>
      <c r="BD17" s="28">
        <f t="shared" si="5"/>
        <v>0</v>
      </c>
      <c r="BE17" s="28">
        <f t="shared" si="6"/>
        <v>0</v>
      </c>
      <c r="BF17" s="28">
        <f t="shared" si="6"/>
        <v>0</v>
      </c>
      <c r="BG17" s="28">
        <f t="shared" si="6"/>
        <v>0</v>
      </c>
      <c r="BH17" s="28">
        <f t="shared" si="6"/>
        <v>0</v>
      </c>
    </row>
    <row r="18" spans="2:60" ht="128.25" customHeight="1">
      <c r="B18" s="174"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8" s="19" t="str">
        <f>+'01-FR-03 POA INSTITUCIONAL'!C95</f>
        <v>4.7. Articular el 100% de las acciones de trabajo interinstitucional y cooperación nacional e internacional que permita aunar esfuerzos para el cumplimiento de la misión institucional.</v>
      </c>
      <c r="D18" s="19" t="str">
        <f>+'01-FR-03 POA INSTITUCIONAL'!D95</f>
        <v>4.7.1 Gestionar 3 acuerdos interinstitucionales o de cooperación nacional y/o internacional para garantizar el enfoque social, en el marco de un estado pluralista, para el fortalecimiento de la prestación del servicio al usuario</v>
      </c>
      <c r="E18" s="37">
        <f>+'01-FR-03 POA INSTITUCIONAL'!E95</f>
        <v>1</v>
      </c>
      <c r="F18" s="298">
        <f>+'01-FR-03 POA INSTITUCIONAL'!F95</f>
        <v>3</v>
      </c>
      <c r="G18" s="298">
        <f>+'01-FR-03 POA INSTITUCIONAL'!L95</f>
        <v>1</v>
      </c>
      <c r="H18" s="129" t="str">
        <f>+'01-FR-03 POA INSTITUCIONAL'!G95</f>
        <v>S.I.</v>
      </c>
      <c r="I18" s="129" t="str">
        <f>+'01-FR-03 POA INSTITUCIONAL'!H95</f>
        <v>Acuerdos interinstitucionales gestionados</v>
      </c>
      <c r="J18" s="198" t="s">
        <v>369</v>
      </c>
      <c r="K18" s="201" t="s">
        <v>370</v>
      </c>
      <c r="L18" s="201" t="s">
        <v>371</v>
      </c>
      <c r="M18" s="201" t="s">
        <v>365</v>
      </c>
      <c r="N18" s="201" t="s">
        <v>362</v>
      </c>
      <c r="O18" s="22" t="str">
        <f>+'01-FR-03 POA INSTITUCIONAL'!J95</f>
        <v>Secretaría General</v>
      </c>
      <c r="P18" s="245">
        <v>0</v>
      </c>
      <c r="Q18" s="245"/>
      <c r="R18" s="245">
        <v>0</v>
      </c>
      <c r="S18" s="245"/>
      <c r="T18" s="245">
        <v>0</v>
      </c>
      <c r="U18" s="245"/>
      <c r="V18" s="53">
        <f t="shared" ref="V18:W18" si="12">P18+R18+T18</f>
        <v>0</v>
      </c>
      <c r="W18" s="53">
        <f t="shared" si="12"/>
        <v>0</v>
      </c>
      <c r="X18" s="245">
        <v>0</v>
      </c>
      <c r="Y18" s="245"/>
      <c r="Z18" s="245">
        <v>0</v>
      </c>
      <c r="AA18" s="245"/>
      <c r="AB18" s="245">
        <v>0</v>
      </c>
      <c r="AC18" s="245"/>
      <c r="AD18" s="53">
        <f t="shared" ref="AD18:AE18" si="13">X18+Z18+AB18</f>
        <v>0</v>
      </c>
      <c r="AE18" s="53">
        <f t="shared" si="13"/>
        <v>0</v>
      </c>
      <c r="AF18" s="245">
        <v>0</v>
      </c>
      <c r="AG18" s="245"/>
      <c r="AH18" s="245">
        <v>0</v>
      </c>
      <c r="AI18" s="245"/>
      <c r="AJ18" s="246">
        <v>0</v>
      </c>
      <c r="AK18" s="246"/>
      <c r="AL18" s="53">
        <f t="shared" ref="AL18:AM18" si="14">AF18+AH18+AJ18</f>
        <v>0</v>
      </c>
      <c r="AM18" s="53">
        <f t="shared" si="14"/>
        <v>0</v>
      </c>
      <c r="AN18" s="245">
        <v>0</v>
      </c>
      <c r="AO18" s="245"/>
      <c r="AP18" s="245">
        <v>1</v>
      </c>
      <c r="AQ18" s="245"/>
      <c r="AR18" s="245">
        <v>0</v>
      </c>
      <c r="AS18" s="245"/>
      <c r="AT18" s="53">
        <f t="shared" ref="AT18:AU18" si="15">AN18+AP18+AR18</f>
        <v>1</v>
      </c>
      <c r="AU18" s="53">
        <f t="shared" si="15"/>
        <v>0</v>
      </c>
      <c r="AV18" s="221">
        <f t="shared" ref="AV18" si="16">V18+AD18+AL18+AT18</f>
        <v>1</v>
      </c>
      <c r="AW18" s="69">
        <f t="shared" ref="AW18" si="17">+W18</f>
        <v>0</v>
      </c>
      <c r="AX18" s="69">
        <f t="shared" ref="AX18" si="18">+W18+AE18</f>
        <v>0</v>
      </c>
      <c r="AY18" s="69">
        <f t="shared" ref="AY18" si="19">+W18+AE18+AM18</f>
        <v>0</v>
      </c>
      <c r="AZ18" s="69">
        <f t="shared" ref="AZ18" si="20">+W18+AE18+AM18+AU18</f>
        <v>0</v>
      </c>
      <c r="BA18" s="28">
        <f t="shared" ref="BA18" si="21">IF(AND(AW18&gt;0,AV18&gt;0),AW18/AV18,0)</f>
        <v>0</v>
      </c>
      <c r="BB18" s="28">
        <f t="shared" si="5"/>
        <v>0</v>
      </c>
      <c r="BC18" s="28">
        <f t="shared" si="5"/>
        <v>0</v>
      </c>
      <c r="BD18" s="28">
        <f t="shared" si="5"/>
        <v>0</v>
      </c>
      <c r="BE18" s="28">
        <f t="shared" si="6"/>
        <v>0</v>
      </c>
      <c r="BF18" s="28">
        <f t="shared" si="6"/>
        <v>0</v>
      </c>
      <c r="BG18" s="28">
        <f t="shared" si="6"/>
        <v>0</v>
      </c>
      <c r="BH18" s="28">
        <f t="shared" si="6"/>
        <v>0</v>
      </c>
    </row>
    <row r="19" spans="2:60" ht="22.8">
      <c r="B19" s="496"/>
      <c r="C19" s="497"/>
      <c r="D19" s="497"/>
      <c r="E19" s="497"/>
      <c r="F19" s="497"/>
      <c r="G19" s="497"/>
      <c r="H19" s="497"/>
      <c r="I19" s="497"/>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c r="AG19" s="497"/>
      <c r="AH19" s="497"/>
      <c r="AI19" s="497"/>
      <c r="AJ19" s="497"/>
      <c r="AK19" s="497"/>
      <c r="AL19" s="497"/>
      <c r="AM19" s="497"/>
      <c r="AN19" s="497"/>
      <c r="AO19" s="497"/>
      <c r="AP19" s="497"/>
      <c r="AQ19" s="497"/>
      <c r="AR19" s="497"/>
      <c r="AS19" s="497"/>
      <c r="AT19" s="497"/>
      <c r="AU19" s="497"/>
      <c r="AV19" s="497"/>
      <c r="AW19" s="548"/>
      <c r="AX19" s="518" t="s">
        <v>19</v>
      </c>
      <c r="AY19" s="570"/>
      <c r="AZ19" s="570"/>
      <c r="BA19" s="56">
        <f t="shared" ref="BA19:BH19" si="22">AVERAGE(BA18:BA18)</f>
        <v>0</v>
      </c>
      <c r="BB19" s="56">
        <f t="shared" si="22"/>
        <v>0</v>
      </c>
      <c r="BC19" s="56">
        <f t="shared" si="22"/>
        <v>0</v>
      </c>
      <c r="BD19" s="56">
        <f t="shared" si="22"/>
        <v>0</v>
      </c>
      <c r="BE19" s="56">
        <f t="shared" si="22"/>
        <v>0</v>
      </c>
      <c r="BF19" s="56">
        <f t="shared" si="22"/>
        <v>0</v>
      </c>
      <c r="BG19" s="56">
        <f t="shared" si="22"/>
        <v>0</v>
      </c>
      <c r="BH19" s="56">
        <f t="shared" si="22"/>
        <v>0</v>
      </c>
    </row>
    <row r="20" spans="2:60">
      <c r="B20" s="453"/>
      <c r="C20" s="453"/>
      <c r="D20" s="453"/>
      <c r="E20" s="453"/>
      <c r="F20" s="453"/>
      <c r="G20" s="453"/>
      <c r="H20" s="223"/>
      <c r="I20" s="224"/>
      <c r="J20" s="224"/>
      <c r="K20" s="224"/>
      <c r="L20" s="224"/>
      <c r="M20" s="224"/>
      <c r="N20" s="224"/>
      <c r="O20" s="224"/>
    </row>
    <row r="21" spans="2:60">
      <c r="B21" s="224"/>
      <c r="C21" s="224"/>
      <c r="D21" s="549"/>
      <c r="E21" s="549"/>
      <c r="F21" s="549"/>
      <c r="G21" s="549"/>
      <c r="H21" s="549"/>
      <c r="I21" s="549"/>
      <c r="J21" s="549"/>
      <c r="K21" s="549"/>
      <c r="L21" s="549"/>
      <c r="M21" s="549"/>
      <c r="N21" s="549"/>
      <c r="O21" s="549"/>
    </row>
    <row r="22" spans="2:60" ht="15.6">
      <c r="B22" s="63" t="s">
        <v>26</v>
      </c>
      <c r="C22" s="225">
        <v>44224</v>
      </c>
      <c r="D22" s="226"/>
      <c r="E22" s="558" t="s">
        <v>50</v>
      </c>
      <c r="F22" s="346"/>
      <c r="G22" s="649" t="s">
        <v>372</v>
      </c>
      <c r="H22" s="649"/>
      <c r="I22" s="649"/>
      <c r="J22" s="649"/>
      <c r="K22" s="227"/>
      <c r="L22" s="559"/>
      <c r="M22" s="559"/>
      <c r="N22" s="559"/>
      <c r="O22" s="560"/>
    </row>
    <row r="23" spans="2:60" ht="15.6">
      <c r="B23" s="224"/>
      <c r="C23" s="224"/>
      <c r="D23" s="227"/>
      <c r="E23" s="558"/>
      <c r="F23" s="346"/>
      <c r="G23" s="649"/>
      <c r="H23" s="649"/>
      <c r="I23" s="649"/>
      <c r="J23" s="649"/>
      <c r="K23" s="224"/>
      <c r="L23" s="224"/>
      <c r="M23" s="224"/>
      <c r="N23" s="224"/>
      <c r="O23" s="224"/>
    </row>
    <row r="24" spans="2:60" ht="15.6">
      <c r="B24" s="63" t="s">
        <v>49</v>
      </c>
      <c r="C24" s="65">
        <v>44581</v>
      </c>
      <c r="D24" s="224"/>
      <c r="E24" s="224"/>
      <c r="F24" s="224"/>
      <c r="K24" s="224"/>
      <c r="L24" s="224"/>
      <c r="M24" s="224"/>
      <c r="N24" s="224"/>
      <c r="O24" s="224"/>
    </row>
    <row r="25" spans="2:60">
      <c r="B25" s="224"/>
      <c r="C25" s="224"/>
      <c r="D25" s="224"/>
      <c r="E25" s="224"/>
      <c r="F25" s="224"/>
      <c r="K25" s="224"/>
      <c r="L25" s="224"/>
      <c r="M25" s="224"/>
      <c r="N25" s="224"/>
      <c r="O25" s="224"/>
    </row>
    <row r="26" spans="2:60">
      <c r="B26" s="189" t="s">
        <v>673</v>
      </c>
      <c r="C26" s="224"/>
      <c r="D26" s="224"/>
      <c r="E26" s="224"/>
      <c r="F26" s="224"/>
      <c r="G26" s="223"/>
      <c r="H26" s="223"/>
      <c r="I26" s="575"/>
      <c r="J26" s="575"/>
      <c r="K26" s="575"/>
      <c r="L26" s="575"/>
      <c r="M26" s="228"/>
      <c r="N26" s="228"/>
      <c r="O26" s="228"/>
    </row>
    <row r="27" spans="2:60">
      <c r="C27" s="224"/>
      <c r="D27" s="224"/>
      <c r="E27" s="224"/>
      <c r="F27" s="224"/>
      <c r="G27" s="223"/>
      <c r="H27" s="223"/>
      <c r="I27" s="224"/>
      <c r="J27" s="224"/>
      <c r="K27" s="229"/>
      <c r="L27" s="224"/>
      <c r="M27" s="224"/>
      <c r="N27" s="224"/>
      <c r="O27" s="224"/>
    </row>
    <row r="28" spans="2:60">
      <c r="B28" s="224"/>
      <c r="C28" s="224"/>
      <c r="D28" s="224"/>
      <c r="E28" s="224"/>
      <c r="F28" s="224"/>
      <c r="G28" s="223"/>
      <c r="H28" s="223"/>
      <c r="I28" s="575"/>
      <c r="J28" s="575"/>
      <c r="K28" s="575"/>
      <c r="L28" s="575"/>
      <c r="M28" s="228"/>
      <c r="N28" s="228"/>
      <c r="O28" s="228"/>
    </row>
    <row r="29" spans="2:60">
      <c r="B29" s="224"/>
      <c r="C29" s="224"/>
      <c r="D29" s="224"/>
      <c r="E29" s="224"/>
      <c r="F29" s="224"/>
      <c r="G29" s="223"/>
      <c r="H29" s="223"/>
      <c r="I29" s="224"/>
      <c r="J29" s="224"/>
      <c r="K29" s="229"/>
      <c r="L29" s="224"/>
      <c r="M29" s="224"/>
      <c r="N29" s="224"/>
      <c r="O29" s="224"/>
    </row>
    <row r="30" spans="2:60">
      <c r="B30" s="224"/>
      <c r="C30" s="224"/>
      <c r="D30" s="224"/>
      <c r="E30" s="224"/>
      <c r="F30" s="224"/>
      <c r="G30" s="223"/>
      <c r="H30" s="223"/>
      <c r="I30" s="575"/>
      <c r="J30" s="575"/>
      <c r="K30" s="575"/>
      <c r="L30" s="575"/>
      <c r="M30" s="228"/>
      <c r="N30" s="228"/>
      <c r="O30" s="228"/>
    </row>
  </sheetData>
  <sheetProtection algorithmName="SHA-512" hashValue="QG59nY01RcI0Fa2llx/keJQV+nVNrvyLKh+pgUgwCZ5qQnaex7MEylAEbFsNUUkw0kFoE3NE6Jb7D5r1rpIFuA==" saltValue="Wp0L0g1FJlZ4hs+Wpv/nQA==" spinCount="100000" sheet="1" objects="1" scenarios="1"/>
  <mergeCells count="70">
    <mergeCell ref="B16:B17"/>
    <mergeCell ref="C16:C17"/>
    <mergeCell ref="BG6:BH6"/>
    <mergeCell ref="AW7:BA7"/>
    <mergeCell ref="C8:D8"/>
    <mergeCell ref="C10:D10"/>
    <mergeCell ref="B12:B15"/>
    <mergeCell ref="C12:C15"/>
    <mergeCell ref="D12:D15"/>
    <mergeCell ref="E12:E15"/>
    <mergeCell ref="BE12:BH12"/>
    <mergeCell ref="P13:W13"/>
    <mergeCell ref="X13:AE13"/>
    <mergeCell ref="AF13:AM13"/>
    <mergeCell ref="AZ13:AZ15"/>
    <mergeCell ref="G12:G15"/>
    <mergeCell ref="C9:D9"/>
    <mergeCell ref="B2:B6"/>
    <mergeCell ref="BE13:BE15"/>
    <mergeCell ref="BF13:BF15"/>
    <mergeCell ref="N12:N15"/>
    <mergeCell ref="O12:O15"/>
    <mergeCell ref="M12:M15"/>
    <mergeCell ref="H12:H15"/>
    <mergeCell ref="I12:I15"/>
    <mergeCell ref="J12:J15"/>
    <mergeCell ref="K12:K15"/>
    <mergeCell ref="L12:L15"/>
    <mergeCell ref="F12:F15"/>
    <mergeCell ref="BG13:BG15"/>
    <mergeCell ref="V14:W14"/>
    <mergeCell ref="X14:Y14"/>
    <mergeCell ref="Z14:AA14"/>
    <mergeCell ref="BD13:BD15"/>
    <mergeCell ref="AB14:AC14"/>
    <mergeCell ref="AP14:AQ14"/>
    <mergeCell ref="AR14:AS14"/>
    <mergeCell ref="AT14:AU14"/>
    <mergeCell ref="AN14:AO14"/>
    <mergeCell ref="AY13:AY15"/>
    <mergeCell ref="AL14:AM14"/>
    <mergeCell ref="AN13:AU13"/>
    <mergeCell ref="AW13:AW15"/>
    <mergeCell ref="AX13:AX15"/>
    <mergeCell ref="BH13:BH15"/>
    <mergeCell ref="C2:BF6"/>
    <mergeCell ref="BA13:BA15"/>
    <mergeCell ref="P12:AU12"/>
    <mergeCell ref="AV12:AV15"/>
    <mergeCell ref="AW12:AZ12"/>
    <mergeCell ref="BA12:BD12"/>
    <mergeCell ref="BB13:BB15"/>
    <mergeCell ref="BC13:BC15"/>
    <mergeCell ref="AD14:AE14"/>
    <mergeCell ref="AF14:AG14"/>
    <mergeCell ref="AH14:AI14"/>
    <mergeCell ref="AJ14:AK14"/>
    <mergeCell ref="P14:Q14"/>
    <mergeCell ref="R14:S14"/>
    <mergeCell ref="T14:U14"/>
    <mergeCell ref="I28:L28"/>
    <mergeCell ref="I30:L30"/>
    <mergeCell ref="B20:G20"/>
    <mergeCell ref="AX19:AZ19"/>
    <mergeCell ref="D21:O21"/>
    <mergeCell ref="E22:E23"/>
    <mergeCell ref="G22:J23"/>
    <mergeCell ref="L22:O22"/>
    <mergeCell ref="I26:L26"/>
    <mergeCell ref="B19:AW19"/>
  </mergeCells>
  <conditionalFormatting sqref="BA18:BH18">
    <cfRule type="cellIs" dxfId="23" priority="4" operator="between">
      <formula>0.7</formula>
      <formula>1</formula>
    </cfRule>
    <cfRule type="cellIs" dxfId="22" priority="5" operator="between">
      <formula>0.51</formula>
      <formula>0.69</formula>
    </cfRule>
    <cfRule type="cellIs" dxfId="21" priority="6" operator="between">
      <formula>0</formula>
      <formula>0.5</formula>
    </cfRule>
  </conditionalFormatting>
  <conditionalFormatting sqref="BA16:BH17">
    <cfRule type="cellIs" dxfId="20" priority="1" operator="between">
      <formula>0.7</formula>
      <formula>1</formula>
    </cfRule>
    <cfRule type="cellIs" dxfId="19" priority="2" operator="between">
      <formula>0.51</formula>
      <formula>0.69</formula>
    </cfRule>
    <cfRule type="cellIs" dxfId="18"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5AC50712-266A-4C25-B8E4-4818A822153C}"/>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16C4C-9E24-48BA-A98B-58A98533CC27}">
  <sheetPr>
    <tabColor rgb="FF92D050"/>
  </sheetPr>
  <dimension ref="B1:BH30"/>
  <sheetViews>
    <sheetView showGridLines="0" zoomScale="55" zoomScaleNormal="55" workbookViewId="0">
      <selection activeCell="C24" sqref="C24"/>
    </sheetView>
  </sheetViews>
  <sheetFormatPr baseColWidth="10" defaultColWidth="17.33203125" defaultRowHeight="15" customHeight="1"/>
  <cols>
    <col min="1" max="1" width="4.33203125" style="124" customWidth="1"/>
    <col min="2" max="2" width="50.44140625" style="122" customWidth="1"/>
    <col min="3" max="3" width="35.88671875" style="122" customWidth="1"/>
    <col min="4" max="4" width="49.6640625" style="122" customWidth="1"/>
    <col min="5" max="6" width="27.5546875" style="122" customWidth="1"/>
    <col min="7" max="8" width="29.33203125" style="123" customWidth="1"/>
    <col min="9" max="9" width="21.44140625" style="122" customWidth="1"/>
    <col min="10" max="10" width="31.88671875" style="122" customWidth="1"/>
    <col min="11" max="11" width="55.88671875" style="122" customWidth="1"/>
    <col min="12" max="12" width="48.44140625" style="122" customWidth="1"/>
    <col min="13" max="14" width="28.5546875" style="122" customWidth="1"/>
    <col min="15" max="15" width="50" style="122" customWidth="1"/>
    <col min="16" max="47" width="15.88671875" style="124" customWidth="1"/>
    <col min="48" max="48" width="24.5546875" style="124" customWidth="1"/>
    <col min="49" max="49" width="22.88671875" style="124" customWidth="1"/>
    <col min="50" max="50" width="19.33203125" style="124" customWidth="1"/>
    <col min="51" max="51" width="18.44140625" style="124" customWidth="1"/>
    <col min="52" max="52" width="19.44140625" style="124" customWidth="1"/>
    <col min="53" max="53" width="23.33203125" style="124" customWidth="1"/>
    <col min="54" max="55" width="25.109375" style="124" customWidth="1"/>
    <col min="56" max="56" width="26.6640625" style="124" customWidth="1"/>
    <col min="57" max="57" width="26.33203125" style="124" customWidth="1"/>
    <col min="58" max="58" width="26.5546875" style="124" customWidth="1"/>
    <col min="59" max="59" width="26.33203125" style="124" customWidth="1"/>
    <col min="60" max="60" width="27.33203125" style="124" customWidth="1"/>
    <col min="61" max="16384" width="17.33203125" style="124"/>
  </cols>
  <sheetData>
    <row r="1" spans="2:60" ht="15.6" thickBot="1"/>
    <row r="2" spans="2:60" ht="15.6" customHeight="1">
      <c r="B2" s="489" t="s">
        <v>671</v>
      </c>
      <c r="C2" s="534" t="s">
        <v>117</v>
      </c>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35"/>
      <c r="AL2" s="535"/>
      <c r="AM2" s="535"/>
      <c r="AN2" s="535"/>
      <c r="AO2" s="535"/>
      <c r="AP2" s="535"/>
      <c r="AQ2" s="535"/>
      <c r="AR2" s="535"/>
      <c r="AS2" s="535"/>
      <c r="AT2" s="535"/>
      <c r="AU2" s="535"/>
      <c r="AV2" s="535"/>
      <c r="AW2" s="535"/>
      <c r="AX2" s="535"/>
      <c r="AY2" s="535"/>
      <c r="AZ2" s="535"/>
      <c r="BA2" s="535"/>
      <c r="BB2" s="535"/>
      <c r="BC2" s="535"/>
      <c r="BD2" s="535"/>
      <c r="BE2" s="535"/>
      <c r="BF2" s="536"/>
      <c r="BG2" s="190" t="s">
        <v>31</v>
      </c>
      <c r="BH2" s="191"/>
    </row>
    <row r="3" spans="2:60" ht="15.6" customHeight="1">
      <c r="B3" s="490"/>
      <c r="C3" s="537"/>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8"/>
      <c r="AZ3" s="538"/>
      <c r="BA3" s="538"/>
      <c r="BB3" s="538"/>
      <c r="BC3" s="538"/>
      <c r="BD3" s="538"/>
      <c r="BE3" s="538"/>
      <c r="BF3" s="539"/>
      <c r="BG3" s="192" t="s">
        <v>28</v>
      </c>
      <c r="BH3" s="17" t="s">
        <v>29</v>
      </c>
    </row>
    <row r="4" spans="2:60" ht="15" customHeight="1">
      <c r="B4" s="490"/>
      <c r="C4" s="537"/>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538"/>
      <c r="BF4" s="539"/>
      <c r="BG4" s="193">
        <v>5</v>
      </c>
      <c r="BH4" s="18" t="s">
        <v>652</v>
      </c>
    </row>
    <row r="5" spans="2:60" ht="15.6" customHeight="1">
      <c r="B5" s="490"/>
      <c r="C5" s="537"/>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538"/>
      <c r="BF5" s="539"/>
      <c r="BG5" s="194" t="s">
        <v>30</v>
      </c>
      <c r="BH5" s="195"/>
    </row>
    <row r="6" spans="2:60" ht="15.6" customHeight="1" thickBot="1">
      <c r="B6" s="491"/>
      <c r="C6" s="540"/>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1"/>
      <c r="AN6" s="541"/>
      <c r="AO6" s="541"/>
      <c r="AP6" s="541"/>
      <c r="AQ6" s="541"/>
      <c r="AR6" s="541"/>
      <c r="AS6" s="541"/>
      <c r="AT6" s="541"/>
      <c r="AU6" s="541"/>
      <c r="AV6" s="541"/>
      <c r="AW6" s="541"/>
      <c r="AX6" s="541"/>
      <c r="AY6" s="541"/>
      <c r="AZ6" s="541"/>
      <c r="BA6" s="541"/>
      <c r="BB6" s="541"/>
      <c r="BC6" s="541"/>
      <c r="BD6" s="541"/>
      <c r="BE6" s="541"/>
      <c r="BF6" s="542"/>
      <c r="BG6" s="556">
        <v>43941</v>
      </c>
      <c r="BH6" s="557"/>
    </row>
    <row r="7" spans="2:60">
      <c r="B7" s="125"/>
      <c r="C7" s="125"/>
      <c r="D7" s="125"/>
      <c r="E7" s="125"/>
      <c r="F7" s="125"/>
      <c r="G7" s="126"/>
      <c r="H7" s="126"/>
      <c r="I7" s="125"/>
      <c r="J7" s="125"/>
      <c r="K7" s="125"/>
      <c r="L7" s="125"/>
      <c r="M7" s="125"/>
      <c r="N7" s="125"/>
      <c r="O7" s="125"/>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528"/>
      <c r="AX7" s="559"/>
      <c r="AY7" s="559"/>
      <c r="AZ7" s="559"/>
      <c r="BA7" s="530"/>
      <c r="BB7" s="214"/>
      <c r="BC7" s="214"/>
      <c r="BD7" s="214"/>
      <c r="BE7" s="127"/>
      <c r="BF7" s="127"/>
    </row>
    <row r="8" spans="2:60" ht="21">
      <c r="B8" s="196" t="s">
        <v>45</v>
      </c>
      <c r="C8" s="576" t="s">
        <v>96</v>
      </c>
      <c r="D8" s="576"/>
      <c r="E8" s="197"/>
      <c r="F8" s="197"/>
      <c r="G8" s="197"/>
      <c r="H8" s="197"/>
      <c r="I8" s="197"/>
      <c r="J8" s="197"/>
      <c r="K8" s="197"/>
      <c r="L8" s="197"/>
      <c r="M8" s="197"/>
      <c r="N8" s="197"/>
      <c r="O8" s="197"/>
      <c r="AW8" s="214"/>
      <c r="AX8" s="214"/>
      <c r="AY8" s="214"/>
      <c r="AZ8" s="214"/>
      <c r="BA8" s="214"/>
      <c r="BB8" s="214"/>
      <c r="BC8" s="214"/>
      <c r="BD8" s="214"/>
    </row>
    <row r="9" spans="2:60" ht="92.25" customHeight="1">
      <c r="B9" s="196" t="s">
        <v>34</v>
      </c>
      <c r="C9" s="644" t="s">
        <v>541</v>
      </c>
      <c r="D9" s="515"/>
      <c r="E9" s="197"/>
      <c r="F9" s="197"/>
      <c r="G9" s="197"/>
      <c r="H9" s="197"/>
      <c r="I9" s="197"/>
      <c r="J9" s="197"/>
      <c r="K9" s="197"/>
      <c r="L9" s="197"/>
      <c r="M9" s="197"/>
      <c r="N9" s="197"/>
      <c r="O9" s="197"/>
      <c r="AW9" s="214"/>
      <c r="AX9" s="214"/>
      <c r="AY9" s="214"/>
      <c r="AZ9" s="214"/>
      <c r="BA9" s="214"/>
      <c r="BB9" s="214"/>
      <c r="BC9" s="214"/>
      <c r="BD9" s="214"/>
    </row>
    <row r="10" spans="2:60" ht="24.6">
      <c r="B10" s="196" t="s">
        <v>100</v>
      </c>
      <c r="C10" s="516">
        <v>2022</v>
      </c>
      <c r="D10" s="517"/>
      <c r="E10" s="197"/>
      <c r="F10" s="197"/>
      <c r="G10" s="197"/>
      <c r="H10" s="197"/>
      <c r="I10" s="197"/>
      <c r="J10" s="197"/>
      <c r="K10" s="197"/>
      <c r="L10" s="197"/>
      <c r="M10" s="197"/>
      <c r="N10" s="197"/>
      <c r="O10" s="197"/>
      <c r="AW10" s="214"/>
      <c r="AX10" s="214"/>
      <c r="AY10" s="214"/>
      <c r="AZ10" s="214"/>
      <c r="BA10" s="214"/>
      <c r="BB10" s="214"/>
      <c r="BC10" s="214"/>
      <c r="BD10" s="214"/>
    </row>
    <row r="11" spans="2:60">
      <c r="B11" s="125"/>
      <c r="C11" s="125"/>
      <c r="D11" s="125"/>
      <c r="E11" s="125"/>
      <c r="F11" s="125"/>
      <c r="G11" s="126"/>
      <c r="H11" s="126"/>
      <c r="I11" s="125"/>
      <c r="J11" s="125"/>
      <c r="K11" s="125"/>
      <c r="L11" s="125"/>
      <c r="M11" s="125"/>
      <c r="N11" s="125"/>
      <c r="O11" s="125"/>
      <c r="AW11" s="214"/>
      <c r="AX11" s="214"/>
      <c r="AY11" s="214"/>
      <c r="AZ11" s="214"/>
      <c r="BA11" s="214"/>
      <c r="BB11" s="214"/>
      <c r="BC11" s="214"/>
      <c r="BD11" s="214"/>
    </row>
    <row r="12" spans="2:60" ht="32.4" customHeight="1">
      <c r="B12" s="488" t="s">
        <v>0</v>
      </c>
      <c r="C12" s="488" t="s">
        <v>52</v>
      </c>
      <c r="D12" s="526" t="s">
        <v>674</v>
      </c>
      <c r="E12" s="488" t="s">
        <v>60</v>
      </c>
      <c r="F12" s="527" t="s">
        <v>743</v>
      </c>
      <c r="G12" s="488" t="s">
        <v>57</v>
      </c>
      <c r="H12" s="488" t="s">
        <v>25</v>
      </c>
      <c r="I12" s="488" t="s">
        <v>59</v>
      </c>
      <c r="J12" s="488" t="s">
        <v>39</v>
      </c>
      <c r="K12" s="488" t="s">
        <v>36</v>
      </c>
      <c r="L12" s="488" t="s">
        <v>20</v>
      </c>
      <c r="M12" s="488" t="s">
        <v>51</v>
      </c>
      <c r="N12" s="488" t="s">
        <v>40</v>
      </c>
      <c r="O12" s="488" t="s">
        <v>42</v>
      </c>
      <c r="P12" s="533" t="s">
        <v>111</v>
      </c>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3"/>
      <c r="AN12" s="533"/>
      <c r="AO12" s="533"/>
      <c r="AP12" s="533"/>
      <c r="AQ12" s="533"/>
      <c r="AR12" s="533"/>
      <c r="AS12" s="533"/>
      <c r="AT12" s="533"/>
      <c r="AU12" s="533"/>
      <c r="AV12" s="531" t="s">
        <v>61</v>
      </c>
      <c r="AW12" s="520" t="s">
        <v>675</v>
      </c>
      <c r="AX12" s="521"/>
      <c r="AY12" s="521"/>
      <c r="AZ12" s="522"/>
      <c r="BA12" s="508" t="s">
        <v>676</v>
      </c>
      <c r="BB12" s="509"/>
      <c r="BC12" s="509"/>
      <c r="BD12" s="510"/>
      <c r="BE12" s="502" t="s">
        <v>677</v>
      </c>
      <c r="BF12" s="503"/>
      <c r="BG12" s="503"/>
      <c r="BH12" s="504"/>
    </row>
    <row r="13" spans="2:60" ht="15.6">
      <c r="B13" s="488"/>
      <c r="C13" s="488"/>
      <c r="D13" s="526"/>
      <c r="E13" s="488"/>
      <c r="F13" s="527"/>
      <c r="G13" s="488"/>
      <c r="H13" s="488"/>
      <c r="I13" s="488"/>
      <c r="J13" s="488"/>
      <c r="K13" s="488"/>
      <c r="L13" s="488"/>
      <c r="M13" s="488"/>
      <c r="N13" s="488"/>
      <c r="O13" s="488"/>
      <c r="P13" s="532" t="s">
        <v>21</v>
      </c>
      <c r="Q13" s="532"/>
      <c r="R13" s="532"/>
      <c r="S13" s="532"/>
      <c r="T13" s="532"/>
      <c r="U13" s="532"/>
      <c r="V13" s="532"/>
      <c r="W13" s="532"/>
      <c r="X13" s="532" t="s">
        <v>22</v>
      </c>
      <c r="Y13" s="532"/>
      <c r="Z13" s="532"/>
      <c r="AA13" s="532"/>
      <c r="AB13" s="532"/>
      <c r="AC13" s="532"/>
      <c r="AD13" s="532"/>
      <c r="AE13" s="532"/>
      <c r="AF13" s="532" t="s">
        <v>23</v>
      </c>
      <c r="AG13" s="532"/>
      <c r="AH13" s="532"/>
      <c r="AI13" s="532"/>
      <c r="AJ13" s="532"/>
      <c r="AK13" s="532"/>
      <c r="AL13" s="532"/>
      <c r="AM13" s="532"/>
      <c r="AN13" s="532" t="s">
        <v>24</v>
      </c>
      <c r="AO13" s="532"/>
      <c r="AP13" s="532"/>
      <c r="AQ13" s="532"/>
      <c r="AR13" s="532"/>
      <c r="AS13" s="532"/>
      <c r="AT13" s="532"/>
      <c r="AU13" s="532"/>
      <c r="AV13" s="531"/>
      <c r="AW13" s="523" t="s">
        <v>118</v>
      </c>
      <c r="AX13" s="523" t="s">
        <v>22</v>
      </c>
      <c r="AY13" s="523" t="s">
        <v>119</v>
      </c>
      <c r="AZ13" s="523" t="s">
        <v>120</v>
      </c>
      <c r="BA13" s="511" t="s">
        <v>118</v>
      </c>
      <c r="BB13" s="511" t="s">
        <v>121</v>
      </c>
      <c r="BC13" s="511" t="s">
        <v>122</v>
      </c>
      <c r="BD13" s="511" t="s">
        <v>123</v>
      </c>
      <c r="BE13" s="505" t="s">
        <v>21</v>
      </c>
      <c r="BF13" s="505" t="s">
        <v>22</v>
      </c>
      <c r="BG13" s="505" t="s">
        <v>23</v>
      </c>
      <c r="BH13" s="505" t="s">
        <v>24</v>
      </c>
    </row>
    <row r="14" spans="2:60" ht="15.6">
      <c r="B14" s="488"/>
      <c r="C14" s="488"/>
      <c r="D14" s="526"/>
      <c r="E14" s="488"/>
      <c r="F14" s="527"/>
      <c r="G14" s="488"/>
      <c r="H14" s="488"/>
      <c r="I14" s="488"/>
      <c r="J14" s="488"/>
      <c r="K14" s="488"/>
      <c r="L14" s="488"/>
      <c r="M14" s="488"/>
      <c r="N14" s="488"/>
      <c r="O14" s="488"/>
      <c r="P14" s="571" t="s">
        <v>5</v>
      </c>
      <c r="Q14" s="571"/>
      <c r="R14" s="571" t="s">
        <v>6</v>
      </c>
      <c r="S14" s="571"/>
      <c r="T14" s="571" t="s">
        <v>7</v>
      </c>
      <c r="U14" s="571"/>
      <c r="V14" s="533" t="s">
        <v>8</v>
      </c>
      <c r="W14" s="533"/>
      <c r="X14" s="571" t="s">
        <v>27</v>
      </c>
      <c r="Y14" s="571"/>
      <c r="Z14" s="571" t="s">
        <v>9</v>
      </c>
      <c r="AA14" s="571"/>
      <c r="AB14" s="571" t="s">
        <v>10</v>
      </c>
      <c r="AC14" s="571"/>
      <c r="AD14" s="533" t="s">
        <v>8</v>
      </c>
      <c r="AE14" s="533"/>
      <c r="AF14" s="571" t="s">
        <v>11</v>
      </c>
      <c r="AG14" s="571"/>
      <c r="AH14" s="571" t="s">
        <v>12</v>
      </c>
      <c r="AI14" s="571"/>
      <c r="AJ14" s="571" t="s">
        <v>13</v>
      </c>
      <c r="AK14" s="571"/>
      <c r="AL14" s="533" t="s">
        <v>8</v>
      </c>
      <c r="AM14" s="533"/>
      <c r="AN14" s="571" t="s">
        <v>14</v>
      </c>
      <c r="AO14" s="571"/>
      <c r="AP14" s="571" t="s">
        <v>15</v>
      </c>
      <c r="AQ14" s="571"/>
      <c r="AR14" s="571" t="s">
        <v>16</v>
      </c>
      <c r="AS14" s="571"/>
      <c r="AT14" s="533" t="s">
        <v>8</v>
      </c>
      <c r="AU14" s="533"/>
      <c r="AV14" s="531"/>
      <c r="AW14" s="524"/>
      <c r="AX14" s="524"/>
      <c r="AY14" s="524"/>
      <c r="AZ14" s="524"/>
      <c r="BA14" s="512"/>
      <c r="BB14" s="512"/>
      <c r="BC14" s="512"/>
      <c r="BD14" s="512"/>
      <c r="BE14" s="506"/>
      <c r="BF14" s="506"/>
      <c r="BG14" s="506"/>
      <c r="BH14" s="506"/>
    </row>
    <row r="15" spans="2:60" ht="13.2" customHeight="1">
      <c r="B15" s="488"/>
      <c r="C15" s="488"/>
      <c r="D15" s="526"/>
      <c r="E15" s="488"/>
      <c r="F15" s="527"/>
      <c r="G15" s="488"/>
      <c r="H15" s="488"/>
      <c r="I15" s="488"/>
      <c r="J15" s="488"/>
      <c r="K15" s="488"/>
      <c r="L15" s="488"/>
      <c r="M15" s="488"/>
      <c r="N15" s="488"/>
      <c r="O15" s="488"/>
      <c r="P15" s="215" t="s">
        <v>17</v>
      </c>
      <c r="Q15" s="216" t="s">
        <v>18</v>
      </c>
      <c r="R15" s="215" t="s">
        <v>17</v>
      </c>
      <c r="S15" s="216" t="s">
        <v>18</v>
      </c>
      <c r="T15" s="215" t="s">
        <v>17</v>
      </c>
      <c r="U15" s="216" t="s">
        <v>18</v>
      </c>
      <c r="V15" s="61" t="s">
        <v>17</v>
      </c>
      <c r="W15" s="62" t="s">
        <v>18</v>
      </c>
      <c r="X15" s="215" t="s">
        <v>17</v>
      </c>
      <c r="Y15" s="216" t="s">
        <v>18</v>
      </c>
      <c r="Z15" s="215" t="s">
        <v>17</v>
      </c>
      <c r="AA15" s="216" t="s">
        <v>18</v>
      </c>
      <c r="AB15" s="215" t="s">
        <v>17</v>
      </c>
      <c r="AC15" s="216" t="s">
        <v>18</v>
      </c>
      <c r="AD15" s="61" t="s">
        <v>17</v>
      </c>
      <c r="AE15" s="62" t="s">
        <v>18</v>
      </c>
      <c r="AF15" s="215" t="s">
        <v>17</v>
      </c>
      <c r="AG15" s="216" t="s">
        <v>18</v>
      </c>
      <c r="AH15" s="215" t="s">
        <v>17</v>
      </c>
      <c r="AI15" s="216" t="s">
        <v>18</v>
      </c>
      <c r="AJ15" s="215" t="s">
        <v>17</v>
      </c>
      <c r="AK15" s="216" t="s">
        <v>18</v>
      </c>
      <c r="AL15" s="61" t="s">
        <v>17</v>
      </c>
      <c r="AM15" s="62" t="s">
        <v>18</v>
      </c>
      <c r="AN15" s="215" t="s">
        <v>17</v>
      </c>
      <c r="AO15" s="216" t="s">
        <v>18</v>
      </c>
      <c r="AP15" s="215" t="s">
        <v>17</v>
      </c>
      <c r="AQ15" s="216" t="s">
        <v>18</v>
      </c>
      <c r="AR15" s="215" t="s">
        <v>17</v>
      </c>
      <c r="AS15" s="216" t="s">
        <v>18</v>
      </c>
      <c r="AT15" s="61" t="s">
        <v>17</v>
      </c>
      <c r="AU15" s="62" t="s">
        <v>18</v>
      </c>
      <c r="AV15" s="531"/>
      <c r="AW15" s="525"/>
      <c r="AX15" s="525"/>
      <c r="AY15" s="525"/>
      <c r="AZ15" s="525"/>
      <c r="BA15" s="513"/>
      <c r="BB15" s="513"/>
      <c r="BC15" s="513"/>
      <c r="BD15" s="513"/>
      <c r="BE15" s="507"/>
      <c r="BF15" s="507"/>
      <c r="BG15" s="507"/>
      <c r="BH15" s="507"/>
    </row>
    <row r="16" spans="2:60" ht="110.25" customHeight="1">
      <c r="B16" s="500"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500" t="str">
        <f>+'01-FR-03 POA INSTITUCIONAL'!C87</f>
        <v>4.5. Desarrollar el 100% de las acciones relacionadas con el fomento de la Cultura del Autocontrol, la Autorregulación y la Autogestión institucional.</v>
      </c>
      <c r="D16" s="19" t="str">
        <f>+'01-FR-03 POA INSTITUCIONAL'!D87</f>
        <v xml:space="preserve">4.5.1 Emitir 96 solicitudes de aplicación de medidas de preservación del orden interno, con el fin de prevenir la materialización de conductas con alcance disciplinario. </v>
      </c>
      <c r="E16" s="37">
        <f>+'01-FR-03 POA INSTITUCIONAL'!E87</f>
        <v>0.05</v>
      </c>
      <c r="F16" s="299">
        <f>+'01-FR-03 POA INSTITUCIONAL'!F87</f>
        <v>96</v>
      </c>
      <c r="G16" s="299">
        <f>+'01-FR-03 POA INSTITUCIONAL'!L87</f>
        <v>24</v>
      </c>
      <c r="H16" s="129" t="str">
        <f>+'01-FR-03 POA INSTITUCIONAL'!G87</f>
        <v>S.I.</v>
      </c>
      <c r="I16" s="129" t="str">
        <f>+'01-FR-03 POA INSTITUCIONAL'!H87</f>
        <v>Medidas de preservación del orden interno emitidas</v>
      </c>
      <c r="J16" s="198" t="s">
        <v>536</v>
      </c>
      <c r="K16" s="217" t="s">
        <v>544</v>
      </c>
      <c r="L16" s="201" t="s">
        <v>537</v>
      </c>
      <c r="M16" s="218" t="s">
        <v>547</v>
      </c>
      <c r="N16" s="201" t="s">
        <v>548</v>
      </c>
      <c r="O16" s="300" t="str">
        <f>+'01-FR-03 POA INSTITUCIONAL'!J87</f>
        <v>Oficina Control Interno Disciplinario</v>
      </c>
      <c r="P16" s="219">
        <v>2</v>
      </c>
      <c r="Q16" s="219"/>
      <c r="R16" s="219">
        <v>2</v>
      </c>
      <c r="S16" s="219"/>
      <c r="T16" s="219">
        <v>2</v>
      </c>
      <c r="U16" s="219"/>
      <c r="V16" s="82">
        <f>P16+R16+T16</f>
        <v>6</v>
      </c>
      <c r="W16" s="82">
        <f>Q16+S16+U16</f>
        <v>0</v>
      </c>
      <c r="X16" s="219">
        <v>2</v>
      </c>
      <c r="Y16" s="219"/>
      <c r="Z16" s="219">
        <v>2</v>
      </c>
      <c r="AA16" s="219"/>
      <c r="AB16" s="219">
        <v>2</v>
      </c>
      <c r="AC16" s="219"/>
      <c r="AD16" s="82">
        <f>X16+Z16+AB16</f>
        <v>6</v>
      </c>
      <c r="AE16" s="82">
        <f>Y16+AA16+AC16</f>
        <v>0</v>
      </c>
      <c r="AF16" s="219">
        <v>2</v>
      </c>
      <c r="AG16" s="219"/>
      <c r="AH16" s="219">
        <v>2</v>
      </c>
      <c r="AI16" s="219"/>
      <c r="AJ16" s="220">
        <v>2</v>
      </c>
      <c r="AK16" s="220"/>
      <c r="AL16" s="82">
        <f>AF16+AH16+AJ16</f>
        <v>6</v>
      </c>
      <c r="AM16" s="82">
        <f>AG16+AI16+AK16</f>
        <v>0</v>
      </c>
      <c r="AN16" s="219">
        <v>2</v>
      </c>
      <c r="AO16" s="219"/>
      <c r="AP16" s="219">
        <v>2</v>
      </c>
      <c r="AQ16" s="219"/>
      <c r="AR16" s="219">
        <v>2</v>
      </c>
      <c r="AS16" s="219"/>
      <c r="AT16" s="82">
        <f>AN16+AP16+AR16</f>
        <v>6</v>
      </c>
      <c r="AU16" s="82">
        <f>AO16+AQ16+AS16</f>
        <v>0</v>
      </c>
      <c r="AV16" s="221">
        <f>V16+AD16+AL16+AT16</f>
        <v>24</v>
      </c>
      <c r="AW16" s="66">
        <f>+W16</f>
        <v>0</v>
      </c>
      <c r="AX16" s="66">
        <f>+W16+AE16</f>
        <v>0</v>
      </c>
      <c r="AY16" s="66">
        <f>+W16+AE16+AM16</f>
        <v>0</v>
      </c>
      <c r="AZ16" s="66">
        <f>+W16+AE16+AM16+AU16</f>
        <v>0</v>
      </c>
      <c r="BA16" s="28">
        <f>IF(AND(AW16&gt;0,$AV16&gt;0),AW16/$AV16,0)</f>
        <v>0</v>
      </c>
      <c r="BB16" s="28">
        <f t="shared" ref="BB16:BD18" si="0">IF(AND(AX16&gt;0,$AV16&gt;0),AX16/$AV16,0)</f>
        <v>0</v>
      </c>
      <c r="BC16" s="28">
        <f t="shared" si="0"/>
        <v>0</v>
      </c>
      <c r="BD16" s="28">
        <f t="shared" si="0"/>
        <v>0</v>
      </c>
      <c r="BE16" s="28">
        <f t="shared" ref="BE16:BH18" si="1">(IF(AND(AW16&gt;0,$AV16&gt;0),AW16/$AV16,0))*$E16</f>
        <v>0</v>
      </c>
      <c r="BF16" s="28">
        <f t="shared" si="1"/>
        <v>0</v>
      </c>
      <c r="BG16" s="28">
        <f t="shared" si="1"/>
        <v>0</v>
      </c>
      <c r="BH16" s="28">
        <f t="shared" si="1"/>
        <v>0</v>
      </c>
    </row>
    <row r="17" spans="2:60" ht="152.25" customHeight="1">
      <c r="B17" s="501"/>
      <c r="C17" s="501"/>
      <c r="D17" s="19" t="str">
        <f>+'01-FR-03 POA INSTITUCIONAL'!D88</f>
        <v>4.5.2 Realizar 20 jornadas de sensibilización a funcionarios de la Personería de Bogotá D.C. sobre la prevención de las faltas disciplinarias más recurrentes en la Entidad.</v>
      </c>
      <c r="E17" s="37">
        <f>+'01-FR-03 POA INSTITUCIONAL'!E88</f>
        <v>0.05</v>
      </c>
      <c r="F17" s="299">
        <f>+'01-FR-03 POA INSTITUCIONAL'!F88</f>
        <v>20</v>
      </c>
      <c r="G17" s="299">
        <f>+'01-FR-03 POA INSTITUCIONAL'!L88</f>
        <v>6</v>
      </c>
      <c r="H17" s="129" t="str">
        <f>+'01-FR-03 POA INSTITUCIONAL'!G88</f>
        <v>S.I.</v>
      </c>
      <c r="I17" s="129" t="str">
        <f>+'01-FR-03 POA INSTITUCIONAL'!H88</f>
        <v>Jornadas de sensibilización realizadas</v>
      </c>
      <c r="J17" s="198" t="s">
        <v>538</v>
      </c>
      <c r="K17" s="217" t="s">
        <v>545</v>
      </c>
      <c r="L17" s="201" t="s">
        <v>722</v>
      </c>
      <c r="M17" s="218" t="s">
        <v>547</v>
      </c>
      <c r="N17" s="201" t="s">
        <v>548</v>
      </c>
      <c r="O17" s="300" t="str">
        <f>+'01-FR-03 POA INSTITUCIONAL'!J88</f>
        <v>Oficina Control Interno Disciplinario</v>
      </c>
      <c r="P17" s="219">
        <v>0</v>
      </c>
      <c r="Q17" s="219"/>
      <c r="R17" s="219">
        <v>0</v>
      </c>
      <c r="S17" s="219"/>
      <c r="T17" s="219">
        <v>0</v>
      </c>
      <c r="U17" s="219"/>
      <c r="V17" s="82">
        <f t="shared" ref="V17:W18" si="2">P17+R17+T17</f>
        <v>0</v>
      </c>
      <c r="W17" s="82">
        <f t="shared" si="2"/>
        <v>0</v>
      </c>
      <c r="X17" s="219">
        <v>0</v>
      </c>
      <c r="Y17" s="219"/>
      <c r="Z17" s="219">
        <v>1</v>
      </c>
      <c r="AA17" s="219"/>
      <c r="AB17" s="219">
        <v>1</v>
      </c>
      <c r="AC17" s="219"/>
      <c r="AD17" s="82">
        <f t="shared" ref="AD17:AE18" si="3">X17+Z17+AB17</f>
        <v>2</v>
      </c>
      <c r="AE17" s="82">
        <f t="shared" si="3"/>
        <v>0</v>
      </c>
      <c r="AF17" s="219">
        <v>1</v>
      </c>
      <c r="AG17" s="219"/>
      <c r="AH17" s="219">
        <v>1</v>
      </c>
      <c r="AI17" s="219"/>
      <c r="AJ17" s="220">
        <v>1</v>
      </c>
      <c r="AK17" s="220"/>
      <c r="AL17" s="82">
        <f t="shared" ref="AL17:AM18" si="4">AF17+AH17+AJ17</f>
        <v>3</v>
      </c>
      <c r="AM17" s="82">
        <f t="shared" si="4"/>
        <v>0</v>
      </c>
      <c r="AN17" s="219">
        <v>1</v>
      </c>
      <c r="AO17" s="219"/>
      <c r="AP17" s="219">
        <v>0</v>
      </c>
      <c r="AQ17" s="219"/>
      <c r="AR17" s="219">
        <v>0</v>
      </c>
      <c r="AS17" s="219"/>
      <c r="AT17" s="82">
        <f t="shared" ref="AT17:AU18" si="5">AN17+AP17+AR17</f>
        <v>1</v>
      </c>
      <c r="AU17" s="82">
        <f t="shared" si="5"/>
        <v>0</v>
      </c>
      <c r="AV17" s="221">
        <f t="shared" ref="AV17:AV18" si="6">V17+AD17+AL17+AT17</f>
        <v>6</v>
      </c>
      <c r="AW17" s="66">
        <f t="shared" ref="AW17:AW18" si="7">+W17</f>
        <v>0</v>
      </c>
      <c r="AX17" s="66">
        <f t="shared" ref="AX17:AX18" si="8">+W17+AE17</f>
        <v>0</v>
      </c>
      <c r="AY17" s="66">
        <f t="shared" ref="AY17:AY18" si="9">+W17+AE17+AM17</f>
        <v>0</v>
      </c>
      <c r="AZ17" s="66">
        <f t="shared" ref="AZ17:AZ18" si="10">+W17+AE17+AM17+AU17</f>
        <v>0</v>
      </c>
      <c r="BA17" s="28">
        <f>IF(AND(AW17&gt;0,AV17&gt;0),AW17/AV17,0)</f>
        <v>0</v>
      </c>
      <c r="BB17" s="28">
        <f t="shared" si="0"/>
        <v>0</v>
      </c>
      <c r="BC17" s="28">
        <f t="shared" si="0"/>
        <v>0</v>
      </c>
      <c r="BD17" s="28">
        <f t="shared" si="0"/>
        <v>0</v>
      </c>
      <c r="BE17" s="28">
        <f t="shared" si="1"/>
        <v>0</v>
      </c>
      <c r="BF17" s="28">
        <f t="shared" si="1"/>
        <v>0</v>
      </c>
      <c r="BG17" s="28">
        <f t="shared" si="1"/>
        <v>0</v>
      </c>
      <c r="BH17" s="28">
        <f t="shared" si="1"/>
        <v>0</v>
      </c>
    </row>
    <row r="18" spans="2:60" ht="142.5" customHeight="1">
      <c r="B18" s="567"/>
      <c r="C18" s="567"/>
      <c r="D18" s="19" t="str">
        <f>+'01-FR-03 POA INSTITUCIONAL'!D89</f>
        <v>4.5.3 Decidir de fondo 400 procesos disciplinarios que se encuentren en términos o con periodos vencidos, dando prelación a aquellos con mayor antigüedad o aquellos próximos a prescribir o caducar.</v>
      </c>
      <c r="E18" s="37">
        <f>+'01-FR-03 POA INSTITUCIONAL'!E89</f>
        <v>0.2</v>
      </c>
      <c r="F18" s="299">
        <f>+'01-FR-03 POA INSTITUCIONAL'!F89</f>
        <v>400</v>
      </c>
      <c r="G18" s="299">
        <f>+'01-FR-03 POA INSTITUCIONAL'!L89</f>
        <v>100</v>
      </c>
      <c r="H18" s="129" t="str">
        <f>+'01-FR-03 POA INSTITUCIONAL'!G89</f>
        <v>115 (en el último año)</v>
      </c>
      <c r="I18" s="129" t="str">
        <f>+'01-FR-03 POA INSTITUCIONAL'!H89</f>
        <v>Procesos disciplinarios con decisión de fondo proferida</v>
      </c>
      <c r="J18" s="198" t="s">
        <v>539</v>
      </c>
      <c r="K18" s="217" t="s">
        <v>546</v>
      </c>
      <c r="L18" s="201" t="s">
        <v>540</v>
      </c>
      <c r="M18" s="218" t="s">
        <v>547</v>
      </c>
      <c r="N18" s="201" t="s">
        <v>548</v>
      </c>
      <c r="O18" s="300" t="str">
        <f>+'01-FR-03 POA INSTITUCIONAL'!J89</f>
        <v>Oficina Control Interno Disciplinario</v>
      </c>
      <c r="P18" s="219">
        <v>7</v>
      </c>
      <c r="Q18" s="219"/>
      <c r="R18" s="219">
        <v>8</v>
      </c>
      <c r="S18" s="219"/>
      <c r="T18" s="219">
        <v>8</v>
      </c>
      <c r="U18" s="219"/>
      <c r="V18" s="82">
        <f t="shared" si="2"/>
        <v>23</v>
      </c>
      <c r="W18" s="82">
        <f t="shared" si="2"/>
        <v>0</v>
      </c>
      <c r="X18" s="219">
        <v>10</v>
      </c>
      <c r="Y18" s="219"/>
      <c r="Z18" s="219">
        <v>10</v>
      </c>
      <c r="AA18" s="219"/>
      <c r="AB18" s="219">
        <v>10</v>
      </c>
      <c r="AC18" s="219"/>
      <c r="AD18" s="82">
        <f t="shared" si="3"/>
        <v>30</v>
      </c>
      <c r="AE18" s="82">
        <f t="shared" si="3"/>
        <v>0</v>
      </c>
      <c r="AF18" s="219">
        <v>10</v>
      </c>
      <c r="AG18" s="219"/>
      <c r="AH18" s="219">
        <v>10</v>
      </c>
      <c r="AI18" s="219"/>
      <c r="AJ18" s="220">
        <v>10</v>
      </c>
      <c r="AK18" s="220"/>
      <c r="AL18" s="82">
        <f t="shared" si="4"/>
        <v>30</v>
      </c>
      <c r="AM18" s="82">
        <f t="shared" si="4"/>
        <v>0</v>
      </c>
      <c r="AN18" s="219">
        <v>6</v>
      </c>
      <c r="AO18" s="219"/>
      <c r="AP18" s="219">
        <v>6</v>
      </c>
      <c r="AQ18" s="219"/>
      <c r="AR18" s="219">
        <v>5</v>
      </c>
      <c r="AS18" s="219"/>
      <c r="AT18" s="82">
        <f t="shared" si="5"/>
        <v>17</v>
      </c>
      <c r="AU18" s="82">
        <f t="shared" si="5"/>
        <v>0</v>
      </c>
      <c r="AV18" s="221">
        <f t="shared" si="6"/>
        <v>100</v>
      </c>
      <c r="AW18" s="66">
        <f t="shared" si="7"/>
        <v>0</v>
      </c>
      <c r="AX18" s="66">
        <f t="shared" si="8"/>
        <v>0</v>
      </c>
      <c r="AY18" s="66">
        <f t="shared" si="9"/>
        <v>0</v>
      </c>
      <c r="AZ18" s="66">
        <f t="shared" si="10"/>
        <v>0</v>
      </c>
      <c r="BA18" s="28">
        <f t="shared" ref="BA18" si="11">IF(AND(AW18&gt;0,AV18&gt;0),AW18/AV18,0)</f>
        <v>0</v>
      </c>
      <c r="BB18" s="28">
        <f t="shared" si="0"/>
        <v>0</v>
      </c>
      <c r="BC18" s="28">
        <f t="shared" si="0"/>
        <v>0</v>
      </c>
      <c r="BD18" s="28">
        <f t="shared" si="0"/>
        <v>0</v>
      </c>
      <c r="BE18" s="28">
        <f t="shared" si="1"/>
        <v>0</v>
      </c>
      <c r="BF18" s="28">
        <f t="shared" si="1"/>
        <v>0</v>
      </c>
      <c r="BG18" s="28">
        <f t="shared" si="1"/>
        <v>0</v>
      </c>
      <c r="BH18" s="28">
        <f t="shared" si="1"/>
        <v>0</v>
      </c>
    </row>
    <row r="19" spans="2:60" ht="22.8">
      <c r="B19" s="496"/>
      <c r="C19" s="497"/>
      <c r="D19" s="497"/>
      <c r="E19" s="497"/>
      <c r="F19" s="497"/>
      <c r="G19" s="497"/>
      <c r="H19" s="497"/>
      <c r="I19" s="497"/>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c r="AG19" s="497"/>
      <c r="AH19" s="497"/>
      <c r="AI19" s="497"/>
      <c r="AJ19" s="497"/>
      <c r="AK19" s="497"/>
      <c r="AL19" s="497"/>
      <c r="AM19" s="497"/>
      <c r="AN19" s="497"/>
      <c r="AO19" s="497"/>
      <c r="AP19" s="497"/>
      <c r="AQ19" s="497"/>
      <c r="AR19" s="497"/>
      <c r="AS19" s="497"/>
      <c r="AT19" s="497"/>
      <c r="AU19" s="497"/>
      <c r="AV19" s="497"/>
      <c r="AW19" s="548"/>
      <c r="AX19" s="518" t="s">
        <v>19</v>
      </c>
      <c r="AY19" s="570"/>
      <c r="AZ19" s="570"/>
      <c r="BA19" s="56">
        <f t="shared" ref="BA19:BH19" si="12">AVERAGE(BA16:BA18)</f>
        <v>0</v>
      </c>
      <c r="BB19" s="56">
        <f t="shared" si="12"/>
        <v>0</v>
      </c>
      <c r="BC19" s="56">
        <f t="shared" si="12"/>
        <v>0</v>
      </c>
      <c r="BD19" s="56">
        <f t="shared" si="12"/>
        <v>0</v>
      </c>
      <c r="BE19" s="56">
        <f t="shared" si="12"/>
        <v>0</v>
      </c>
      <c r="BF19" s="56">
        <f t="shared" si="12"/>
        <v>0</v>
      </c>
      <c r="BG19" s="56">
        <f t="shared" si="12"/>
        <v>0</v>
      </c>
      <c r="BH19" s="56">
        <f t="shared" si="12"/>
        <v>0</v>
      </c>
    </row>
    <row r="20" spans="2:60">
      <c r="B20" s="453"/>
      <c r="C20" s="453"/>
      <c r="D20" s="453"/>
      <c r="E20" s="453"/>
      <c r="F20" s="453"/>
      <c r="G20" s="453"/>
      <c r="H20" s="223"/>
      <c r="I20" s="224"/>
      <c r="J20" s="224"/>
      <c r="K20" s="224"/>
      <c r="L20" s="224"/>
      <c r="M20" s="224"/>
      <c r="N20" s="224"/>
      <c r="O20" s="224"/>
    </row>
    <row r="21" spans="2:60">
      <c r="B21" s="224"/>
      <c r="C21" s="224"/>
      <c r="D21" s="549"/>
      <c r="E21" s="549"/>
      <c r="F21" s="549"/>
      <c r="G21" s="549"/>
      <c r="H21" s="549"/>
      <c r="I21" s="549"/>
      <c r="J21" s="549"/>
      <c r="K21" s="549"/>
      <c r="L21" s="549"/>
      <c r="M21" s="549"/>
      <c r="N21" s="549"/>
      <c r="O21" s="549"/>
    </row>
    <row r="22" spans="2:60" ht="15.6" customHeight="1">
      <c r="B22" s="63" t="s">
        <v>26</v>
      </c>
      <c r="C22" s="225">
        <v>44224</v>
      </c>
      <c r="D22" s="226"/>
      <c r="E22" s="558" t="s">
        <v>50</v>
      </c>
      <c r="F22" s="550" t="s">
        <v>542</v>
      </c>
      <c r="G22" s="551"/>
      <c r="H22" s="551"/>
      <c r="I22" s="551"/>
      <c r="J22" s="552"/>
      <c r="K22" s="227"/>
      <c r="L22" s="559"/>
      <c r="M22" s="559"/>
      <c r="N22" s="559"/>
      <c r="O22" s="560"/>
    </row>
    <row r="23" spans="2:60" ht="15.6">
      <c r="B23" s="224"/>
      <c r="C23" s="224"/>
      <c r="D23" s="227"/>
      <c r="E23" s="558"/>
      <c r="F23" s="553"/>
      <c r="G23" s="554"/>
      <c r="H23" s="554"/>
      <c r="I23" s="554"/>
      <c r="J23" s="555"/>
      <c r="K23" s="224"/>
      <c r="L23" s="224"/>
      <c r="M23" s="224"/>
      <c r="N23" s="224"/>
      <c r="O23" s="224"/>
    </row>
    <row r="24" spans="2:60" ht="15.6">
      <c r="B24" s="63" t="s">
        <v>49</v>
      </c>
      <c r="C24" s="65">
        <v>44581</v>
      </c>
      <c r="D24" s="224"/>
      <c r="E24" s="224"/>
      <c r="F24" s="224"/>
      <c r="K24" s="224"/>
      <c r="L24" s="224"/>
      <c r="M24" s="224"/>
      <c r="N24" s="224"/>
      <c r="O24" s="224"/>
    </row>
    <row r="25" spans="2:60">
      <c r="B25" s="224"/>
      <c r="C25" s="224"/>
      <c r="D25" s="224"/>
      <c r="E25" s="224"/>
      <c r="F25" s="224"/>
      <c r="K25" s="224"/>
      <c r="L25" s="224"/>
      <c r="M25" s="224"/>
      <c r="N25" s="224"/>
      <c r="O25" s="224"/>
    </row>
    <row r="26" spans="2:60">
      <c r="B26" s="189" t="s">
        <v>673</v>
      </c>
      <c r="C26" s="224"/>
      <c r="D26" s="224"/>
      <c r="E26" s="224"/>
      <c r="F26" s="224"/>
      <c r="G26" s="223"/>
      <c r="H26" s="223"/>
      <c r="I26" s="575"/>
      <c r="J26" s="575"/>
      <c r="K26" s="575"/>
      <c r="L26" s="575"/>
      <c r="M26" s="228"/>
      <c r="N26" s="228"/>
      <c r="O26" s="228"/>
    </row>
    <row r="27" spans="2:60">
      <c r="B27" s="224"/>
      <c r="C27" s="224"/>
      <c r="D27" s="224"/>
      <c r="E27" s="224"/>
      <c r="F27" s="224"/>
      <c r="G27" s="223"/>
      <c r="H27" s="223"/>
      <c r="I27" s="224"/>
      <c r="J27" s="224"/>
      <c r="K27" s="229"/>
      <c r="L27" s="224"/>
      <c r="M27" s="224"/>
      <c r="N27" s="224"/>
      <c r="O27" s="224"/>
    </row>
    <row r="28" spans="2:60">
      <c r="B28" s="224"/>
      <c r="C28" s="224"/>
      <c r="D28" s="224"/>
      <c r="E28" s="224"/>
      <c r="F28" s="224"/>
      <c r="G28" s="223"/>
      <c r="H28" s="223"/>
      <c r="I28" s="575"/>
      <c r="J28" s="575"/>
      <c r="K28" s="575"/>
      <c r="L28" s="575"/>
      <c r="M28" s="228"/>
      <c r="N28" s="228"/>
      <c r="O28" s="228"/>
    </row>
    <row r="29" spans="2:60">
      <c r="B29" s="224"/>
      <c r="C29" s="224"/>
      <c r="D29" s="224"/>
      <c r="E29" s="224"/>
      <c r="F29" s="224"/>
      <c r="G29" s="223"/>
      <c r="H29" s="223"/>
      <c r="I29" s="224"/>
      <c r="J29" s="224"/>
      <c r="K29" s="229"/>
      <c r="L29" s="224"/>
      <c r="M29" s="224"/>
      <c r="N29" s="224"/>
      <c r="O29" s="224"/>
    </row>
    <row r="30" spans="2:60">
      <c r="B30" s="224"/>
      <c r="C30" s="224"/>
      <c r="D30" s="224"/>
      <c r="E30" s="224"/>
      <c r="F30" s="224"/>
      <c r="G30" s="223"/>
      <c r="H30" s="223"/>
      <c r="I30" s="575"/>
      <c r="J30" s="575"/>
      <c r="K30" s="575"/>
      <c r="L30" s="575"/>
      <c r="M30" s="228"/>
      <c r="N30" s="228"/>
      <c r="O30" s="228"/>
    </row>
  </sheetData>
  <sheetProtection algorithmName="SHA-512" hashValue="LutMaSiik24xLuKteGlBksCPhKn8rt8h5c8pdl/3PFXQW1eZ1ZqviHi4Sfjd6w61WaCyanYlTImF+4wkfN4z+g==" saltValue="cijvYuasy8+zUcELSVUt5A==" spinCount="100000" sheet="1" objects="1" scenarios="1"/>
  <mergeCells count="70">
    <mergeCell ref="C9:D9"/>
    <mergeCell ref="B2:B6"/>
    <mergeCell ref="C2:BF6"/>
    <mergeCell ref="BG6:BH6"/>
    <mergeCell ref="AW7:BA7"/>
    <mergeCell ref="C8:D8"/>
    <mergeCell ref="K12:K15"/>
    <mergeCell ref="L12:L15"/>
    <mergeCell ref="M12:M15"/>
    <mergeCell ref="C10:D10"/>
    <mergeCell ref="B12:B15"/>
    <mergeCell ref="C12:C15"/>
    <mergeCell ref="D12:D15"/>
    <mergeCell ref="E12:E15"/>
    <mergeCell ref="G12:G15"/>
    <mergeCell ref="F12:F15"/>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BE13:BE15"/>
    <mergeCell ref="BF13:BF15"/>
    <mergeCell ref="BG13:BG15"/>
    <mergeCell ref="BH13:BH15"/>
    <mergeCell ref="P14:Q14"/>
    <mergeCell ref="R14:S14"/>
    <mergeCell ref="T14:U14"/>
    <mergeCell ref="V14:W14"/>
    <mergeCell ref="X14:Y14"/>
    <mergeCell ref="Z14:AA14"/>
    <mergeCell ref="BD13:BD15"/>
    <mergeCell ref="AB14:AC14"/>
    <mergeCell ref="AX19:AZ19"/>
    <mergeCell ref="D21:O21"/>
    <mergeCell ref="B16:B18"/>
    <mergeCell ref="C16:C18"/>
    <mergeCell ref="B20:G20"/>
    <mergeCell ref="I30:L30"/>
    <mergeCell ref="AP14:AQ14"/>
    <mergeCell ref="AR14:AS14"/>
    <mergeCell ref="AT14:AU14"/>
    <mergeCell ref="B19:AW19"/>
    <mergeCell ref="AD14:AE14"/>
    <mergeCell ref="AF14:AG14"/>
    <mergeCell ref="AH14:AI14"/>
    <mergeCell ref="AJ14:AK14"/>
    <mergeCell ref="AL14:AM14"/>
    <mergeCell ref="AN14:AO14"/>
    <mergeCell ref="N12:N15"/>
    <mergeCell ref="O12:O15"/>
    <mergeCell ref="H12:H15"/>
    <mergeCell ref="I12:I15"/>
    <mergeCell ref="J12:J15"/>
    <mergeCell ref="E22:E23"/>
    <mergeCell ref="L22:O22"/>
    <mergeCell ref="I26:L26"/>
    <mergeCell ref="I28:L28"/>
    <mergeCell ref="F22:J23"/>
  </mergeCells>
  <conditionalFormatting sqref="BA16:BD16 BB17:BD18">
    <cfRule type="cellIs" dxfId="17" priority="7" operator="between">
      <formula>0.7</formula>
      <formula>1</formula>
    </cfRule>
    <cfRule type="cellIs" dxfId="16" priority="8" operator="between">
      <formula>0.51</formula>
      <formula>0.69</formula>
    </cfRule>
    <cfRule type="cellIs" dxfId="15" priority="9" operator="between">
      <formula>0</formula>
      <formula>0.5</formula>
    </cfRule>
  </conditionalFormatting>
  <conditionalFormatting sqref="BA17:BA18">
    <cfRule type="cellIs" dxfId="14" priority="4" operator="between">
      <formula>0.7</formula>
      <formula>1</formula>
    </cfRule>
    <cfRule type="cellIs" dxfId="13" priority="5" operator="between">
      <formula>0.51</formula>
      <formula>0.69</formula>
    </cfRule>
    <cfRule type="cellIs" dxfId="12" priority="6" operator="between">
      <formula>0</formula>
      <formula>0.5</formula>
    </cfRule>
  </conditionalFormatting>
  <conditionalFormatting sqref="BE16:BH18">
    <cfRule type="cellIs" dxfId="11" priority="1" operator="between">
      <formula>0.7</formula>
      <formula>1</formula>
    </cfRule>
    <cfRule type="cellIs" dxfId="10" priority="2" operator="between">
      <formula>0.51</formula>
      <formula>0.69</formula>
    </cfRule>
    <cfRule type="cellIs" dxfId="9"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5CDBEB9E-556A-4019-999E-AD7B56F2622D}"/>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42A26-0845-45A7-AA99-CE0381827BE0}">
  <sheetPr>
    <tabColor rgb="FF92D050"/>
  </sheetPr>
  <dimension ref="B1:BH30"/>
  <sheetViews>
    <sheetView showGridLines="0" zoomScale="70" zoomScaleNormal="70" workbookViewId="0">
      <selection activeCell="C11" sqref="C11"/>
    </sheetView>
  </sheetViews>
  <sheetFormatPr baseColWidth="10" defaultColWidth="17.33203125" defaultRowHeight="15" customHeight="1"/>
  <cols>
    <col min="1" max="1" width="4.33203125" style="124" customWidth="1"/>
    <col min="2" max="2" width="50.44140625" style="122" customWidth="1"/>
    <col min="3" max="3" width="31.44140625" style="122" customWidth="1"/>
    <col min="4" max="4" width="49.6640625" style="122" customWidth="1"/>
    <col min="5" max="6" width="27.5546875" style="122" customWidth="1"/>
    <col min="7" max="8" width="29.33203125" style="123" customWidth="1"/>
    <col min="9" max="9" width="21.44140625" style="122" customWidth="1"/>
    <col min="10" max="10" width="31.88671875" style="122" customWidth="1"/>
    <col min="11" max="11" width="55.88671875" style="122" customWidth="1"/>
    <col min="12" max="12" width="48.44140625" style="122" customWidth="1"/>
    <col min="13" max="14" width="28.5546875" style="122" customWidth="1"/>
    <col min="15" max="15" width="50" style="122" customWidth="1"/>
    <col min="16" max="47" width="15.88671875" style="124" customWidth="1"/>
    <col min="48" max="48" width="24.5546875" style="124" customWidth="1"/>
    <col min="49" max="49" width="22.88671875" style="124" customWidth="1"/>
    <col min="50" max="50" width="19.33203125" style="124" customWidth="1"/>
    <col min="51" max="51" width="18.44140625" style="124" customWidth="1"/>
    <col min="52" max="52" width="19.44140625" style="124" customWidth="1"/>
    <col min="53" max="53" width="23.33203125" style="124" customWidth="1"/>
    <col min="54" max="55" width="25.109375" style="124" customWidth="1"/>
    <col min="56" max="56" width="26.6640625" style="124" customWidth="1"/>
    <col min="57" max="57" width="26.33203125" style="124" customWidth="1"/>
    <col min="58" max="58" width="26.5546875" style="124" customWidth="1"/>
    <col min="59" max="59" width="26.33203125" style="124" customWidth="1"/>
    <col min="60" max="60" width="27.33203125" style="124" customWidth="1"/>
    <col min="61" max="16384" width="17.33203125" style="124"/>
  </cols>
  <sheetData>
    <row r="1" spans="2:60" ht="15.6" thickBot="1"/>
    <row r="2" spans="2:60" ht="15.6" customHeight="1">
      <c r="B2" s="489" t="s">
        <v>671</v>
      </c>
      <c r="C2" s="534" t="s">
        <v>117</v>
      </c>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35"/>
      <c r="AL2" s="535"/>
      <c r="AM2" s="535"/>
      <c r="AN2" s="535"/>
      <c r="AO2" s="535"/>
      <c r="AP2" s="535"/>
      <c r="AQ2" s="535"/>
      <c r="AR2" s="535"/>
      <c r="AS2" s="535"/>
      <c r="AT2" s="535"/>
      <c r="AU2" s="535"/>
      <c r="AV2" s="535"/>
      <c r="AW2" s="535"/>
      <c r="AX2" s="535"/>
      <c r="AY2" s="535"/>
      <c r="AZ2" s="535"/>
      <c r="BA2" s="535"/>
      <c r="BB2" s="535"/>
      <c r="BC2" s="535"/>
      <c r="BD2" s="535"/>
      <c r="BE2" s="535"/>
      <c r="BF2" s="536"/>
      <c r="BG2" s="190" t="s">
        <v>31</v>
      </c>
      <c r="BH2" s="191"/>
    </row>
    <row r="3" spans="2:60" ht="15.6" customHeight="1">
      <c r="B3" s="490"/>
      <c r="C3" s="537"/>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8"/>
      <c r="AZ3" s="538"/>
      <c r="BA3" s="538"/>
      <c r="BB3" s="538"/>
      <c r="BC3" s="538"/>
      <c r="BD3" s="538"/>
      <c r="BE3" s="538"/>
      <c r="BF3" s="539"/>
      <c r="BG3" s="192" t="s">
        <v>28</v>
      </c>
      <c r="BH3" s="17" t="s">
        <v>29</v>
      </c>
    </row>
    <row r="4" spans="2:60" ht="15" customHeight="1">
      <c r="B4" s="490"/>
      <c r="C4" s="537"/>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538"/>
      <c r="BF4" s="539"/>
      <c r="BG4" s="193">
        <v>5</v>
      </c>
      <c r="BH4" s="18" t="s">
        <v>653</v>
      </c>
    </row>
    <row r="5" spans="2:60" ht="15.6" customHeight="1">
      <c r="B5" s="490"/>
      <c r="C5" s="537"/>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538"/>
      <c r="BF5" s="539"/>
      <c r="BG5" s="194" t="s">
        <v>30</v>
      </c>
      <c r="BH5" s="195"/>
    </row>
    <row r="6" spans="2:60" ht="15.6" customHeight="1" thickBot="1">
      <c r="B6" s="491"/>
      <c r="C6" s="540"/>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1"/>
      <c r="AN6" s="541"/>
      <c r="AO6" s="541"/>
      <c r="AP6" s="541"/>
      <c r="AQ6" s="541"/>
      <c r="AR6" s="541"/>
      <c r="AS6" s="541"/>
      <c r="AT6" s="541"/>
      <c r="AU6" s="541"/>
      <c r="AV6" s="541"/>
      <c r="AW6" s="541"/>
      <c r="AX6" s="541"/>
      <c r="AY6" s="541"/>
      <c r="AZ6" s="541"/>
      <c r="BA6" s="541"/>
      <c r="BB6" s="541"/>
      <c r="BC6" s="541"/>
      <c r="BD6" s="541"/>
      <c r="BE6" s="541"/>
      <c r="BF6" s="542"/>
      <c r="BG6" s="556">
        <v>43941</v>
      </c>
      <c r="BH6" s="557"/>
    </row>
    <row r="7" spans="2:60">
      <c r="B7" s="125"/>
      <c r="C7" s="125"/>
      <c r="D7" s="125"/>
      <c r="E7" s="125"/>
      <c r="F7" s="125"/>
      <c r="G7" s="126"/>
      <c r="H7" s="126"/>
      <c r="I7" s="125"/>
      <c r="J7" s="125"/>
      <c r="K7" s="125"/>
      <c r="L7" s="125"/>
      <c r="M7" s="125"/>
      <c r="N7" s="125"/>
      <c r="O7" s="125"/>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528"/>
      <c r="AX7" s="559"/>
      <c r="AY7" s="559"/>
      <c r="AZ7" s="559"/>
      <c r="BA7" s="530"/>
      <c r="BB7" s="214"/>
      <c r="BC7" s="214"/>
      <c r="BD7" s="214"/>
      <c r="BE7" s="127"/>
      <c r="BF7" s="127"/>
    </row>
    <row r="8" spans="2:60" ht="21">
      <c r="B8" s="196" t="s">
        <v>45</v>
      </c>
      <c r="C8" s="576" t="s">
        <v>97</v>
      </c>
      <c r="D8" s="576"/>
      <c r="E8" s="197"/>
      <c r="F8" s="197"/>
      <c r="G8" s="197"/>
      <c r="H8" s="197"/>
      <c r="I8" s="197"/>
      <c r="J8" s="197"/>
      <c r="K8" s="197"/>
      <c r="L8" s="197"/>
      <c r="M8" s="197"/>
      <c r="N8" s="197"/>
      <c r="O8" s="197"/>
      <c r="AW8" s="214"/>
      <c r="AX8" s="214"/>
      <c r="AY8" s="214"/>
      <c r="AZ8" s="214"/>
      <c r="BA8" s="214"/>
      <c r="BB8" s="214"/>
      <c r="BC8" s="214"/>
      <c r="BD8" s="214"/>
    </row>
    <row r="9" spans="2:60" ht="93" customHeight="1">
      <c r="B9" s="196" t="s">
        <v>34</v>
      </c>
      <c r="C9" s="514" t="s">
        <v>746</v>
      </c>
      <c r="D9" s="515"/>
      <c r="E9" s="197"/>
      <c r="F9" s="197"/>
      <c r="G9" s="197"/>
      <c r="H9" s="197"/>
      <c r="I9" s="197"/>
      <c r="J9" s="197"/>
      <c r="K9" s="197"/>
      <c r="L9" s="197"/>
      <c r="M9" s="197"/>
      <c r="N9" s="197"/>
      <c r="O9" s="197"/>
      <c r="AW9" s="214"/>
      <c r="AX9" s="214"/>
      <c r="AY9" s="214"/>
      <c r="AZ9" s="214"/>
      <c r="BA9" s="214"/>
      <c r="BB9" s="214"/>
      <c r="BC9" s="214"/>
      <c r="BD9" s="214"/>
    </row>
    <row r="10" spans="2:60" ht="24.6">
      <c r="B10" s="196" t="s">
        <v>100</v>
      </c>
      <c r="C10" s="516">
        <v>2022</v>
      </c>
      <c r="D10" s="517"/>
      <c r="E10" s="197"/>
      <c r="F10" s="197"/>
      <c r="G10" s="197"/>
      <c r="H10" s="197"/>
      <c r="I10" s="197"/>
      <c r="J10" s="197"/>
      <c r="K10" s="197"/>
      <c r="L10" s="197"/>
      <c r="M10" s="197"/>
      <c r="N10" s="197"/>
      <c r="O10" s="197"/>
      <c r="AW10" s="214"/>
      <c r="AX10" s="214"/>
      <c r="AY10" s="214"/>
      <c r="AZ10" s="214"/>
      <c r="BA10" s="214"/>
      <c r="BB10" s="214"/>
      <c r="BC10" s="214"/>
      <c r="BD10" s="214"/>
    </row>
    <row r="11" spans="2:60">
      <c r="B11" s="125"/>
      <c r="C11" s="125"/>
      <c r="D11" s="125"/>
      <c r="E11" s="125"/>
      <c r="F11" s="125"/>
      <c r="G11" s="126"/>
      <c r="H11" s="126"/>
      <c r="I11" s="125"/>
      <c r="J11" s="125"/>
      <c r="K11" s="125"/>
      <c r="L11" s="125"/>
      <c r="M11" s="125"/>
      <c r="N11" s="125"/>
      <c r="O11" s="125"/>
      <c r="AW11" s="214"/>
      <c r="AX11" s="214"/>
      <c r="AY11" s="214"/>
      <c r="AZ11" s="214"/>
      <c r="BA11" s="214"/>
      <c r="BB11" s="214"/>
      <c r="BC11" s="214"/>
      <c r="BD11" s="214"/>
    </row>
    <row r="12" spans="2:60" ht="28.2" customHeight="1">
      <c r="B12" s="488" t="s">
        <v>0</v>
      </c>
      <c r="C12" s="488" t="s">
        <v>52</v>
      </c>
      <c r="D12" s="526" t="s">
        <v>674</v>
      </c>
      <c r="E12" s="488" t="s">
        <v>60</v>
      </c>
      <c r="F12" s="527" t="s">
        <v>743</v>
      </c>
      <c r="G12" s="488" t="s">
        <v>57</v>
      </c>
      <c r="H12" s="488" t="s">
        <v>25</v>
      </c>
      <c r="I12" s="488" t="s">
        <v>59</v>
      </c>
      <c r="J12" s="488" t="s">
        <v>39</v>
      </c>
      <c r="K12" s="488" t="s">
        <v>36</v>
      </c>
      <c r="L12" s="488" t="s">
        <v>20</v>
      </c>
      <c r="M12" s="488" t="s">
        <v>51</v>
      </c>
      <c r="N12" s="488" t="s">
        <v>40</v>
      </c>
      <c r="O12" s="488" t="s">
        <v>42</v>
      </c>
      <c r="P12" s="533" t="s">
        <v>111</v>
      </c>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3"/>
      <c r="AN12" s="533"/>
      <c r="AO12" s="533"/>
      <c r="AP12" s="533"/>
      <c r="AQ12" s="533"/>
      <c r="AR12" s="533"/>
      <c r="AS12" s="533"/>
      <c r="AT12" s="533"/>
      <c r="AU12" s="533"/>
      <c r="AV12" s="531" t="s">
        <v>61</v>
      </c>
      <c r="AW12" s="520" t="s">
        <v>675</v>
      </c>
      <c r="AX12" s="521"/>
      <c r="AY12" s="521"/>
      <c r="AZ12" s="522"/>
      <c r="BA12" s="508" t="s">
        <v>676</v>
      </c>
      <c r="BB12" s="509"/>
      <c r="BC12" s="509"/>
      <c r="BD12" s="510"/>
      <c r="BE12" s="502" t="s">
        <v>677</v>
      </c>
      <c r="BF12" s="503"/>
      <c r="BG12" s="503"/>
      <c r="BH12" s="504"/>
    </row>
    <row r="13" spans="2:60" ht="15.6">
      <c r="B13" s="488"/>
      <c r="C13" s="488"/>
      <c r="D13" s="526"/>
      <c r="E13" s="488"/>
      <c r="F13" s="527"/>
      <c r="G13" s="488"/>
      <c r="H13" s="488"/>
      <c r="I13" s="488"/>
      <c r="J13" s="488"/>
      <c r="K13" s="488"/>
      <c r="L13" s="488"/>
      <c r="M13" s="488"/>
      <c r="N13" s="488"/>
      <c r="O13" s="488"/>
      <c r="P13" s="532" t="s">
        <v>21</v>
      </c>
      <c r="Q13" s="532"/>
      <c r="R13" s="532"/>
      <c r="S13" s="532"/>
      <c r="T13" s="532"/>
      <c r="U13" s="532"/>
      <c r="V13" s="532"/>
      <c r="W13" s="532"/>
      <c r="X13" s="532" t="s">
        <v>22</v>
      </c>
      <c r="Y13" s="532"/>
      <c r="Z13" s="532"/>
      <c r="AA13" s="532"/>
      <c r="AB13" s="532"/>
      <c r="AC13" s="532"/>
      <c r="AD13" s="532"/>
      <c r="AE13" s="532"/>
      <c r="AF13" s="532" t="s">
        <v>23</v>
      </c>
      <c r="AG13" s="532"/>
      <c r="AH13" s="532"/>
      <c r="AI13" s="532"/>
      <c r="AJ13" s="532"/>
      <c r="AK13" s="532"/>
      <c r="AL13" s="532"/>
      <c r="AM13" s="532"/>
      <c r="AN13" s="532" t="s">
        <v>24</v>
      </c>
      <c r="AO13" s="532"/>
      <c r="AP13" s="532"/>
      <c r="AQ13" s="532"/>
      <c r="AR13" s="532"/>
      <c r="AS13" s="532"/>
      <c r="AT13" s="532"/>
      <c r="AU13" s="532"/>
      <c r="AV13" s="531"/>
      <c r="AW13" s="523" t="s">
        <v>118</v>
      </c>
      <c r="AX13" s="523" t="s">
        <v>22</v>
      </c>
      <c r="AY13" s="523" t="s">
        <v>119</v>
      </c>
      <c r="AZ13" s="523" t="s">
        <v>120</v>
      </c>
      <c r="BA13" s="511" t="s">
        <v>118</v>
      </c>
      <c r="BB13" s="511" t="s">
        <v>121</v>
      </c>
      <c r="BC13" s="511" t="s">
        <v>122</v>
      </c>
      <c r="BD13" s="511" t="s">
        <v>123</v>
      </c>
      <c r="BE13" s="505" t="s">
        <v>21</v>
      </c>
      <c r="BF13" s="505" t="s">
        <v>22</v>
      </c>
      <c r="BG13" s="505" t="s">
        <v>23</v>
      </c>
      <c r="BH13" s="505" t="s">
        <v>24</v>
      </c>
    </row>
    <row r="14" spans="2:60" ht="15.6">
      <c r="B14" s="488"/>
      <c r="C14" s="488"/>
      <c r="D14" s="526"/>
      <c r="E14" s="488"/>
      <c r="F14" s="527"/>
      <c r="G14" s="488"/>
      <c r="H14" s="488"/>
      <c r="I14" s="488"/>
      <c r="J14" s="488"/>
      <c r="K14" s="488"/>
      <c r="L14" s="488"/>
      <c r="M14" s="488"/>
      <c r="N14" s="488"/>
      <c r="O14" s="488"/>
      <c r="P14" s="571" t="s">
        <v>5</v>
      </c>
      <c r="Q14" s="571"/>
      <c r="R14" s="571" t="s">
        <v>6</v>
      </c>
      <c r="S14" s="571"/>
      <c r="T14" s="571" t="s">
        <v>7</v>
      </c>
      <c r="U14" s="571"/>
      <c r="V14" s="533" t="s">
        <v>8</v>
      </c>
      <c r="W14" s="533"/>
      <c r="X14" s="571" t="s">
        <v>27</v>
      </c>
      <c r="Y14" s="571"/>
      <c r="Z14" s="571" t="s">
        <v>9</v>
      </c>
      <c r="AA14" s="571"/>
      <c r="AB14" s="571" t="s">
        <v>10</v>
      </c>
      <c r="AC14" s="571"/>
      <c r="AD14" s="533" t="s">
        <v>8</v>
      </c>
      <c r="AE14" s="533"/>
      <c r="AF14" s="571" t="s">
        <v>11</v>
      </c>
      <c r="AG14" s="571"/>
      <c r="AH14" s="571" t="s">
        <v>12</v>
      </c>
      <c r="AI14" s="571"/>
      <c r="AJ14" s="571" t="s">
        <v>13</v>
      </c>
      <c r="AK14" s="571"/>
      <c r="AL14" s="533" t="s">
        <v>8</v>
      </c>
      <c r="AM14" s="533"/>
      <c r="AN14" s="571" t="s">
        <v>14</v>
      </c>
      <c r="AO14" s="571"/>
      <c r="AP14" s="571" t="s">
        <v>15</v>
      </c>
      <c r="AQ14" s="571"/>
      <c r="AR14" s="571" t="s">
        <v>16</v>
      </c>
      <c r="AS14" s="571"/>
      <c r="AT14" s="533" t="s">
        <v>8</v>
      </c>
      <c r="AU14" s="533"/>
      <c r="AV14" s="531"/>
      <c r="AW14" s="524"/>
      <c r="AX14" s="524"/>
      <c r="AY14" s="524"/>
      <c r="AZ14" s="524"/>
      <c r="BA14" s="512"/>
      <c r="BB14" s="512"/>
      <c r="BC14" s="512"/>
      <c r="BD14" s="512"/>
      <c r="BE14" s="506"/>
      <c r="BF14" s="506"/>
      <c r="BG14" s="506"/>
      <c r="BH14" s="506"/>
    </row>
    <row r="15" spans="2:60" ht="13.2" customHeight="1">
      <c r="B15" s="488"/>
      <c r="C15" s="488"/>
      <c r="D15" s="526"/>
      <c r="E15" s="488"/>
      <c r="F15" s="527"/>
      <c r="G15" s="488"/>
      <c r="H15" s="488"/>
      <c r="I15" s="488"/>
      <c r="J15" s="488"/>
      <c r="K15" s="488"/>
      <c r="L15" s="488"/>
      <c r="M15" s="488"/>
      <c r="N15" s="488"/>
      <c r="O15" s="488"/>
      <c r="P15" s="215" t="s">
        <v>17</v>
      </c>
      <c r="Q15" s="216" t="s">
        <v>18</v>
      </c>
      <c r="R15" s="215" t="s">
        <v>17</v>
      </c>
      <c r="S15" s="216" t="s">
        <v>18</v>
      </c>
      <c r="T15" s="215" t="s">
        <v>17</v>
      </c>
      <c r="U15" s="216" t="s">
        <v>18</v>
      </c>
      <c r="V15" s="61" t="s">
        <v>17</v>
      </c>
      <c r="W15" s="62" t="s">
        <v>18</v>
      </c>
      <c r="X15" s="215" t="s">
        <v>17</v>
      </c>
      <c r="Y15" s="216" t="s">
        <v>18</v>
      </c>
      <c r="Z15" s="215" t="s">
        <v>17</v>
      </c>
      <c r="AA15" s="216" t="s">
        <v>18</v>
      </c>
      <c r="AB15" s="215" t="s">
        <v>17</v>
      </c>
      <c r="AC15" s="216" t="s">
        <v>18</v>
      </c>
      <c r="AD15" s="61" t="s">
        <v>17</v>
      </c>
      <c r="AE15" s="62" t="s">
        <v>18</v>
      </c>
      <c r="AF15" s="215" t="s">
        <v>17</v>
      </c>
      <c r="AG15" s="216" t="s">
        <v>18</v>
      </c>
      <c r="AH15" s="215" t="s">
        <v>17</v>
      </c>
      <c r="AI15" s="216" t="s">
        <v>18</v>
      </c>
      <c r="AJ15" s="215" t="s">
        <v>17</v>
      </c>
      <c r="AK15" s="216" t="s">
        <v>18</v>
      </c>
      <c r="AL15" s="61" t="s">
        <v>17</v>
      </c>
      <c r="AM15" s="62" t="s">
        <v>18</v>
      </c>
      <c r="AN15" s="215" t="s">
        <v>17</v>
      </c>
      <c r="AO15" s="216" t="s">
        <v>18</v>
      </c>
      <c r="AP15" s="215" t="s">
        <v>17</v>
      </c>
      <c r="AQ15" s="216" t="s">
        <v>18</v>
      </c>
      <c r="AR15" s="215" t="s">
        <v>17</v>
      </c>
      <c r="AS15" s="216" t="s">
        <v>18</v>
      </c>
      <c r="AT15" s="61" t="s">
        <v>17</v>
      </c>
      <c r="AU15" s="62" t="s">
        <v>18</v>
      </c>
      <c r="AV15" s="531"/>
      <c r="AW15" s="525"/>
      <c r="AX15" s="525"/>
      <c r="AY15" s="525"/>
      <c r="AZ15" s="525"/>
      <c r="BA15" s="513"/>
      <c r="BB15" s="513"/>
      <c r="BC15" s="513"/>
      <c r="BD15" s="513"/>
      <c r="BE15" s="507"/>
      <c r="BF15" s="507"/>
      <c r="BG15" s="507"/>
      <c r="BH15" s="507"/>
    </row>
    <row r="16" spans="2:60" ht="98.25" customHeight="1">
      <c r="B16" s="500"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500" t="str">
        <f>+'01-FR-03 POA INSTITUCIONAL'!C87</f>
        <v>4.5. Desarrollar el 100% de las acciones relacionadas con el fomento de la Cultura del Autocontrol, la Autorregulación y la Autogestión institucional.</v>
      </c>
      <c r="D16" s="19" t="str">
        <f>+'01-FR-03 POA INSTITUCIONAL'!D90</f>
        <v>4.5.4 Ejecutar  4 programas anuales de auditorias, aprobados por el Comité Institucional de Coordinación del Sistema de Control Interno.</v>
      </c>
      <c r="E16" s="37">
        <f>+'01-FR-03 POA INSTITUCIONAL'!E90</f>
        <v>0.5</v>
      </c>
      <c r="F16" s="54">
        <f>+'01-FR-03 POA INSTITUCIONAL'!F90</f>
        <v>4</v>
      </c>
      <c r="G16" s="54">
        <f>+'01-FR-03 POA INSTITUCIONAL'!L90</f>
        <v>1</v>
      </c>
      <c r="H16" s="54" t="s">
        <v>745</v>
      </c>
      <c r="I16" s="129" t="str">
        <f>+'01-FR-03 POA INSTITUCIONAL'!H90</f>
        <v>Programa anual de auditorías ejecutado.</v>
      </c>
      <c r="J16" s="198" t="s">
        <v>659</v>
      </c>
      <c r="K16" s="217" t="s">
        <v>553</v>
      </c>
      <c r="L16" s="201" t="s">
        <v>554</v>
      </c>
      <c r="M16" s="201" t="s">
        <v>555</v>
      </c>
      <c r="N16" s="201" t="s">
        <v>556</v>
      </c>
      <c r="O16" s="218" t="str">
        <f>+'[9]POA Anualizado (Pág 1 de 3)'!J13</f>
        <v>Oficina de Control Interno</v>
      </c>
      <c r="P16" s="219">
        <v>0.06</v>
      </c>
      <c r="Q16" s="219"/>
      <c r="R16" s="219">
        <v>0.06</v>
      </c>
      <c r="S16" s="219"/>
      <c r="T16" s="219">
        <v>0.23</v>
      </c>
      <c r="U16" s="219"/>
      <c r="V16" s="84">
        <f>P16+R16+T16</f>
        <v>0.35</v>
      </c>
      <c r="W16" s="82">
        <f>Q16+S16+U16</f>
        <v>0</v>
      </c>
      <c r="X16" s="219">
        <v>0.03</v>
      </c>
      <c r="Y16" s="219"/>
      <c r="Z16" s="219">
        <v>0.09</v>
      </c>
      <c r="AA16" s="219"/>
      <c r="AB16" s="219">
        <v>0.03</v>
      </c>
      <c r="AC16" s="219"/>
      <c r="AD16" s="84">
        <f>X16+Z16+AB16</f>
        <v>0.15</v>
      </c>
      <c r="AE16" s="82">
        <f>Y16+AA16+AC16</f>
        <v>0</v>
      </c>
      <c r="AF16" s="219">
        <v>0.15</v>
      </c>
      <c r="AG16" s="219"/>
      <c r="AH16" s="219">
        <v>0.13</v>
      </c>
      <c r="AI16" s="219"/>
      <c r="AJ16" s="219">
        <v>0.16</v>
      </c>
      <c r="AK16" s="220"/>
      <c r="AL16" s="84">
        <f>AF16+AH16+AJ16</f>
        <v>0.44000000000000006</v>
      </c>
      <c r="AM16" s="82">
        <f>AG16+AI16+AK16</f>
        <v>0</v>
      </c>
      <c r="AN16" s="219">
        <v>0.02</v>
      </c>
      <c r="AO16" s="219"/>
      <c r="AP16" s="219">
        <v>0.04</v>
      </c>
      <c r="AQ16" s="219"/>
      <c r="AR16" s="219">
        <v>0</v>
      </c>
      <c r="AS16" s="219"/>
      <c r="AT16" s="84">
        <f>AN16+AP16+AR16</f>
        <v>0.06</v>
      </c>
      <c r="AU16" s="82">
        <f>AO16+AQ16+AS16</f>
        <v>0</v>
      </c>
      <c r="AV16" s="221">
        <f>V16+AD16+AL16+AT16</f>
        <v>1</v>
      </c>
      <c r="AW16" s="66">
        <f>+W16</f>
        <v>0</v>
      </c>
      <c r="AX16" s="66">
        <f>+W16+AE16</f>
        <v>0</v>
      </c>
      <c r="AY16" s="66">
        <f>+W16+AE16+AM16</f>
        <v>0</v>
      </c>
      <c r="AZ16" s="66">
        <f>+W16+AE16+AM16+AU16</f>
        <v>0</v>
      </c>
      <c r="BA16" s="28">
        <f>IF(AND(AW16&gt;0,$AV16&gt;0),AW16/$AV16,0)</f>
        <v>0</v>
      </c>
      <c r="BB16" s="28">
        <f t="shared" ref="BB16:BD18" si="0">IF(AND(AX16&gt;0,$AV16&gt;0),AX16/$AV16,0)</f>
        <v>0</v>
      </c>
      <c r="BC16" s="28">
        <f t="shared" si="0"/>
        <v>0</v>
      </c>
      <c r="BD16" s="28">
        <f t="shared" si="0"/>
        <v>0</v>
      </c>
      <c r="BE16" s="28">
        <f t="shared" ref="BE16:BH18" si="1">(IF(AND(AW16&gt;0,$AV16&gt;0),AW16/$AV16,0))*$E16</f>
        <v>0</v>
      </c>
      <c r="BF16" s="28">
        <f t="shared" si="1"/>
        <v>0</v>
      </c>
      <c r="BG16" s="28">
        <f t="shared" si="1"/>
        <v>0</v>
      </c>
      <c r="BH16" s="28">
        <f t="shared" si="1"/>
        <v>0</v>
      </c>
    </row>
    <row r="17" spans="2:60" ht="120">
      <c r="B17" s="501"/>
      <c r="C17" s="501"/>
      <c r="D17" s="19" t="str">
        <f>+'01-FR-03 POA INSTITUCIONAL'!D91</f>
        <v>4.5.5 Desarrollar 4 estrategias de sensibilización acerca de la cultura del control.</v>
      </c>
      <c r="E17" s="37">
        <f>+'01-FR-03 POA INSTITUCIONAL'!E91</f>
        <v>0.1</v>
      </c>
      <c r="F17" s="54">
        <f>+'01-FR-03 POA INSTITUCIONAL'!F91</f>
        <v>4</v>
      </c>
      <c r="G17" s="54">
        <f>+'01-FR-03 POA INSTITUCIONAL'!L91</f>
        <v>1</v>
      </c>
      <c r="H17" s="54">
        <f>+'01-FR-03 POA INSTITUCIONAL'!G91</f>
        <v>4</v>
      </c>
      <c r="I17" s="129" t="str">
        <f>+'01-FR-03 POA INSTITUCIONAL'!H91</f>
        <v>Estrategia de Sensibilización acerca de la Cultura del Control realizada</v>
      </c>
      <c r="J17" s="198" t="s">
        <v>557</v>
      </c>
      <c r="K17" s="217" t="s">
        <v>562</v>
      </c>
      <c r="L17" s="201" t="s">
        <v>558</v>
      </c>
      <c r="M17" s="201" t="s">
        <v>555</v>
      </c>
      <c r="N17" s="201" t="s">
        <v>556</v>
      </c>
      <c r="O17" s="218" t="str">
        <f>+'[9]POA Anualizado (Pág 1 de 3)'!J14</f>
        <v>Oficina de Control Interno</v>
      </c>
      <c r="P17" s="219">
        <v>0</v>
      </c>
      <c r="Q17" s="219"/>
      <c r="R17" s="219">
        <v>0</v>
      </c>
      <c r="S17" s="219"/>
      <c r="T17" s="219">
        <v>0</v>
      </c>
      <c r="U17" s="219"/>
      <c r="V17" s="84">
        <f t="shared" ref="V17:W18" si="2">P17+R17+T17</f>
        <v>0</v>
      </c>
      <c r="W17" s="82">
        <f t="shared" si="2"/>
        <v>0</v>
      </c>
      <c r="X17" s="219">
        <v>0</v>
      </c>
      <c r="Y17" s="219"/>
      <c r="Z17" s="219">
        <v>0</v>
      </c>
      <c r="AA17" s="219"/>
      <c r="AB17" s="219">
        <v>0</v>
      </c>
      <c r="AC17" s="219"/>
      <c r="AD17" s="84">
        <f t="shared" ref="AD17:AE18" si="3">X17+Z17+AB17</f>
        <v>0</v>
      </c>
      <c r="AE17" s="82">
        <f t="shared" si="3"/>
        <v>0</v>
      </c>
      <c r="AF17" s="219">
        <v>0</v>
      </c>
      <c r="AG17" s="219"/>
      <c r="AH17" s="219">
        <v>0</v>
      </c>
      <c r="AI17" s="219"/>
      <c r="AJ17" s="219">
        <v>0</v>
      </c>
      <c r="AK17" s="220"/>
      <c r="AL17" s="84">
        <f t="shared" ref="AL17:AM18" si="4">AF17+AH17+AJ17</f>
        <v>0</v>
      </c>
      <c r="AM17" s="82">
        <f t="shared" si="4"/>
        <v>0</v>
      </c>
      <c r="AN17" s="219">
        <v>0</v>
      </c>
      <c r="AO17" s="219"/>
      <c r="AP17" s="219">
        <v>1</v>
      </c>
      <c r="AQ17" s="219"/>
      <c r="AR17" s="219">
        <v>0</v>
      </c>
      <c r="AS17" s="219"/>
      <c r="AT17" s="84">
        <f t="shared" ref="AT17:AU18" si="5">AN17+AP17+AR17</f>
        <v>1</v>
      </c>
      <c r="AU17" s="82">
        <f t="shared" si="5"/>
        <v>0</v>
      </c>
      <c r="AV17" s="221">
        <f t="shared" ref="AV17:AV18" si="6">V17+AD17+AL17+AT17</f>
        <v>1</v>
      </c>
      <c r="AW17" s="66">
        <f t="shared" ref="AW17:AW18" si="7">+W17</f>
        <v>0</v>
      </c>
      <c r="AX17" s="66">
        <f t="shared" ref="AX17:AX18" si="8">+W17+AE17</f>
        <v>0</v>
      </c>
      <c r="AY17" s="66">
        <f t="shared" ref="AY17:AY18" si="9">+W17+AE17+AM17</f>
        <v>0</v>
      </c>
      <c r="AZ17" s="66">
        <f t="shared" ref="AZ17:AZ18" si="10">+W17+AE17+AM17+AU17</f>
        <v>0</v>
      </c>
      <c r="BA17" s="28">
        <f>IF(AND(AW17&gt;0,AV17&gt;0),AW17/AV17,0)</f>
        <v>0</v>
      </c>
      <c r="BB17" s="28">
        <f t="shared" si="0"/>
        <v>0</v>
      </c>
      <c r="BC17" s="28">
        <f t="shared" si="0"/>
        <v>0</v>
      </c>
      <c r="BD17" s="28">
        <f t="shared" si="0"/>
        <v>0</v>
      </c>
      <c r="BE17" s="28">
        <f t="shared" si="1"/>
        <v>0</v>
      </c>
      <c r="BF17" s="28">
        <f t="shared" si="1"/>
        <v>0</v>
      </c>
      <c r="BG17" s="28">
        <f t="shared" si="1"/>
        <v>0</v>
      </c>
      <c r="BH17" s="28">
        <f t="shared" si="1"/>
        <v>0</v>
      </c>
    </row>
    <row r="18" spans="2:60" ht="104.25" customHeight="1">
      <c r="B18" s="567"/>
      <c r="C18" s="567"/>
      <c r="D18" s="19" t="str">
        <f>+'01-FR-03 POA INSTITUCIONAL'!D92</f>
        <v>4.5.6 Realizar 4 jornadas de sensibilización a Directivos y Referentes de proceso sobre la Séptima Dimensión.</v>
      </c>
      <c r="E18" s="37">
        <f>+'01-FR-03 POA INSTITUCIONAL'!E92</f>
        <v>0.1</v>
      </c>
      <c r="F18" s="54">
        <f>+'01-FR-03 POA INSTITUCIONAL'!F92</f>
        <v>4</v>
      </c>
      <c r="G18" s="54">
        <f>+'01-FR-03 POA INSTITUCIONAL'!L92</f>
        <v>1</v>
      </c>
      <c r="H18" s="54">
        <f>+'01-FR-03 POA INSTITUCIONAL'!G92</f>
        <v>4</v>
      </c>
      <c r="I18" s="129" t="str">
        <f>+'01-FR-03 POA INSTITUCIONAL'!H92</f>
        <v>Sensibilización a Directivos y Referentes de Gestión sobre la Séptima Dimensión del MIPG realizada</v>
      </c>
      <c r="J18" s="198" t="s">
        <v>559</v>
      </c>
      <c r="K18" s="217" t="s">
        <v>563</v>
      </c>
      <c r="L18" s="201" t="s">
        <v>560</v>
      </c>
      <c r="M18" s="201" t="s">
        <v>555</v>
      </c>
      <c r="N18" s="201" t="s">
        <v>556</v>
      </c>
      <c r="O18" s="218" t="str">
        <f>+'[9]POA Anualizado (Pág 1 de 3)'!J15</f>
        <v>Oficina de Control Interno</v>
      </c>
      <c r="P18" s="219">
        <v>0</v>
      </c>
      <c r="Q18" s="219"/>
      <c r="R18" s="219">
        <v>0</v>
      </c>
      <c r="S18" s="219"/>
      <c r="T18" s="219">
        <v>0</v>
      </c>
      <c r="U18" s="219"/>
      <c r="V18" s="84">
        <f t="shared" si="2"/>
        <v>0</v>
      </c>
      <c r="W18" s="82">
        <f t="shared" si="2"/>
        <v>0</v>
      </c>
      <c r="X18" s="219">
        <v>0</v>
      </c>
      <c r="Y18" s="219"/>
      <c r="Z18" s="219">
        <v>1</v>
      </c>
      <c r="AA18" s="219"/>
      <c r="AB18" s="219">
        <v>0</v>
      </c>
      <c r="AC18" s="219"/>
      <c r="AD18" s="84">
        <f t="shared" si="3"/>
        <v>1</v>
      </c>
      <c r="AE18" s="82">
        <f t="shared" si="3"/>
        <v>0</v>
      </c>
      <c r="AF18" s="219">
        <v>0</v>
      </c>
      <c r="AG18" s="219"/>
      <c r="AH18" s="219">
        <v>0</v>
      </c>
      <c r="AI18" s="219"/>
      <c r="AJ18" s="219">
        <v>0</v>
      </c>
      <c r="AK18" s="220"/>
      <c r="AL18" s="84">
        <f t="shared" si="4"/>
        <v>0</v>
      </c>
      <c r="AM18" s="82">
        <f t="shared" si="4"/>
        <v>0</v>
      </c>
      <c r="AN18" s="219">
        <v>0</v>
      </c>
      <c r="AO18" s="219"/>
      <c r="AP18" s="219">
        <v>0</v>
      </c>
      <c r="AQ18" s="219"/>
      <c r="AR18" s="219">
        <v>0</v>
      </c>
      <c r="AS18" s="219"/>
      <c r="AT18" s="84">
        <f t="shared" si="5"/>
        <v>0</v>
      </c>
      <c r="AU18" s="82">
        <f t="shared" si="5"/>
        <v>0</v>
      </c>
      <c r="AV18" s="221">
        <f t="shared" si="6"/>
        <v>1</v>
      </c>
      <c r="AW18" s="66">
        <f t="shared" si="7"/>
        <v>0</v>
      </c>
      <c r="AX18" s="66">
        <f t="shared" si="8"/>
        <v>0</v>
      </c>
      <c r="AY18" s="66">
        <f t="shared" si="9"/>
        <v>0</v>
      </c>
      <c r="AZ18" s="66">
        <f t="shared" si="10"/>
        <v>0</v>
      </c>
      <c r="BA18" s="28">
        <f t="shared" ref="BA18" si="11">IF(AND(AW18&gt;0,AV18&gt;0),AW18/AV18,0)</f>
        <v>0</v>
      </c>
      <c r="BB18" s="28">
        <f t="shared" si="0"/>
        <v>0</v>
      </c>
      <c r="BC18" s="28">
        <f t="shared" si="0"/>
        <v>0</v>
      </c>
      <c r="BD18" s="28">
        <f t="shared" si="0"/>
        <v>0</v>
      </c>
      <c r="BE18" s="28">
        <f t="shared" si="1"/>
        <v>0</v>
      </c>
      <c r="BF18" s="28">
        <f t="shared" si="1"/>
        <v>0</v>
      </c>
      <c r="BG18" s="28">
        <f t="shared" si="1"/>
        <v>0</v>
      </c>
      <c r="BH18" s="28">
        <f t="shared" si="1"/>
        <v>0</v>
      </c>
    </row>
    <row r="19" spans="2:60" ht="22.8">
      <c r="B19" s="496"/>
      <c r="C19" s="497"/>
      <c r="D19" s="497"/>
      <c r="E19" s="497"/>
      <c r="F19" s="497"/>
      <c r="G19" s="497"/>
      <c r="H19" s="497"/>
      <c r="I19" s="497"/>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c r="AG19" s="497"/>
      <c r="AH19" s="497"/>
      <c r="AI19" s="497"/>
      <c r="AJ19" s="497"/>
      <c r="AK19" s="497"/>
      <c r="AL19" s="497"/>
      <c r="AM19" s="497"/>
      <c r="AN19" s="497"/>
      <c r="AO19" s="497"/>
      <c r="AP19" s="497"/>
      <c r="AQ19" s="497"/>
      <c r="AR19" s="497"/>
      <c r="AS19" s="497"/>
      <c r="AT19" s="497"/>
      <c r="AU19" s="497"/>
      <c r="AV19" s="497"/>
      <c r="AW19" s="548"/>
      <c r="AX19" s="518" t="s">
        <v>19</v>
      </c>
      <c r="AY19" s="570"/>
      <c r="AZ19" s="570"/>
      <c r="BA19" s="56">
        <f t="shared" ref="BA19:BH19" si="12">AVERAGE(BA16:BA18)</f>
        <v>0</v>
      </c>
      <c r="BB19" s="56">
        <f t="shared" si="12"/>
        <v>0</v>
      </c>
      <c r="BC19" s="56">
        <f t="shared" si="12"/>
        <v>0</v>
      </c>
      <c r="BD19" s="56">
        <f t="shared" si="12"/>
        <v>0</v>
      </c>
      <c r="BE19" s="56">
        <f t="shared" si="12"/>
        <v>0</v>
      </c>
      <c r="BF19" s="56">
        <f t="shared" si="12"/>
        <v>0</v>
      </c>
      <c r="BG19" s="56">
        <f t="shared" si="12"/>
        <v>0</v>
      </c>
      <c r="BH19" s="56">
        <f t="shared" si="12"/>
        <v>0</v>
      </c>
    </row>
    <row r="20" spans="2:60">
      <c r="B20" s="453"/>
      <c r="C20" s="453"/>
      <c r="D20" s="453"/>
      <c r="E20" s="453"/>
      <c r="F20" s="453"/>
      <c r="G20" s="453"/>
      <c r="H20" s="223"/>
      <c r="I20" s="224"/>
      <c r="J20" s="224"/>
      <c r="K20" s="224"/>
      <c r="L20" s="224"/>
      <c r="M20" s="224"/>
      <c r="N20" s="224"/>
      <c r="O20" s="224"/>
    </row>
    <row r="21" spans="2:60">
      <c r="B21" s="224"/>
      <c r="C21" s="224"/>
      <c r="D21" s="549"/>
      <c r="E21" s="549"/>
      <c r="F21" s="549"/>
      <c r="G21" s="549"/>
      <c r="H21" s="549"/>
      <c r="I21" s="549"/>
      <c r="J21" s="549"/>
      <c r="K21" s="549"/>
      <c r="L21" s="549"/>
      <c r="M21" s="549"/>
      <c r="N21" s="549"/>
      <c r="O21" s="549"/>
    </row>
    <row r="22" spans="2:60" ht="15.6" customHeight="1">
      <c r="B22" s="63" t="s">
        <v>26</v>
      </c>
      <c r="C22" s="225">
        <v>44224</v>
      </c>
      <c r="D22" s="226"/>
      <c r="E22" s="558" t="s">
        <v>50</v>
      </c>
      <c r="F22" s="550" t="s">
        <v>561</v>
      </c>
      <c r="G22" s="551"/>
      <c r="H22" s="551"/>
      <c r="I22" s="551"/>
      <c r="J22" s="552"/>
      <c r="K22" s="227"/>
      <c r="L22" s="559"/>
      <c r="M22" s="559"/>
      <c r="N22" s="559"/>
      <c r="O22" s="560"/>
    </row>
    <row r="23" spans="2:60" ht="15.6">
      <c r="B23" s="224"/>
      <c r="C23" s="224"/>
      <c r="D23" s="227"/>
      <c r="E23" s="558"/>
      <c r="F23" s="553"/>
      <c r="G23" s="554"/>
      <c r="H23" s="554"/>
      <c r="I23" s="554"/>
      <c r="J23" s="555"/>
      <c r="K23" s="224"/>
      <c r="L23" s="224"/>
      <c r="M23" s="224"/>
      <c r="N23" s="224"/>
      <c r="O23" s="224"/>
    </row>
    <row r="24" spans="2:60" ht="15.6">
      <c r="B24" s="63" t="s">
        <v>49</v>
      </c>
      <c r="C24" s="65">
        <v>44581</v>
      </c>
      <c r="D24" s="224"/>
      <c r="E24" s="224"/>
      <c r="F24" s="224"/>
      <c r="K24" s="224"/>
      <c r="L24" s="224"/>
      <c r="M24" s="224"/>
      <c r="N24" s="224"/>
      <c r="O24" s="224"/>
    </row>
    <row r="25" spans="2:60">
      <c r="B25" s="224"/>
      <c r="C25" s="224"/>
      <c r="D25" s="224"/>
      <c r="E25" s="224"/>
      <c r="F25" s="224"/>
      <c r="K25" s="224"/>
      <c r="L25" s="224"/>
      <c r="M25" s="224"/>
      <c r="N25" s="224"/>
      <c r="O25" s="224"/>
    </row>
    <row r="26" spans="2:60">
      <c r="B26" s="189" t="s">
        <v>673</v>
      </c>
      <c r="C26" s="224"/>
      <c r="D26" s="224"/>
      <c r="E26" s="224"/>
      <c r="F26" s="224"/>
      <c r="G26" s="223"/>
      <c r="H26" s="223"/>
      <c r="I26" s="575"/>
      <c r="J26" s="575"/>
      <c r="K26" s="575"/>
      <c r="L26" s="575"/>
      <c r="M26" s="228"/>
      <c r="N26" s="228"/>
      <c r="O26" s="228"/>
    </row>
    <row r="27" spans="2:60">
      <c r="B27" s="224"/>
      <c r="C27" s="224"/>
      <c r="D27" s="224"/>
      <c r="E27" s="224"/>
      <c r="F27" s="224"/>
      <c r="G27" s="223"/>
      <c r="H27" s="223"/>
      <c r="I27" s="224"/>
      <c r="J27" s="224"/>
      <c r="K27" s="229"/>
      <c r="L27" s="224"/>
      <c r="M27" s="224"/>
      <c r="N27" s="224"/>
      <c r="O27" s="224"/>
    </row>
    <row r="28" spans="2:60">
      <c r="B28" s="224"/>
      <c r="C28" s="224"/>
      <c r="D28" s="224"/>
      <c r="E28" s="224"/>
      <c r="F28" s="224"/>
      <c r="G28" s="223"/>
      <c r="H28" s="223"/>
      <c r="I28" s="575"/>
      <c r="J28" s="575"/>
      <c r="K28" s="575"/>
      <c r="L28" s="575"/>
      <c r="M28" s="228"/>
      <c r="N28" s="228"/>
      <c r="O28" s="228"/>
    </row>
    <row r="29" spans="2:60">
      <c r="B29" s="224"/>
      <c r="C29" s="224"/>
      <c r="D29" s="224"/>
      <c r="E29" s="224"/>
      <c r="F29" s="224"/>
      <c r="G29" s="223"/>
      <c r="H29" s="223"/>
      <c r="I29" s="224"/>
      <c r="J29" s="224"/>
      <c r="K29" s="229"/>
      <c r="L29" s="224"/>
      <c r="M29" s="224"/>
      <c r="N29" s="224"/>
      <c r="O29" s="224"/>
    </row>
    <row r="30" spans="2:60">
      <c r="B30" s="224"/>
      <c r="C30" s="224"/>
      <c r="D30" s="224"/>
      <c r="E30" s="224"/>
      <c r="F30" s="224"/>
      <c r="G30" s="223"/>
      <c r="H30" s="223"/>
      <c r="I30" s="575"/>
      <c r="J30" s="575"/>
      <c r="K30" s="575"/>
      <c r="L30" s="575"/>
      <c r="M30" s="228"/>
      <c r="N30" s="228"/>
      <c r="O30" s="228"/>
    </row>
  </sheetData>
  <sheetProtection algorithmName="SHA-512" hashValue="LuR7idhPt+ma8EbtWF1AStE1td0bniSI/nTfaHxWnveouY6JzFp8CXARPq+kT3n9I+bW8CxOgIUMtkU0WDFdWg==" saltValue="IngiKVMQV75aAP3bglbl0Q==" spinCount="100000" sheet="1" objects="1" scenarios="1"/>
  <mergeCells count="70">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16:B18"/>
    <mergeCell ref="C16:C18"/>
    <mergeCell ref="AD14:AE14"/>
    <mergeCell ref="AF14:AG14"/>
    <mergeCell ref="AH14:AI14"/>
    <mergeCell ref="K12:K15"/>
    <mergeCell ref="L12:L15"/>
    <mergeCell ref="M12:M15"/>
    <mergeCell ref="G12:G15"/>
    <mergeCell ref="F12:F15"/>
    <mergeCell ref="AL14:AM14"/>
    <mergeCell ref="AN14:AO14"/>
    <mergeCell ref="N12:N15"/>
    <mergeCell ref="O12:O15"/>
    <mergeCell ref="H12:H15"/>
    <mergeCell ref="I12:I15"/>
    <mergeCell ref="J12:J15"/>
    <mergeCell ref="I28:L28"/>
    <mergeCell ref="I30:L30"/>
    <mergeCell ref="B20:G20"/>
    <mergeCell ref="AX19:AZ19"/>
    <mergeCell ref="D21:O21"/>
    <mergeCell ref="E22:E23"/>
    <mergeCell ref="L22:O22"/>
    <mergeCell ref="I26:L26"/>
    <mergeCell ref="B19:AW19"/>
    <mergeCell ref="F22:J23"/>
  </mergeCells>
  <conditionalFormatting sqref="BA16:BD16 BB17:BD18">
    <cfRule type="cellIs" dxfId="8" priority="7" operator="between">
      <formula>0.7</formula>
      <formula>1</formula>
    </cfRule>
    <cfRule type="cellIs" dxfId="7" priority="8" operator="between">
      <formula>0.51</formula>
      <formula>0.69</formula>
    </cfRule>
    <cfRule type="cellIs" dxfId="6" priority="9" operator="between">
      <formula>0</formula>
      <formula>0.5</formula>
    </cfRule>
  </conditionalFormatting>
  <conditionalFormatting sqref="BA17:BA18">
    <cfRule type="cellIs" dxfId="5" priority="4" operator="between">
      <formula>0.7</formula>
      <formula>1</formula>
    </cfRule>
    <cfRule type="cellIs" dxfId="4" priority="5" operator="between">
      <formula>0.51</formula>
      <formula>0.69</formula>
    </cfRule>
    <cfRule type="cellIs" dxfId="3" priority="6" operator="between">
      <formula>0</formula>
      <formula>0.5</formula>
    </cfRule>
  </conditionalFormatting>
  <conditionalFormatting sqref="BE16:BH18">
    <cfRule type="cellIs" dxfId="2" priority="1" operator="between">
      <formula>0.7</formula>
      <formula>1</formula>
    </cfRule>
    <cfRule type="cellIs" dxfId="1" priority="2" operator="between">
      <formula>0.51</formula>
      <formula>0.69</formula>
    </cfRule>
    <cfRule type="cellIs" dxfId="0"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AC91E4B6-A05D-4C61-8930-579B792DC14C}"/>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91F33-0901-4C05-BAB4-32A76386A578}">
  <dimension ref="B1:P68"/>
  <sheetViews>
    <sheetView showGridLines="0" workbookViewId="0">
      <selection activeCell="B55" sqref="B55"/>
    </sheetView>
  </sheetViews>
  <sheetFormatPr baseColWidth="10" defaultColWidth="11.44140625" defaultRowHeight="13.2"/>
  <cols>
    <col min="1" max="1" width="4.33203125" style="332" customWidth="1"/>
    <col min="2" max="2" width="42.88671875" style="332" customWidth="1"/>
    <col min="3" max="13" width="7.109375" style="332" customWidth="1"/>
    <col min="14" max="14" width="14.33203125" style="332" customWidth="1"/>
    <col min="15" max="15" width="14.44140625" style="332" customWidth="1"/>
    <col min="16" max="16" width="6.6640625" style="332" customWidth="1"/>
    <col min="17" max="17" width="9.5546875" style="332" customWidth="1"/>
    <col min="18" max="18" width="17.109375" style="332" customWidth="1"/>
    <col min="19" max="16384" width="11.44140625" style="332"/>
  </cols>
  <sheetData>
    <row r="1" spans="2:16" s="313" customFormat="1" ht="7.5" customHeight="1" thickBot="1">
      <c r="B1" s="330"/>
      <c r="C1" s="330"/>
      <c r="D1" s="330"/>
      <c r="E1" s="330"/>
      <c r="F1" s="330"/>
      <c r="G1" s="330"/>
      <c r="H1" s="330"/>
      <c r="I1" s="330"/>
      <c r="J1" s="330"/>
      <c r="K1" s="330"/>
      <c r="L1" s="330"/>
      <c r="M1" s="330"/>
      <c r="N1" s="330"/>
      <c r="O1" s="330"/>
      <c r="P1" s="330"/>
    </row>
    <row r="2" spans="2:16" s="313" customFormat="1" ht="15.6">
      <c r="B2" s="651" t="s">
        <v>692</v>
      </c>
      <c r="C2" s="654" t="s">
        <v>4</v>
      </c>
      <c r="D2" s="655"/>
      <c r="E2" s="655"/>
      <c r="F2" s="655"/>
      <c r="G2" s="655"/>
      <c r="H2" s="655"/>
      <c r="I2" s="655"/>
      <c r="J2" s="655"/>
      <c r="K2" s="655"/>
      <c r="L2" s="655"/>
      <c r="M2" s="655"/>
      <c r="N2" s="660" t="s">
        <v>31</v>
      </c>
      <c r="O2" s="661"/>
      <c r="P2" s="330"/>
    </row>
    <row r="3" spans="2:16" s="313" customFormat="1" ht="15.6">
      <c r="B3" s="652"/>
      <c r="C3" s="656"/>
      <c r="D3" s="657"/>
      <c r="E3" s="657"/>
      <c r="F3" s="657"/>
      <c r="G3" s="657"/>
      <c r="H3" s="657"/>
      <c r="I3" s="657"/>
      <c r="J3" s="657"/>
      <c r="K3" s="657"/>
      <c r="L3" s="657"/>
      <c r="M3" s="657"/>
      <c r="N3" s="314" t="s">
        <v>28</v>
      </c>
      <c r="O3" s="315" t="s">
        <v>29</v>
      </c>
      <c r="P3" s="330"/>
    </row>
    <row r="4" spans="2:16" s="313" customFormat="1" ht="15.75" customHeight="1">
      <c r="B4" s="652"/>
      <c r="C4" s="656"/>
      <c r="D4" s="657"/>
      <c r="E4" s="657"/>
      <c r="F4" s="657"/>
      <c r="G4" s="657"/>
      <c r="H4" s="657"/>
      <c r="I4" s="657"/>
      <c r="J4" s="657"/>
      <c r="K4" s="657"/>
      <c r="L4" s="657"/>
      <c r="M4" s="657"/>
      <c r="N4" s="316">
        <v>5</v>
      </c>
      <c r="O4" s="317" t="s">
        <v>654</v>
      </c>
      <c r="P4" s="330"/>
    </row>
    <row r="5" spans="2:16" s="313" customFormat="1" ht="15.6">
      <c r="B5" s="652"/>
      <c r="C5" s="656"/>
      <c r="D5" s="657"/>
      <c r="E5" s="657"/>
      <c r="F5" s="657"/>
      <c r="G5" s="657"/>
      <c r="H5" s="657"/>
      <c r="I5" s="657"/>
      <c r="J5" s="657"/>
      <c r="K5" s="657"/>
      <c r="L5" s="657"/>
      <c r="M5" s="657"/>
      <c r="N5" s="662" t="s">
        <v>30</v>
      </c>
      <c r="O5" s="663"/>
      <c r="P5" s="330"/>
    </row>
    <row r="6" spans="2:16" s="313" customFormat="1" ht="16.5" customHeight="1" thickBot="1">
      <c r="B6" s="653"/>
      <c r="C6" s="658"/>
      <c r="D6" s="659"/>
      <c r="E6" s="659"/>
      <c r="F6" s="659"/>
      <c r="G6" s="659"/>
      <c r="H6" s="659"/>
      <c r="I6" s="659"/>
      <c r="J6" s="659"/>
      <c r="K6" s="659"/>
      <c r="L6" s="659"/>
      <c r="M6" s="659"/>
      <c r="N6" s="664">
        <v>44306</v>
      </c>
      <c r="O6" s="665"/>
      <c r="P6" s="330"/>
    </row>
    <row r="7" spans="2:16" s="313" customFormat="1" ht="7.5" customHeight="1">
      <c r="B7" s="330"/>
      <c r="C7" s="330"/>
      <c r="D7" s="330"/>
      <c r="E7" s="330"/>
      <c r="F7" s="331">
        <f>D13</f>
        <v>0</v>
      </c>
      <c r="G7" s="330"/>
      <c r="H7" s="330"/>
      <c r="I7" s="330"/>
      <c r="J7" s="330"/>
      <c r="K7" s="330"/>
      <c r="L7" s="330"/>
      <c r="M7" s="330"/>
      <c r="N7" s="330"/>
      <c r="O7" s="330"/>
      <c r="P7" s="330"/>
    </row>
    <row r="8" spans="2:16" s="313" customFormat="1" ht="22.5" customHeight="1">
      <c r="B8" s="650" t="s">
        <v>46</v>
      </c>
      <c r="C8" s="650"/>
      <c r="D8" s="650"/>
      <c r="E8" s="650"/>
      <c r="F8" s="650"/>
      <c r="G8" s="650"/>
      <c r="H8" s="650"/>
      <c r="I8" s="650"/>
      <c r="J8" s="650"/>
      <c r="K8" s="650"/>
      <c r="L8" s="650"/>
      <c r="M8" s="650"/>
      <c r="N8" s="650"/>
      <c r="O8" s="650"/>
      <c r="P8" s="330"/>
    </row>
    <row r="9" spans="2:16" s="313" customFormat="1" ht="7.5" customHeight="1">
      <c r="B9" s="330"/>
      <c r="C9" s="330"/>
      <c r="D9" s="330"/>
      <c r="E9" s="330"/>
      <c r="F9" s="331"/>
      <c r="G9" s="330"/>
      <c r="H9" s="330"/>
      <c r="I9" s="330"/>
      <c r="J9" s="330"/>
      <c r="K9" s="330"/>
      <c r="L9" s="330"/>
      <c r="M9" s="330"/>
      <c r="N9" s="330"/>
      <c r="O9" s="330"/>
      <c r="P9" s="330"/>
    </row>
    <row r="10" spans="2:16" s="313" customFormat="1" ht="28.5" customHeight="1">
      <c r="B10" s="667" t="s">
        <v>47</v>
      </c>
      <c r="C10" s="667"/>
      <c r="D10" s="667"/>
      <c r="E10" s="667"/>
      <c r="F10" s="667"/>
      <c r="G10" s="667"/>
      <c r="H10" s="667"/>
      <c r="I10" s="667"/>
      <c r="J10" s="667"/>
      <c r="K10" s="667"/>
      <c r="L10" s="667"/>
      <c r="M10" s="667"/>
      <c r="N10" s="667"/>
      <c r="O10" s="667"/>
      <c r="P10" s="330"/>
    </row>
    <row r="11" spans="2:16" s="313" customFormat="1" ht="7.5" customHeight="1">
      <c r="B11" s="330"/>
      <c r="C11" s="330"/>
      <c r="D11" s="330"/>
      <c r="E11" s="330"/>
      <c r="F11" s="331"/>
      <c r="G11" s="330"/>
      <c r="H11" s="330"/>
      <c r="I11" s="330"/>
      <c r="J11" s="330"/>
      <c r="K11" s="330"/>
      <c r="L11" s="330"/>
      <c r="M11" s="330"/>
      <c r="N11" s="330"/>
      <c r="O11" s="330"/>
      <c r="P11" s="330"/>
    </row>
    <row r="12" spans="2:16" s="313" customFormat="1" ht="22.5" customHeight="1">
      <c r="B12" s="320" t="s">
        <v>32</v>
      </c>
      <c r="C12" s="668" t="s">
        <v>33</v>
      </c>
      <c r="D12" s="668"/>
      <c r="E12" s="668"/>
      <c r="F12" s="668"/>
      <c r="G12" s="668"/>
      <c r="H12" s="668"/>
      <c r="I12" s="668"/>
      <c r="J12" s="668"/>
      <c r="K12" s="668"/>
      <c r="L12" s="668"/>
      <c r="M12" s="668"/>
      <c r="N12" s="668"/>
      <c r="O12" s="668"/>
      <c r="P12" s="330"/>
    </row>
    <row r="13" spans="2:16" s="313" customFormat="1" ht="45.75" customHeight="1">
      <c r="B13" s="321" t="s">
        <v>63</v>
      </c>
      <c r="C13" s="666" t="s">
        <v>64</v>
      </c>
      <c r="D13" s="666"/>
      <c r="E13" s="666"/>
      <c r="F13" s="666"/>
      <c r="G13" s="666"/>
      <c r="H13" s="666"/>
      <c r="I13" s="666"/>
      <c r="J13" s="666"/>
      <c r="K13" s="666"/>
      <c r="L13" s="666"/>
      <c r="M13" s="666"/>
      <c r="N13" s="666"/>
      <c r="O13" s="666"/>
    </row>
    <row r="14" spans="2:16" s="313" customFormat="1" ht="45.75" customHeight="1">
      <c r="B14" s="321" t="s">
        <v>693</v>
      </c>
      <c r="C14" s="666" t="s">
        <v>65</v>
      </c>
      <c r="D14" s="666"/>
      <c r="E14" s="666"/>
      <c r="F14" s="666"/>
      <c r="G14" s="666"/>
      <c r="H14" s="666"/>
      <c r="I14" s="666"/>
      <c r="J14" s="666"/>
      <c r="K14" s="666"/>
      <c r="L14" s="666"/>
      <c r="M14" s="666"/>
      <c r="N14" s="666"/>
      <c r="O14" s="666"/>
    </row>
    <row r="15" spans="2:16" s="313" customFormat="1" ht="76.5" customHeight="1">
      <c r="B15" s="321" t="s">
        <v>694</v>
      </c>
      <c r="C15" s="666" t="s">
        <v>128</v>
      </c>
      <c r="D15" s="666"/>
      <c r="E15" s="666"/>
      <c r="F15" s="666"/>
      <c r="G15" s="666"/>
      <c r="H15" s="666"/>
      <c r="I15" s="666"/>
      <c r="J15" s="666"/>
      <c r="K15" s="666"/>
      <c r="L15" s="666"/>
      <c r="M15" s="666"/>
      <c r="N15" s="666"/>
      <c r="O15" s="666"/>
    </row>
    <row r="16" spans="2:16" s="313" customFormat="1" ht="45.75" customHeight="1">
      <c r="B16" s="321" t="s">
        <v>695</v>
      </c>
      <c r="C16" s="666" t="s">
        <v>66</v>
      </c>
      <c r="D16" s="666"/>
      <c r="E16" s="666"/>
      <c r="F16" s="666"/>
      <c r="G16" s="666"/>
      <c r="H16" s="666"/>
      <c r="I16" s="666"/>
      <c r="J16" s="666"/>
      <c r="K16" s="666"/>
      <c r="L16" s="666"/>
      <c r="M16" s="666"/>
      <c r="N16" s="666"/>
      <c r="O16" s="666"/>
    </row>
    <row r="17" spans="2:16" s="313" customFormat="1" ht="61.5" customHeight="1">
      <c r="B17" s="321" t="s">
        <v>696</v>
      </c>
      <c r="C17" s="666" t="s">
        <v>697</v>
      </c>
      <c r="D17" s="666"/>
      <c r="E17" s="666"/>
      <c r="F17" s="666"/>
      <c r="G17" s="666"/>
      <c r="H17" s="666"/>
      <c r="I17" s="666"/>
      <c r="J17" s="666"/>
      <c r="K17" s="666"/>
      <c r="L17" s="666"/>
      <c r="M17" s="666"/>
      <c r="N17" s="666"/>
      <c r="O17" s="666"/>
    </row>
    <row r="18" spans="2:16" s="313" customFormat="1" ht="45.75" customHeight="1">
      <c r="B18" s="321" t="s">
        <v>68</v>
      </c>
      <c r="C18" s="666" t="s">
        <v>70</v>
      </c>
      <c r="D18" s="666"/>
      <c r="E18" s="666"/>
      <c r="F18" s="666"/>
      <c r="G18" s="666"/>
      <c r="H18" s="666"/>
      <c r="I18" s="666"/>
      <c r="J18" s="666"/>
      <c r="K18" s="666"/>
      <c r="L18" s="666"/>
      <c r="M18" s="666"/>
      <c r="N18" s="666"/>
      <c r="O18" s="666"/>
    </row>
    <row r="19" spans="2:16" s="313" customFormat="1" ht="45.75" customHeight="1">
      <c r="B19" s="321" t="s">
        <v>698</v>
      </c>
      <c r="C19" s="666" t="s">
        <v>71</v>
      </c>
      <c r="D19" s="666"/>
      <c r="E19" s="666"/>
      <c r="F19" s="666"/>
      <c r="G19" s="666"/>
      <c r="H19" s="666"/>
      <c r="I19" s="666"/>
      <c r="J19" s="666"/>
      <c r="K19" s="666"/>
      <c r="L19" s="666"/>
      <c r="M19" s="666"/>
      <c r="N19" s="666"/>
      <c r="O19" s="666"/>
    </row>
    <row r="20" spans="2:16" s="313" customFormat="1" ht="45.75" customHeight="1">
      <c r="B20" s="321" t="s">
        <v>45</v>
      </c>
      <c r="C20" s="666" t="s">
        <v>72</v>
      </c>
      <c r="D20" s="666"/>
      <c r="E20" s="666"/>
      <c r="F20" s="666"/>
      <c r="G20" s="666"/>
      <c r="H20" s="666"/>
      <c r="I20" s="666"/>
      <c r="J20" s="666"/>
      <c r="K20" s="666"/>
      <c r="L20" s="666"/>
      <c r="M20" s="666"/>
      <c r="N20" s="666"/>
      <c r="O20" s="666"/>
    </row>
    <row r="21" spans="2:16" s="313" customFormat="1" ht="45.75" customHeight="1">
      <c r="B21" s="321" t="s">
        <v>67</v>
      </c>
      <c r="C21" s="666" t="s">
        <v>73</v>
      </c>
      <c r="D21" s="666"/>
      <c r="E21" s="666"/>
      <c r="F21" s="666"/>
      <c r="G21" s="666"/>
      <c r="H21" s="666"/>
      <c r="I21" s="666"/>
      <c r="J21" s="666"/>
      <c r="K21" s="666"/>
      <c r="L21" s="666"/>
      <c r="M21" s="666"/>
      <c r="N21" s="666"/>
      <c r="O21" s="666"/>
    </row>
    <row r="22" spans="2:16" s="313" customFormat="1" ht="78" customHeight="1">
      <c r="B22" s="318" t="s">
        <v>75</v>
      </c>
      <c r="C22" s="666" t="s">
        <v>115</v>
      </c>
      <c r="D22" s="666"/>
      <c r="E22" s="666"/>
      <c r="F22" s="666"/>
      <c r="G22" s="666"/>
      <c r="H22" s="666"/>
      <c r="I22" s="666"/>
      <c r="J22" s="666"/>
      <c r="K22" s="666"/>
      <c r="L22" s="666"/>
      <c r="M22" s="666"/>
      <c r="N22" s="666"/>
      <c r="O22" s="666"/>
    </row>
    <row r="23" spans="2:16" s="313" customFormat="1" ht="45.75" customHeight="1">
      <c r="B23" s="318" t="s">
        <v>76</v>
      </c>
      <c r="C23" s="669" t="s">
        <v>116</v>
      </c>
      <c r="D23" s="669"/>
      <c r="E23" s="669"/>
      <c r="F23" s="669"/>
      <c r="G23" s="669"/>
      <c r="H23" s="669"/>
      <c r="I23" s="669"/>
      <c r="J23" s="669"/>
      <c r="K23" s="669"/>
      <c r="L23" s="669"/>
      <c r="M23" s="669"/>
      <c r="N23" s="669"/>
      <c r="O23" s="669"/>
    </row>
    <row r="24" spans="2:16" s="313" customFormat="1" ht="45.75" customHeight="1">
      <c r="B24" s="318" t="s">
        <v>37</v>
      </c>
      <c r="C24" s="666" t="s">
        <v>82</v>
      </c>
      <c r="D24" s="666"/>
      <c r="E24" s="666"/>
      <c r="F24" s="666"/>
      <c r="G24" s="666"/>
      <c r="H24" s="666"/>
      <c r="I24" s="666"/>
      <c r="J24" s="666"/>
      <c r="K24" s="666"/>
      <c r="L24" s="666"/>
      <c r="M24" s="666"/>
      <c r="N24" s="666"/>
      <c r="O24" s="666"/>
    </row>
    <row r="25" spans="2:16" s="313" customFormat="1" ht="45.75" customHeight="1">
      <c r="B25" s="318" t="s">
        <v>81</v>
      </c>
      <c r="C25" s="666" t="s">
        <v>83</v>
      </c>
      <c r="D25" s="666"/>
      <c r="E25" s="666"/>
      <c r="F25" s="666"/>
      <c r="G25" s="666"/>
      <c r="H25" s="666"/>
      <c r="I25" s="666"/>
      <c r="J25" s="666"/>
      <c r="K25" s="666"/>
      <c r="L25" s="666"/>
      <c r="M25" s="666"/>
      <c r="N25" s="666"/>
      <c r="O25" s="666"/>
    </row>
    <row r="26" spans="2:16" s="313" customFormat="1">
      <c r="B26" s="330"/>
      <c r="C26" s="330"/>
      <c r="D26" s="330"/>
      <c r="E26" s="330"/>
      <c r="F26" s="331"/>
      <c r="G26" s="330"/>
      <c r="H26" s="330"/>
      <c r="I26" s="330"/>
      <c r="J26" s="330"/>
      <c r="K26" s="330"/>
      <c r="L26" s="330"/>
      <c r="M26" s="330"/>
      <c r="N26" s="330"/>
      <c r="O26" s="330"/>
      <c r="P26" s="330"/>
    </row>
    <row r="27" spans="2:16" s="313" customFormat="1" ht="32.25" customHeight="1">
      <c r="B27" s="667" t="s">
        <v>62</v>
      </c>
      <c r="C27" s="667"/>
      <c r="D27" s="667"/>
      <c r="E27" s="667"/>
      <c r="F27" s="667"/>
      <c r="G27" s="667"/>
      <c r="H27" s="667"/>
      <c r="I27" s="667"/>
      <c r="J27" s="667"/>
      <c r="K27" s="667"/>
      <c r="L27" s="667"/>
      <c r="M27" s="667"/>
      <c r="N27" s="667"/>
      <c r="O27" s="667"/>
      <c r="P27" s="330"/>
    </row>
    <row r="28" spans="2:16" s="313" customFormat="1" ht="7.5" customHeight="1">
      <c r="B28" s="330"/>
      <c r="C28" s="330"/>
      <c r="D28" s="330"/>
      <c r="E28" s="330"/>
      <c r="F28" s="331"/>
      <c r="G28" s="330"/>
      <c r="H28" s="330"/>
      <c r="I28" s="330"/>
      <c r="J28" s="330"/>
      <c r="K28" s="330"/>
      <c r="L28" s="330"/>
      <c r="M28" s="330"/>
      <c r="N28" s="330"/>
      <c r="O28" s="330"/>
      <c r="P28" s="330"/>
    </row>
    <row r="29" spans="2:16" s="313" customFormat="1" ht="22.5" customHeight="1">
      <c r="B29" s="320" t="s">
        <v>32</v>
      </c>
      <c r="C29" s="668" t="s">
        <v>33</v>
      </c>
      <c r="D29" s="668"/>
      <c r="E29" s="668"/>
      <c r="F29" s="668"/>
      <c r="G29" s="668"/>
      <c r="H29" s="668"/>
      <c r="I29" s="668"/>
      <c r="J29" s="668"/>
      <c r="K29" s="668"/>
      <c r="L29" s="668"/>
      <c r="M29" s="668"/>
      <c r="N29" s="668"/>
      <c r="O29" s="668"/>
      <c r="P29" s="330"/>
    </row>
    <row r="30" spans="2:16" s="313" customFormat="1" ht="45.75" customHeight="1">
      <c r="B30" s="321" t="s">
        <v>45</v>
      </c>
      <c r="C30" s="666" t="s">
        <v>99</v>
      </c>
      <c r="D30" s="666"/>
      <c r="E30" s="666"/>
      <c r="F30" s="666"/>
      <c r="G30" s="666"/>
      <c r="H30" s="666"/>
      <c r="I30" s="666"/>
      <c r="J30" s="666"/>
      <c r="K30" s="666"/>
      <c r="L30" s="666"/>
      <c r="M30" s="666"/>
      <c r="N30" s="666"/>
      <c r="O30" s="666"/>
    </row>
    <row r="31" spans="2:16" s="313" customFormat="1" ht="45.75" customHeight="1">
      <c r="B31" s="321" t="s">
        <v>34</v>
      </c>
      <c r="C31" s="666" t="s">
        <v>84</v>
      </c>
      <c r="D31" s="666"/>
      <c r="E31" s="666"/>
      <c r="F31" s="666"/>
      <c r="G31" s="666"/>
      <c r="H31" s="666"/>
      <c r="I31" s="666"/>
      <c r="J31" s="666"/>
      <c r="K31" s="666"/>
      <c r="L31" s="666"/>
      <c r="M31" s="666"/>
      <c r="N31" s="666"/>
      <c r="O31" s="666"/>
    </row>
    <row r="32" spans="2:16" s="313" customFormat="1" ht="45.75" customHeight="1">
      <c r="B32" s="322" t="s">
        <v>100</v>
      </c>
      <c r="C32" s="666" t="s">
        <v>101</v>
      </c>
      <c r="D32" s="666"/>
      <c r="E32" s="666"/>
      <c r="F32" s="666"/>
      <c r="G32" s="666"/>
      <c r="H32" s="666"/>
      <c r="I32" s="666"/>
      <c r="J32" s="666"/>
      <c r="K32" s="666"/>
      <c r="L32" s="666"/>
      <c r="M32" s="666"/>
      <c r="N32" s="666"/>
      <c r="O32" s="666"/>
    </row>
    <row r="33" spans="2:15" s="313" customFormat="1" ht="45.75" customHeight="1">
      <c r="B33" s="321" t="s">
        <v>696</v>
      </c>
      <c r="C33" s="666" t="s">
        <v>699</v>
      </c>
      <c r="D33" s="666"/>
      <c r="E33" s="666"/>
      <c r="F33" s="666"/>
      <c r="G33" s="666"/>
      <c r="H33" s="666"/>
      <c r="I33" s="666"/>
      <c r="J33" s="666"/>
      <c r="K33" s="666"/>
      <c r="L33" s="666"/>
      <c r="M33" s="666"/>
      <c r="N33" s="666"/>
      <c r="O33" s="666"/>
    </row>
    <row r="34" spans="2:15" s="313" customFormat="1" ht="45.75" customHeight="1">
      <c r="B34" s="321" t="s">
        <v>700</v>
      </c>
      <c r="C34" s="666" t="s">
        <v>701</v>
      </c>
      <c r="D34" s="666"/>
      <c r="E34" s="666"/>
      <c r="F34" s="666"/>
      <c r="G34" s="666"/>
      <c r="H34" s="666"/>
      <c r="I34" s="666"/>
      <c r="J34" s="666"/>
      <c r="K34" s="666"/>
      <c r="L34" s="666"/>
      <c r="M34" s="666"/>
      <c r="N34" s="666"/>
      <c r="O34" s="666"/>
    </row>
    <row r="35" spans="2:15" s="313" customFormat="1" ht="144" customHeight="1">
      <c r="B35" s="323" t="s">
        <v>702</v>
      </c>
      <c r="C35" s="666" t="s">
        <v>102</v>
      </c>
      <c r="D35" s="666"/>
      <c r="E35" s="666"/>
      <c r="F35" s="666"/>
      <c r="G35" s="666"/>
      <c r="H35" s="666"/>
      <c r="I35" s="666"/>
      <c r="J35" s="666"/>
      <c r="K35" s="666"/>
      <c r="L35" s="666"/>
      <c r="M35" s="666"/>
      <c r="N35" s="666"/>
      <c r="O35" s="666"/>
    </row>
    <row r="36" spans="2:15" s="313" customFormat="1" ht="45.75" customHeight="1">
      <c r="B36" s="319" t="s">
        <v>103</v>
      </c>
      <c r="C36" s="666" t="s">
        <v>104</v>
      </c>
      <c r="D36" s="666"/>
      <c r="E36" s="666"/>
      <c r="F36" s="666"/>
      <c r="G36" s="666"/>
      <c r="H36" s="666"/>
      <c r="I36" s="666"/>
      <c r="J36" s="666"/>
      <c r="K36" s="666"/>
      <c r="L36" s="666"/>
      <c r="M36" s="666"/>
      <c r="N36" s="666"/>
      <c r="O36" s="666"/>
    </row>
    <row r="37" spans="2:15" s="313" customFormat="1" ht="45.75" customHeight="1">
      <c r="B37" s="321" t="s">
        <v>36</v>
      </c>
      <c r="C37" s="666" t="s">
        <v>105</v>
      </c>
      <c r="D37" s="666"/>
      <c r="E37" s="666"/>
      <c r="F37" s="666"/>
      <c r="G37" s="666"/>
      <c r="H37" s="666"/>
      <c r="I37" s="666"/>
      <c r="J37" s="666"/>
      <c r="K37" s="666"/>
      <c r="L37" s="666"/>
      <c r="M37" s="666"/>
      <c r="N37" s="666"/>
      <c r="O37" s="666"/>
    </row>
    <row r="38" spans="2:15" s="313" customFormat="1" ht="45.75" customHeight="1">
      <c r="B38" s="318" t="s">
        <v>35</v>
      </c>
      <c r="C38" s="666" t="s">
        <v>106</v>
      </c>
      <c r="D38" s="666"/>
      <c r="E38" s="666"/>
      <c r="F38" s="666"/>
      <c r="G38" s="666"/>
      <c r="H38" s="666"/>
      <c r="I38" s="666"/>
      <c r="J38" s="666"/>
      <c r="K38" s="666"/>
      <c r="L38" s="666"/>
      <c r="M38" s="666"/>
      <c r="N38" s="666"/>
      <c r="O38" s="666"/>
    </row>
    <row r="39" spans="2:15" s="313" customFormat="1" ht="45.75" customHeight="1">
      <c r="B39" s="319" t="s">
        <v>110</v>
      </c>
      <c r="C39" s="666" t="s">
        <v>107</v>
      </c>
      <c r="D39" s="666"/>
      <c r="E39" s="666"/>
      <c r="F39" s="666"/>
      <c r="G39" s="666"/>
      <c r="H39" s="666"/>
      <c r="I39" s="666"/>
      <c r="J39" s="666"/>
      <c r="K39" s="666"/>
      <c r="L39" s="666"/>
      <c r="M39" s="666"/>
      <c r="N39" s="666"/>
      <c r="O39" s="666"/>
    </row>
    <row r="40" spans="2:15" s="313" customFormat="1" ht="45.75" customHeight="1">
      <c r="B40" s="318" t="s">
        <v>109</v>
      </c>
      <c r="C40" s="666" t="s">
        <v>108</v>
      </c>
      <c r="D40" s="666"/>
      <c r="E40" s="666"/>
      <c r="F40" s="666"/>
      <c r="G40" s="666"/>
      <c r="H40" s="666"/>
      <c r="I40" s="666"/>
      <c r="J40" s="666"/>
      <c r="K40" s="666"/>
      <c r="L40" s="666"/>
      <c r="M40" s="666"/>
      <c r="N40" s="666"/>
      <c r="O40" s="666"/>
    </row>
    <row r="41" spans="2:15" s="313" customFormat="1" ht="108.75" customHeight="1">
      <c r="B41" s="318" t="s">
        <v>112</v>
      </c>
      <c r="C41" s="666" t="s">
        <v>113</v>
      </c>
      <c r="D41" s="666"/>
      <c r="E41" s="666"/>
      <c r="F41" s="666"/>
      <c r="G41" s="666"/>
      <c r="H41" s="666"/>
      <c r="I41" s="666"/>
      <c r="J41" s="666"/>
      <c r="K41" s="666"/>
      <c r="L41" s="666"/>
      <c r="M41" s="666"/>
      <c r="N41" s="666"/>
      <c r="O41" s="666"/>
    </row>
    <row r="42" spans="2:15" s="313" customFormat="1" ht="45.75" customHeight="1">
      <c r="B42" s="319" t="s">
        <v>114</v>
      </c>
      <c r="C42" s="669" t="s">
        <v>124</v>
      </c>
      <c r="D42" s="669"/>
      <c r="E42" s="669"/>
      <c r="F42" s="669"/>
      <c r="G42" s="669"/>
      <c r="H42" s="669"/>
      <c r="I42" s="669"/>
      <c r="J42" s="669"/>
      <c r="K42" s="669"/>
      <c r="L42" s="669"/>
      <c r="M42" s="669"/>
      <c r="N42" s="669"/>
      <c r="O42" s="669"/>
    </row>
    <row r="43" spans="2:15" s="313" customFormat="1" ht="45.75" customHeight="1">
      <c r="B43" s="318" t="s">
        <v>703</v>
      </c>
      <c r="C43" s="669" t="s">
        <v>125</v>
      </c>
      <c r="D43" s="669"/>
      <c r="E43" s="669"/>
      <c r="F43" s="669"/>
      <c r="G43" s="669"/>
      <c r="H43" s="669"/>
      <c r="I43" s="669"/>
      <c r="J43" s="669"/>
      <c r="K43" s="669"/>
      <c r="L43" s="669"/>
      <c r="M43" s="669"/>
      <c r="N43" s="669"/>
      <c r="O43" s="669"/>
    </row>
    <row r="44" spans="2:15" s="313" customFormat="1" ht="75" customHeight="1">
      <c r="B44" s="318" t="s">
        <v>676</v>
      </c>
      <c r="C44" s="669" t="s">
        <v>704</v>
      </c>
      <c r="D44" s="669"/>
      <c r="E44" s="669"/>
      <c r="F44" s="669"/>
      <c r="G44" s="669"/>
      <c r="H44" s="669"/>
      <c r="I44" s="669"/>
      <c r="J44" s="669"/>
      <c r="K44" s="669"/>
      <c r="L44" s="669"/>
      <c r="M44" s="669"/>
      <c r="N44" s="669"/>
      <c r="O44" s="669"/>
    </row>
    <row r="45" spans="2:15" s="313" customFormat="1" ht="64.2" customHeight="1">
      <c r="B45" s="318" t="s">
        <v>705</v>
      </c>
      <c r="C45" s="669" t="s">
        <v>706</v>
      </c>
      <c r="D45" s="669"/>
      <c r="E45" s="669"/>
      <c r="F45" s="669"/>
      <c r="G45" s="669"/>
      <c r="H45" s="669"/>
      <c r="I45" s="669"/>
      <c r="J45" s="669"/>
      <c r="K45" s="669"/>
      <c r="L45" s="669"/>
      <c r="M45" s="669"/>
      <c r="N45" s="669"/>
      <c r="O45" s="669"/>
    </row>
    <row r="46" spans="2:15" s="313" customFormat="1" ht="45.75" customHeight="1">
      <c r="B46" s="318" t="s">
        <v>37</v>
      </c>
      <c r="C46" s="666" t="s">
        <v>126</v>
      </c>
      <c r="D46" s="666"/>
      <c r="E46" s="666"/>
      <c r="F46" s="666"/>
      <c r="G46" s="666"/>
      <c r="H46" s="666"/>
      <c r="I46" s="666"/>
      <c r="J46" s="666"/>
      <c r="K46" s="666"/>
      <c r="L46" s="666"/>
      <c r="M46" s="666"/>
      <c r="N46" s="666"/>
      <c r="O46" s="666"/>
    </row>
    <row r="47" spans="2:15" s="313" customFormat="1" ht="45.75" customHeight="1">
      <c r="B47" s="318" t="s">
        <v>81</v>
      </c>
      <c r="C47" s="666" t="s">
        <v>127</v>
      </c>
      <c r="D47" s="666"/>
      <c r="E47" s="666"/>
      <c r="F47" s="666"/>
      <c r="G47" s="666"/>
      <c r="H47" s="666"/>
      <c r="I47" s="666"/>
      <c r="J47" s="666"/>
      <c r="K47" s="666"/>
      <c r="L47" s="666"/>
      <c r="M47" s="666"/>
      <c r="N47" s="666"/>
      <c r="O47" s="666"/>
    </row>
    <row r="48" spans="2:15" s="313" customFormat="1" ht="45" customHeight="1">
      <c r="B48" s="318" t="s">
        <v>50</v>
      </c>
      <c r="C48" s="666" t="s">
        <v>38</v>
      </c>
      <c r="D48" s="666"/>
      <c r="E48" s="666"/>
      <c r="F48" s="666"/>
      <c r="G48" s="666"/>
      <c r="H48" s="666"/>
      <c r="I48" s="666"/>
      <c r="J48" s="666"/>
      <c r="K48" s="666"/>
      <c r="L48" s="666"/>
      <c r="M48" s="666"/>
      <c r="N48" s="666"/>
      <c r="O48" s="666"/>
    </row>
    <row r="50" spans="2:2" ht="12.75" customHeight="1">
      <c r="B50" s="378" t="s">
        <v>673</v>
      </c>
    </row>
    <row r="51" spans="2:2" ht="12.75" customHeight="1"/>
    <row r="52" spans="2:2" ht="12.75" customHeight="1"/>
    <row r="53" spans="2:2" ht="12.75" customHeight="1"/>
    <row r="54" spans="2:2" ht="12.75" customHeight="1"/>
    <row r="55" spans="2:2" ht="12.75" customHeight="1"/>
    <row r="56" spans="2:2" ht="12.75" customHeight="1"/>
    <row r="57" spans="2:2" ht="12.75" customHeight="1"/>
    <row r="58" spans="2:2" ht="12.75" customHeight="1"/>
    <row r="59" spans="2:2" ht="12.75" customHeight="1"/>
    <row r="60" spans="2:2" ht="12.75" customHeight="1"/>
    <row r="61" spans="2:2" ht="12.75" customHeight="1"/>
    <row r="62" spans="2:2" ht="12.75" customHeight="1"/>
    <row r="63" spans="2:2" ht="12.75" customHeight="1"/>
    <row r="64" spans="2:2" ht="12.75" customHeight="1"/>
    <row r="65" ht="12.75" customHeight="1"/>
    <row r="66" ht="12.75" customHeight="1"/>
    <row r="67" ht="12.75" customHeight="1"/>
    <row r="68" ht="12.75" customHeight="1"/>
  </sheetData>
  <sheetProtection algorithmName="SHA-512" hashValue="vE5h0hAjarN+TfjY3OV+I8Xkq3fnMaphUrKXpgcAg3EQ9x2I3d9ScL1TrL6GTITQKiMS94d6iZxU2pAewtbdfw==" saltValue="qTUcpsYIdHJAf9IQpuwosQ==" spinCount="100000" sheet="1" objects="1" scenarios="1"/>
  <mergeCells count="42">
    <mergeCell ref="C48:O48"/>
    <mergeCell ref="C37:O37"/>
    <mergeCell ref="C38:O38"/>
    <mergeCell ref="C39:O39"/>
    <mergeCell ref="C40:O40"/>
    <mergeCell ref="C41:O41"/>
    <mergeCell ref="C42:O42"/>
    <mergeCell ref="C43:O43"/>
    <mergeCell ref="C44:O44"/>
    <mergeCell ref="C45:O45"/>
    <mergeCell ref="C46:O46"/>
    <mergeCell ref="C47:O47"/>
    <mergeCell ref="C36:O36"/>
    <mergeCell ref="C23:O23"/>
    <mergeCell ref="C24:O24"/>
    <mergeCell ref="C25:O25"/>
    <mergeCell ref="B27:O27"/>
    <mergeCell ref="C29:O29"/>
    <mergeCell ref="C30:O30"/>
    <mergeCell ref="C31:O31"/>
    <mergeCell ref="C32:O32"/>
    <mergeCell ref="C33:O33"/>
    <mergeCell ref="C34:O34"/>
    <mergeCell ref="C35:O35"/>
    <mergeCell ref="C22:O22"/>
    <mergeCell ref="B10:O10"/>
    <mergeCell ref="C12:O12"/>
    <mergeCell ref="C13:O13"/>
    <mergeCell ref="C14:O14"/>
    <mergeCell ref="C15:O15"/>
    <mergeCell ref="C16:O16"/>
    <mergeCell ref="C17:O17"/>
    <mergeCell ref="C18:O18"/>
    <mergeCell ref="C19:O19"/>
    <mergeCell ref="C20:O20"/>
    <mergeCell ref="C21:O21"/>
    <mergeCell ref="B8:O8"/>
    <mergeCell ref="B2:B6"/>
    <mergeCell ref="C2:M6"/>
    <mergeCell ref="N2:O2"/>
    <mergeCell ref="N5:O5"/>
    <mergeCell ref="N6:O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02307-17BC-42CB-872B-0E91678AC12C}">
  <dimension ref="C4:E21"/>
  <sheetViews>
    <sheetView workbookViewId="0">
      <selection activeCell="C9" sqref="C9"/>
    </sheetView>
  </sheetViews>
  <sheetFormatPr baseColWidth="10" defaultRowHeight="13.2"/>
  <cols>
    <col min="3" max="3" width="84.6640625" customWidth="1"/>
  </cols>
  <sheetData>
    <row r="4" spans="3:5">
      <c r="C4" s="7" t="s">
        <v>77</v>
      </c>
      <c r="E4" s="8" t="s">
        <v>58</v>
      </c>
    </row>
    <row r="5" spans="3:5" ht="22.8">
      <c r="C5" s="10" t="s">
        <v>98</v>
      </c>
      <c r="E5" s="10" t="s">
        <v>98</v>
      </c>
    </row>
    <row r="6" spans="3:5" ht="22.8">
      <c r="C6" s="10" t="s">
        <v>78</v>
      </c>
      <c r="E6" s="10">
        <v>2021</v>
      </c>
    </row>
    <row r="7" spans="3:5" ht="22.8">
      <c r="C7" s="10" t="s">
        <v>79</v>
      </c>
      <c r="E7" s="10">
        <v>2022</v>
      </c>
    </row>
    <row r="8" spans="3:5" ht="22.8">
      <c r="C8" s="10" t="s">
        <v>80</v>
      </c>
      <c r="E8" s="10">
        <v>2023</v>
      </c>
    </row>
    <row r="9" spans="3:5" ht="22.8">
      <c r="C9" s="10" t="s">
        <v>85</v>
      </c>
      <c r="E9" s="10">
        <v>2024</v>
      </c>
    </row>
    <row r="10" spans="3:5" ht="22.8">
      <c r="C10" s="10" t="s">
        <v>86</v>
      </c>
    </row>
    <row r="11" spans="3:5" ht="22.8">
      <c r="C11" s="10" t="s">
        <v>87</v>
      </c>
    </row>
    <row r="12" spans="3:5" ht="22.8">
      <c r="C12" s="10" t="s">
        <v>88</v>
      </c>
    </row>
    <row r="13" spans="3:5" ht="22.8">
      <c r="C13" s="10" t="s">
        <v>89</v>
      </c>
    </row>
    <row r="14" spans="3:5" ht="22.8">
      <c r="C14" s="10" t="s">
        <v>90</v>
      </c>
    </row>
    <row r="15" spans="3:5" ht="22.8">
      <c r="C15" s="10" t="s">
        <v>91</v>
      </c>
    </row>
    <row r="16" spans="3:5" ht="22.8">
      <c r="C16" s="10" t="s">
        <v>92</v>
      </c>
    </row>
    <row r="17" spans="3:3" ht="22.8">
      <c r="C17" s="10" t="s">
        <v>93</v>
      </c>
    </row>
    <row r="18" spans="3:3" ht="22.8">
      <c r="C18" s="10" t="s">
        <v>94</v>
      </c>
    </row>
    <row r="19" spans="3:3" ht="22.8">
      <c r="C19" s="10" t="s">
        <v>95</v>
      </c>
    </row>
    <row r="20" spans="3:3" ht="22.8">
      <c r="C20" s="10" t="s">
        <v>96</v>
      </c>
    </row>
    <row r="21" spans="3:3" ht="22.8">
      <c r="C21" s="10" t="s">
        <v>97</v>
      </c>
    </row>
  </sheetData>
  <sheetProtection algorithmName="SHA-512" hashValue="JZVjZCTFxUOKu3BxQlJm4D4at0Mw9YK2VVSi4MQAM3XcguU+Akb2+JwU+bihJ3iBg5xbod9z09hMvv9S3nr/Rw==" saltValue="PvAa+yCyusXcOQVTYjUeug==" spinCount="100000" sheet="1" objects="1" scenarios="1"/>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90AD3703BEE384EBDE52C6762598B1E" ma:contentTypeVersion="10" ma:contentTypeDescription="Crear nuevo documento." ma:contentTypeScope="" ma:versionID="c59dee36dc61005d89b06eb8305c8d1b">
  <xsd:schema xmlns:xsd="http://www.w3.org/2001/XMLSchema" xmlns:xs="http://www.w3.org/2001/XMLSchema" xmlns:p="http://schemas.microsoft.com/office/2006/metadata/properties" xmlns:ns2="cfce022b-6142-464e-b2cf-8119584d4f15" xmlns:ns3="cf72d479-8062-43ae-a2c5-e263bb3e8777" targetNamespace="http://schemas.microsoft.com/office/2006/metadata/properties" ma:root="true" ma:fieldsID="00fd9e7554b409d951492cb9b8057ad4" ns2:_="" ns3:_="">
    <xsd:import namespace="cfce022b-6142-464e-b2cf-8119584d4f15"/>
    <xsd:import namespace="cf72d479-8062-43ae-a2c5-e263bb3e877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ce022b-6142-464e-b2cf-8119584d4f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f72d479-8062-43ae-a2c5-e263bb3e8777"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D20A8B-C8FA-4629-BAA8-49B204FC37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ce022b-6142-464e-b2cf-8119584d4f15"/>
    <ds:schemaRef ds:uri="cf72d479-8062-43ae-a2c5-e263bb3e87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ADCE0A-93A9-4BCC-8D76-0C61B4CCC64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7645369-99B2-4719-AF57-1EB1B7E0BC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2</vt:i4>
      </vt:variant>
    </vt:vector>
  </HeadingPairs>
  <TitlesOfParts>
    <vt:vector size="23" baseType="lpstr">
      <vt:lpstr>01-PL-09 POA (Pág 1 de 2)</vt:lpstr>
      <vt:lpstr>01-PL-09 POA (Pág 2 de 2)</vt:lpstr>
      <vt:lpstr>01-FR-03 POA INSTITUCIONAL</vt:lpstr>
      <vt:lpstr>01-DIRECCIONAMIENTO ESTRATÉGICO</vt:lpstr>
      <vt:lpstr>02-G. CONOCIMIENTO INNOVACIÓN</vt:lpstr>
      <vt:lpstr>03-DIRECCIONAMIENTO TIC</vt:lpstr>
      <vt:lpstr>04-COMUNICACIÓN ESTRATÉGICA</vt:lpstr>
      <vt:lpstr>05-POA PROM DEFENSA DERECHOS</vt:lpstr>
      <vt:lpstr>06-PREV CTRL FUN PÚBLICA</vt:lpstr>
      <vt:lpstr>07-POTESTAD DISCIPLINARIA</vt:lpstr>
      <vt:lpstr>08-G. DEL TALENTO HUMANO</vt:lpstr>
      <vt:lpstr>09-G.  ADMINISTRATIVA</vt:lpstr>
      <vt:lpstr>10-GESTIÓN FINANCIERA</vt:lpstr>
      <vt:lpstr>11-GESTIÓN CONTRACTUAL</vt:lpstr>
      <vt:lpstr>12-GESTIÓN DOCUMENTAL</vt:lpstr>
      <vt:lpstr>13-GESTIÓN JURÍDICA</vt:lpstr>
      <vt:lpstr>14-SERVICIO AL USUARIO</vt:lpstr>
      <vt:lpstr>15-CTRL DISCIPLINARIO INTERNO</vt:lpstr>
      <vt:lpstr>16-EVALUACIÓN Y SEGUIMIENTO</vt:lpstr>
      <vt:lpstr>Instrucciones Dil (Pág 3 de 3)</vt:lpstr>
      <vt:lpstr>LISTAS</vt:lpstr>
      <vt:lpstr>'01-PL-09 POA (Pág 1 de 2)'!Área_de_impresión</vt:lpstr>
      <vt:lpstr>'05-POA PROM DEFENSA DERECHOS'!Área_de_impresión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Gabriel Tibaduiza Sanabria</dc:creator>
  <cp:lastModifiedBy>Omaira Morales</cp:lastModifiedBy>
  <cp:lastPrinted>2021-03-16T15:18:31Z</cp:lastPrinted>
  <dcterms:created xsi:type="dcterms:W3CDTF">2014-12-22T19:20:09Z</dcterms:created>
  <dcterms:modified xsi:type="dcterms:W3CDTF">2022-01-25T16:40:49Z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0x010100490AD3703BEE384EBDE52C6762598B1E</vt:lpwstr>
  </property>
</Properties>
</file>